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AppData\Local\Microsoft\Windows\INetCache\Content.Outlook\J1EMMSUI\"/>
    </mc:Choice>
  </mc:AlternateContent>
  <bookViews>
    <workbookView xWindow="0" yWindow="0" windowWidth="20490" windowHeight="6120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30" sheetId="24" r:id="rId52"/>
    <sheet name="307" sheetId="68" r:id="rId53"/>
    <sheet name="308" sheetId="27" r:id="rId54"/>
    <sheet name="311" sheetId="70" r:id="rId55"/>
    <sheet name="324" sheetId="82" r:id="rId56"/>
    <sheet name="331" sheetId="30" r:id="rId57"/>
    <sheet name="315" sheetId="74" r:id="rId58"/>
    <sheet name="326" sheetId="84" r:id="rId59"/>
    <sheet name="332" sheetId="33" r:id="rId60"/>
    <sheet name="316" sheetId="75" r:id="rId61"/>
    <sheet name="Div 6" sheetId="51" r:id="rId62"/>
    <sheet name="317" sheetId="76" r:id="rId63"/>
    <sheet name="310" sheetId="21" r:id="rId64"/>
    <sheet name="309" sheetId="69" r:id="rId65"/>
    <sheet name="313" sheetId="72" r:id="rId66"/>
    <sheet name="321" sheetId="79" r:id="rId67"/>
    <sheet name="322" sheetId="80" r:id="rId68"/>
    <sheet name="325" sheetId="83" r:id="rId69"/>
    <sheet name="327" sheetId="85" r:id="rId70"/>
    <sheet name="Div 4" sheetId="36" r:id="rId71"/>
    <sheet name="310 &amp; 491" sheetId="39" r:id="rId72"/>
    <sheet name="491" sheetId="42" r:id="rId73"/>
    <sheet name="405" sheetId="87" r:id="rId74"/>
    <sheet name="406" sheetId="88" r:id="rId75"/>
    <sheet name="408" sheetId="89" r:id="rId76"/>
    <sheet name="409" sheetId="90" r:id="rId77"/>
    <sheet name="411" sheetId="91" r:id="rId78"/>
    <sheet name="412" sheetId="92" r:id="rId79"/>
    <sheet name="420" sheetId="98" r:id="rId80"/>
    <sheet name="413" sheetId="93" r:id="rId81"/>
    <sheet name="414" sheetId="94" r:id="rId82"/>
    <sheet name="415" sheetId="95" r:id="rId83"/>
    <sheet name="418" sheetId="97" r:id="rId84"/>
    <sheet name="423" sheetId="99" r:id="rId85"/>
    <sheet name="424" sheetId="100" r:id="rId86"/>
    <sheet name="425" sheetId="101" r:id="rId87"/>
    <sheet name="455" sheetId="108" r:id="rId88"/>
    <sheet name="492" sheetId="45" r:id="rId89"/>
    <sheet name="430" sheetId="102" r:id="rId90"/>
    <sheet name="433" sheetId="103" r:id="rId91"/>
    <sheet name="435" sheetId="104" r:id="rId92"/>
    <sheet name="444" sheetId="105" r:id="rId93"/>
    <sheet name="450" sheetId="107" r:id="rId94"/>
    <sheet name="Div 5" sheetId="48" r:id="rId95"/>
    <sheet name="501" sheetId="109" r:id="rId96"/>
    <sheet name="Dept" sheetId="110" state="hidden" r:id="rId97"/>
    <sheet name="OSR_Dept_Y0WUKY" sheetId="111" state="hidden" r:id="rId98"/>
    <sheet name="OSR_Summary (...56e5d78f_5JEYZH" sheetId="112" state="hidden" r:id="rId99"/>
  </sheets>
  <definedNames>
    <definedName name="OSRRefD13x_0" localSheetId="41">'201'!$D$13</definedName>
    <definedName name="OSRRefD13x_0" localSheetId="42">'202'!$D$13</definedName>
    <definedName name="OSRRefD13x_0" localSheetId="48">'300'!$D$13:$D$72</definedName>
    <definedName name="OSRRefD13x_0" localSheetId="49">'300 &amp; 317'!$D$13:$D$86</definedName>
    <definedName name="OSRRefD13x_0" localSheetId="52">'307'!$D$13:$D$23</definedName>
    <definedName name="OSRRefD13x_0" localSheetId="53">'308'!$D$13:$D$32</definedName>
    <definedName name="OSRRefD13x_0" localSheetId="64">'309'!$D$13</definedName>
    <definedName name="OSRRefD13x_0" localSheetId="63">'310'!$D$13:$D$17</definedName>
    <definedName name="OSRRefD13x_0" localSheetId="71">'310 &amp; 491'!$D$13:$D$20</definedName>
    <definedName name="OSRRefD13x_0" localSheetId="54">'311'!$D$13:$D$31</definedName>
    <definedName name="OSRRefD13x_0" localSheetId="65">'313'!$D$13</definedName>
    <definedName name="OSRRefD13x_0" localSheetId="57">'315'!$D$13:$D$48</definedName>
    <definedName name="OSRRefD13x_0" localSheetId="60">'316'!$D$13:$D$22</definedName>
    <definedName name="OSRRefD13x_0" localSheetId="62">'317'!$D$13:$D$30</definedName>
    <definedName name="OSRRefD13x_0" localSheetId="66">'321'!$D$13:$D$15</definedName>
    <definedName name="OSRRefD13x_0" localSheetId="67">'322'!$D$13</definedName>
    <definedName name="OSRRefD13x_0" localSheetId="55">'324'!$D$13:$D$16</definedName>
    <definedName name="OSRRefD13x_0" localSheetId="68">'325'!$D$13:$D$14</definedName>
    <definedName name="OSRRefD13x_0" localSheetId="58">'326'!$D$13:$D$31</definedName>
    <definedName name="OSRRefD13x_0" localSheetId="69">'327'!$D$13:$D$14</definedName>
    <definedName name="OSRRefD13x_0" localSheetId="51">'330'!$D$13:$D$23</definedName>
    <definedName name="OSRRefD13x_0" localSheetId="56">'331'!$D$13:$D$48</definedName>
    <definedName name="OSRRefD13x_0" localSheetId="59">'332'!$D$13:$D$22</definedName>
    <definedName name="OSRRefD13x_0" localSheetId="73">'405'!$D$13:$D$14</definedName>
    <definedName name="OSRRefD13x_0" localSheetId="78">'412'!$D$13</definedName>
    <definedName name="OSRRefD13x_0" localSheetId="80">'413'!$D$13:$D$14</definedName>
    <definedName name="OSRRefD13x_0" localSheetId="81">'414'!$D$13:$D$15</definedName>
    <definedName name="OSRRefD13x_0" localSheetId="82">'415'!$D$13:$D$16</definedName>
    <definedName name="OSRRefD13x_0" localSheetId="83">'418'!$D$13:$D$14</definedName>
    <definedName name="OSRRefD13x_0" localSheetId="90">'433'!$D$13:$D$16</definedName>
    <definedName name="OSRRefD13x_0" localSheetId="92">'444'!$D$13:$D$16</definedName>
    <definedName name="OSRRefD13x_0" localSheetId="93">'450'!$D$13:$D$14</definedName>
    <definedName name="OSRRefD13x_0" localSheetId="72">'491'!$D$13:$D$17</definedName>
    <definedName name="OSRRefD13x_0" localSheetId="88">'492'!$D$13:$D$16</definedName>
    <definedName name="OSRRefD13x_0" localSheetId="95">'501'!$D$13</definedName>
    <definedName name="OSRRefD13x_0" localSheetId="39">'Div 2'!$D$13</definedName>
    <definedName name="OSRRefD13x_0" localSheetId="47">'Div 3'!$D$13:$D$74</definedName>
    <definedName name="OSRRefD13x_0" localSheetId="70">'Div 4'!$D$13:$D$19</definedName>
    <definedName name="OSRRefD13x_0" localSheetId="94">'Div 5'!$D$13</definedName>
    <definedName name="OSRRefD13x_0" localSheetId="61">'Div 6'!$D$13:$D$30</definedName>
    <definedName name="OSRRefD13x_0" localSheetId="2">Summary!$D$13:$D$92</definedName>
    <definedName name="OSRRefD16x_0" localSheetId="48">'300'!$D$75:$D$100</definedName>
    <definedName name="OSRRefD16x_0" localSheetId="49">'300 &amp; 317'!$D$89:$D$122</definedName>
    <definedName name="OSRRefD16x_0" localSheetId="52">'307'!$D$26:$D$30</definedName>
    <definedName name="OSRRefD16x_0" localSheetId="53">'308'!$D$35:$D$46</definedName>
    <definedName name="OSRRefD16x_0" localSheetId="64">'309'!$D$16</definedName>
    <definedName name="OSRRefD16x_0" localSheetId="63">'310'!$D$20:$D$22</definedName>
    <definedName name="OSRRefD16x_0" localSheetId="71">'310 &amp; 491'!$D$23:$D$25</definedName>
    <definedName name="OSRRefD16x_0" localSheetId="54">'311'!$D$34:$D$45</definedName>
    <definedName name="OSRRefD16x_0" localSheetId="65">'313'!$D$16:$D$17</definedName>
    <definedName name="OSRRefD16x_0" localSheetId="57">'315'!$D$51:$D$66</definedName>
    <definedName name="OSRRefD16x_0" localSheetId="62">'317'!$D$33:$D$43</definedName>
    <definedName name="OSRRefD16x_0" localSheetId="66">'321'!$D$18:$D$19</definedName>
    <definedName name="OSRRefD16x_0" localSheetId="67">'322'!$D$16:$D$17</definedName>
    <definedName name="OSRRefD16x_0" localSheetId="55">'324'!$D$19:$D$21</definedName>
    <definedName name="OSRRefD16x_0" localSheetId="68">'325'!$D$17:$D$18</definedName>
    <definedName name="OSRRefD16x_0" localSheetId="58">'326'!$D$34:$D$35</definedName>
    <definedName name="OSRRefD16x_0" localSheetId="69">'327'!$D$17:$D$18</definedName>
    <definedName name="OSRRefD16x_0" localSheetId="51">'330'!$D$26:$D$30</definedName>
    <definedName name="OSRRefD16x_0" localSheetId="56">'331'!$D$51:$D$66</definedName>
    <definedName name="OSRRefD16x_0" localSheetId="73">'405'!$D$17</definedName>
    <definedName name="OSRRefD16x_0" localSheetId="78">'412'!$D$16</definedName>
    <definedName name="OSRRefD16x_0" localSheetId="80">'413'!$D$17</definedName>
    <definedName name="OSRRefD16x_0" localSheetId="81">'414'!$D$18</definedName>
    <definedName name="OSRRefD16x_0" localSheetId="82">'415'!$D$19:$D$21</definedName>
    <definedName name="OSRRefD16x_0" localSheetId="83">'418'!$D$17</definedName>
    <definedName name="OSRRefD16x_0" localSheetId="90">'433'!$D$19:$D$21</definedName>
    <definedName name="OSRRefD16x_0" localSheetId="92">'444'!$D$19:$D$21</definedName>
    <definedName name="OSRRefD16x_0" localSheetId="93">'450'!$D$17</definedName>
    <definedName name="OSRRefD16x_0" localSheetId="72">'491'!$D$20:$D$22</definedName>
    <definedName name="OSRRefD16x_0" localSheetId="88">'492'!$D$19:$D$21</definedName>
    <definedName name="OSRRefD16x_0" localSheetId="47">'Div 3'!$D$77:$D$104</definedName>
    <definedName name="OSRRefD16x_0" localSheetId="70">'Div 4'!$D$22:$D$24</definedName>
    <definedName name="OSRRefD16x_0" localSheetId="61">'Div 6'!$D$33:$D$43</definedName>
    <definedName name="OSRRefD16x_0" localSheetId="2">Summary!$D$95:$D$130</definedName>
    <definedName name="OSRRefD22_0x_0" localSheetId="40">'200'!$D$20</definedName>
    <definedName name="OSRRefD22_0x_0" localSheetId="41">'201'!$D$21:$D$29</definedName>
    <definedName name="OSRRefD22_0x_0" localSheetId="42">'202'!$D$21:$D$29</definedName>
    <definedName name="OSRRefD22_0x_0" localSheetId="43">'203'!$D$20:$D$29</definedName>
    <definedName name="OSRRefD22_0x_0" localSheetId="44">'204'!$D$20:$D$29</definedName>
    <definedName name="OSRRefD22_0x_0" localSheetId="45">'205'!$D$20:$D$28</definedName>
    <definedName name="OSRRefD22_0x_0" localSheetId="46">'206'!$D$20:$D$28</definedName>
    <definedName name="OSRRefD22_0x_0" localSheetId="48">'300'!$D$106:$D$115</definedName>
    <definedName name="OSRRefD22_0x_0" localSheetId="49">'300 &amp; 317'!$D$128:$D$137</definedName>
    <definedName name="OSRRefD22_0x_0" localSheetId="50">'301'!$D$20:$D$28</definedName>
    <definedName name="OSRRefD22_0x_0" localSheetId="52">'307'!$D$36:$D$43</definedName>
    <definedName name="OSRRefD22_0x_0" localSheetId="53">'308'!$D$52:$D$61</definedName>
    <definedName name="OSRRefD22_0x_0" localSheetId="64">'309'!$D$22:$D$29</definedName>
    <definedName name="OSRRefD22_0x_0" localSheetId="63">'310'!$D$28:$D$36</definedName>
    <definedName name="OSRRefD22_0x_0" localSheetId="71">'310 &amp; 491'!$D$31:$D$39</definedName>
    <definedName name="OSRRefD22_0x_0" localSheetId="54">'311'!$D$51:$D$60</definedName>
    <definedName name="OSRRefD22_0x_0" localSheetId="65">'313'!$D$23:$D$31</definedName>
    <definedName name="OSRRefD22_0x_0" localSheetId="57">'315'!$D$72:$D$80</definedName>
    <definedName name="OSRRefD22_0x_0" localSheetId="60">'316'!$D$30:$D$38</definedName>
    <definedName name="OSRRefD22_0x_0" localSheetId="62">'317'!$D$49:$D$58</definedName>
    <definedName name="OSRRefD22_0x_0" localSheetId="66">'321'!$D$25:$D$33</definedName>
    <definedName name="OSRRefD22_0x_0" localSheetId="67">'322'!$D$23:$D$30</definedName>
    <definedName name="OSRRefD22_0x_0" localSheetId="55">'324'!$D$27:$D$34</definedName>
    <definedName name="OSRRefD22_0x_0" localSheetId="68">'325'!$D$24:$D$31</definedName>
    <definedName name="OSRRefD22_0x_0" localSheetId="58">'326'!$D$41:$D$49</definedName>
    <definedName name="OSRRefD22_0x_0" localSheetId="69">'327'!$D$24</definedName>
    <definedName name="OSRRefD22_0x_0" localSheetId="51">'330'!$D$36:$D$43</definedName>
    <definedName name="OSRRefD22_0x_0" localSheetId="56">'331'!$D$72:$D$80</definedName>
    <definedName name="OSRRefD22_0x_0" localSheetId="59">'332'!$D$30:$D$38</definedName>
    <definedName name="OSRRefD22_0x_0" localSheetId="73">'405'!$D$23:$D$30</definedName>
    <definedName name="OSRRefD22_0x_0" localSheetId="74">'406'!$D$20</definedName>
    <definedName name="OSRRefD22_0x_0" localSheetId="77">'411'!$D$20:$D$28</definedName>
    <definedName name="OSRRefD22_0x_0" localSheetId="78">'412'!$D$22:$D$29</definedName>
    <definedName name="OSRRefD22_0x_0" localSheetId="80">'413'!$D$23:$D$31</definedName>
    <definedName name="OSRRefD22_0x_0" localSheetId="81">'414'!$D$24:$D$32</definedName>
    <definedName name="OSRRefD22_0x_0" localSheetId="82">'415'!$D$27:$D$35</definedName>
    <definedName name="OSRRefD22_0x_0" localSheetId="83">'418'!$D$23:$D$30</definedName>
    <definedName name="OSRRefD22_0x_0" localSheetId="84">'423'!$D$20:$D$27</definedName>
    <definedName name="OSRRefD22_0x_0" localSheetId="85">'424'!$D$20</definedName>
    <definedName name="OSRRefD22_0x_0" localSheetId="86">'425'!$D$20:$D$24</definedName>
    <definedName name="OSRRefD22_0x_0" localSheetId="89">'430'!$D$20:$D$28</definedName>
    <definedName name="OSRRefD22_0x_0" localSheetId="90">'433'!$D$27:$D$36</definedName>
    <definedName name="OSRRefD22_0x_0" localSheetId="91">'435'!$D$20</definedName>
    <definedName name="OSRRefD22_0x_0" localSheetId="92">'444'!$D$27:$D$36</definedName>
    <definedName name="OSRRefD22_0x_0" localSheetId="93">'450'!$D$23:$D$32</definedName>
    <definedName name="OSRRefD22_0x_0" localSheetId="72">'491'!$D$28:$D$36</definedName>
    <definedName name="OSRRefD22_0x_0" localSheetId="88">'492'!$D$27:$D$36</definedName>
    <definedName name="OSRRefD22_0x_0" localSheetId="95">'501'!$D$21:$D$30</definedName>
    <definedName name="OSRRefD22_0x_0" localSheetId="39">'Div 2'!$D$21:$D$31</definedName>
    <definedName name="OSRRefD22_0x_0" localSheetId="47">'Div 3'!$D$110:$D$119</definedName>
    <definedName name="OSRRefD22_0x_0" localSheetId="70">'Div 4'!$D$30:$D$39</definedName>
    <definedName name="OSRRefD22_0x_0" localSheetId="94">'Div 5'!$D$21:$D$30</definedName>
    <definedName name="OSRRefD22_0x_0" localSheetId="61">'Div 6'!$D$49:$D$58</definedName>
    <definedName name="OSRRefD22_0x_0" localSheetId="2">Summary!$D$136:$D$145</definedName>
    <definedName name="OSRRefD22_10x_0" localSheetId="41">'201'!$D$58:$D$59</definedName>
    <definedName name="OSRRefD22_10x_0" localSheetId="42">'202'!$D$62</definedName>
    <definedName name="OSRRefD22_10x_0" localSheetId="43">'203'!$D$61</definedName>
    <definedName name="OSRRefD22_10x_0" localSheetId="44">'204'!$D$63</definedName>
    <definedName name="OSRRefD22_10x_0" localSheetId="48">'300'!$D$147:$D$148</definedName>
    <definedName name="OSRRefD22_10x_0" localSheetId="49">'300 &amp; 317'!$D$169:$D$170</definedName>
    <definedName name="OSRRefD22_10x_0" localSheetId="50">'301'!$D$59</definedName>
    <definedName name="OSRRefD22_10x_0" localSheetId="52">'307'!$D$73:$D$74</definedName>
    <definedName name="OSRRefD22_10x_0" localSheetId="53">'308'!$D$92</definedName>
    <definedName name="OSRRefD22_10x_0" localSheetId="63">'310'!$D$66</definedName>
    <definedName name="OSRRefD22_10x_0" localSheetId="71">'310 &amp; 491'!$D$71</definedName>
    <definedName name="OSRRefD22_10x_0" localSheetId="54">'311'!$D$91</definedName>
    <definedName name="OSRRefD22_10x_0" localSheetId="65">'313'!$D$64</definedName>
    <definedName name="OSRRefD22_10x_0" localSheetId="57">'315'!$D$110</definedName>
    <definedName name="OSRRefD22_10x_0" localSheetId="60">'316'!$D$72</definedName>
    <definedName name="OSRRefD22_10x_0" localSheetId="62">'317'!$D$88:$D$90</definedName>
    <definedName name="OSRRefD22_10x_0" localSheetId="66">'321'!$D$64:$D$66</definedName>
    <definedName name="OSRRefD22_10x_0" localSheetId="67">'322'!$D$64</definedName>
    <definedName name="OSRRefD22_10x_0" localSheetId="68">'325'!$D$64:$D$66</definedName>
    <definedName name="OSRRefD22_10x_0" localSheetId="58">'326'!$D$79</definedName>
    <definedName name="OSRRefD22_10x_0" localSheetId="51">'330'!$D$73:$D$74</definedName>
    <definedName name="OSRRefD22_10x_0" localSheetId="56">'331'!$D$111</definedName>
    <definedName name="OSRRefD22_10x_0" localSheetId="59">'332'!$D$72</definedName>
    <definedName name="OSRRefD22_10x_0" localSheetId="73">'405'!$D$61:$D$64</definedName>
    <definedName name="OSRRefD22_10x_0" localSheetId="77">'411'!$D$62:$D$68</definedName>
    <definedName name="OSRRefD22_10x_0" localSheetId="78">'412'!$D$60:$D$63</definedName>
    <definedName name="OSRRefD22_10x_0" localSheetId="80">'413'!$D$70:$D$71</definedName>
    <definedName name="OSRRefD22_10x_0" localSheetId="81">'414'!$D$62</definedName>
    <definedName name="OSRRefD22_10x_0" localSheetId="82">'415'!$D$65:$D$66</definedName>
    <definedName name="OSRRefD22_10x_0" localSheetId="83">'418'!$D$63</definedName>
    <definedName name="OSRRefD22_10x_0" localSheetId="90">'433'!$D$65</definedName>
    <definedName name="OSRRefD22_10x_0" localSheetId="92">'444'!$D$65</definedName>
    <definedName name="OSRRefD22_10x_0" localSheetId="93">'450'!$D$61</definedName>
    <definedName name="OSRRefD22_10x_0" localSheetId="72">'491'!$D$67</definedName>
    <definedName name="OSRRefD22_10x_0" localSheetId="88">'492'!$D$65</definedName>
    <definedName name="OSRRefD22_10x_0" localSheetId="95">'501'!$D$62:$D$63</definedName>
    <definedName name="OSRRefD22_10x_0" localSheetId="39">'Div 2'!$D$62</definedName>
    <definedName name="OSRRefD22_10x_0" localSheetId="47">'Div 3'!$D$151:$D$152</definedName>
    <definedName name="OSRRefD22_10x_0" localSheetId="70">'Div 4'!$D$70</definedName>
    <definedName name="OSRRefD22_10x_0" localSheetId="94">'Div 5'!$D$62:$D$63</definedName>
    <definedName name="OSRRefD22_10x_0" localSheetId="61">'Div 6'!$D$88:$D$90</definedName>
    <definedName name="OSRRefD22_10x_0" localSheetId="2">Summary!$D$178:$D$179</definedName>
    <definedName name="OSRRefD22_11x_0" localSheetId="41">'201'!$D$61</definedName>
    <definedName name="OSRRefD22_11x_0" localSheetId="42">'202'!$D$64</definedName>
    <definedName name="OSRRefD22_11x_0" localSheetId="43">'203'!$D$63:$D$65</definedName>
    <definedName name="OSRRefD22_11x_0" localSheetId="48">'300'!$D$150:$D$152</definedName>
    <definedName name="OSRRefD22_11x_0" localSheetId="49">'300 &amp; 317'!$D$172:$D$174</definedName>
    <definedName name="OSRRefD22_11x_0" localSheetId="50">'301'!$D$61</definedName>
    <definedName name="OSRRefD22_11x_0" localSheetId="52">'307'!$D$76:$D$79</definedName>
    <definedName name="OSRRefD22_11x_0" localSheetId="53">'308'!$D$94:$D$96</definedName>
    <definedName name="OSRRefD22_11x_0" localSheetId="63">'310'!$D$68:$D$71</definedName>
    <definedName name="OSRRefD22_11x_0" localSheetId="71">'310 &amp; 491'!$D$73</definedName>
    <definedName name="OSRRefD22_11x_0" localSheetId="54">'311'!$D$93:$D$95</definedName>
    <definedName name="OSRRefD22_11x_0" localSheetId="57">'315'!$D$112</definedName>
    <definedName name="OSRRefD22_11x_0" localSheetId="60">'316'!$D$74</definedName>
    <definedName name="OSRRefD22_11x_0" localSheetId="62">'317'!$D$92</definedName>
    <definedName name="OSRRefD22_11x_0" localSheetId="66">'321'!$D$68:$D$69</definedName>
    <definedName name="OSRRefD22_11x_0" localSheetId="67">'322'!$D$66</definedName>
    <definedName name="OSRRefD22_11x_0" localSheetId="68">'325'!$D$68</definedName>
    <definedName name="OSRRefD22_11x_0" localSheetId="58">'326'!$D$81</definedName>
    <definedName name="OSRRefD22_11x_0" localSheetId="51">'330'!$D$76:$D$79</definedName>
    <definedName name="OSRRefD22_11x_0" localSheetId="56">'331'!$D$113</definedName>
    <definedName name="OSRRefD22_11x_0" localSheetId="59">'332'!$D$74</definedName>
    <definedName name="OSRRefD22_11x_0" localSheetId="73">'405'!$D$66</definedName>
    <definedName name="OSRRefD22_11x_0" localSheetId="77">'411'!$D$70</definedName>
    <definedName name="OSRRefD22_11x_0" localSheetId="78">'412'!$D$65:$D$69</definedName>
    <definedName name="OSRRefD22_11x_0" localSheetId="80">'413'!$D$73</definedName>
    <definedName name="OSRRefD22_11x_0" localSheetId="81">'414'!$D$64</definedName>
    <definedName name="OSRRefD22_11x_0" localSheetId="82">'415'!$D$68:$D$72</definedName>
    <definedName name="OSRRefD22_11x_0" localSheetId="83">'418'!$D$65:$D$74</definedName>
    <definedName name="OSRRefD22_11x_0" localSheetId="90">'433'!$D$67:$D$68</definedName>
    <definedName name="OSRRefD22_11x_0" localSheetId="92">'444'!$D$67:$D$69</definedName>
    <definedName name="OSRRefD22_11x_0" localSheetId="93">'450'!$D$63</definedName>
    <definedName name="OSRRefD22_11x_0" localSheetId="72">'491'!$D$69</definedName>
    <definedName name="OSRRefD22_11x_0" localSheetId="88">'492'!$D$67</definedName>
    <definedName name="OSRRefD22_11x_0" localSheetId="95">'501'!$D$65</definedName>
    <definedName name="OSRRefD22_11x_0" localSheetId="39">'Div 2'!$D$64:$D$65</definedName>
    <definedName name="OSRRefD22_11x_0" localSheetId="47">'Div 3'!$D$154:$D$156</definedName>
    <definedName name="OSRRefD22_11x_0" localSheetId="70">'Div 4'!$D$72</definedName>
    <definedName name="OSRRefD22_11x_0" localSheetId="94">'Div 5'!$D$65</definedName>
    <definedName name="OSRRefD22_11x_0" localSheetId="61">'Div 6'!$D$92</definedName>
    <definedName name="OSRRefD22_11x_0" localSheetId="2">Summary!$D$181:$D$183</definedName>
    <definedName name="OSRRefD22_12x_0" localSheetId="41">'201'!$D$63</definedName>
    <definedName name="OSRRefD22_12x_0" localSheetId="42">'202'!$D$66</definedName>
    <definedName name="OSRRefD22_12x_0" localSheetId="43">'203'!$D$67</definedName>
    <definedName name="OSRRefD22_12x_0" localSheetId="48">'300'!$D$154</definedName>
    <definedName name="OSRRefD22_12x_0" localSheetId="49">'300 &amp; 317'!$D$176</definedName>
    <definedName name="OSRRefD22_12x_0" localSheetId="50">'301'!$D$63</definedName>
    <definedName name="OSRRefD22_12x_0" localSheetId="52">'307'!$D$81:$D$82</definedName>
    <definedName name="OSRRefD22_12x_0" localSheetId="53">'308'!$D$98:$D$99</definedName>
    <definedName name="OSRRefD22_12x_0" localSheetId="63">'310'!$D$73</definedName>
    <definedName name="OSRRefD22_12x_0" localSheetId="71">'310 &amp; 491'!$D$75</definedName>
    <definedName name="OSRRefD22_12x_0" localSheetId="54">'311'!$D$97:$D$98</definedName>
    <definedName name="OSRRefD22_12x_0" localSheetId="57">'315'!$D$114:$D$116</definedName>
    <definedName name="OSRRefD22_12x_0" localSheetId="66">'321'!$D$71</definedName>
    <definedName name="OSRRefD22_12x_0" localSheetId="68">'325'!$D$70:$D$74</definedName>
    <definedName name="OSRRefD22_12x_0" localSheetId="58">'326'!$D$83</definedName>
    <definedName name="OSRRefD22_12x_0" localSheetId="51">'330'!$D$81:$D$82</definedName>
    <definedName name="OSRRefD22_12x_0" localSheetId="56">'331'!$D$115</definedName>
    <definedName name="OSRRefD22_12x_0" localSheetId="73">'405'!$D$68:$D$76</definedName>
    <definedName name="OSRRefD22_12x_0" localSheetId="77">'411'!$D$72</definedName>
    <definedName name="OSRRefD22_12x_0" localSheetId="78">'412'!$D$71:$D$72</definedName>
    <definedName name="OSRRefD22_12x_0" localSheetId="81">'414'!$D$66:$D$68</definedName>
    <definedName name="OSRRefD22_12x_0" localSheetId="82">'415'!$D$74</definedName>
    <definedName name="OSRRefD22_12x_0" localSheetId="83">'418'!$D$76:$D$77</definedName>
    <definedName name="OSRRefD22_12x_0" localSheetId="90">'433'!$D$70:$D$73</definedName>
    <definedName name="OSRRefD22_12x_0" localSheetId="92">'444'!$D$71:$D$73</definedName>
    <definedName name="OSRRefD22_12x_0" localSheetId="93">'450'!$D$65</definedName>
    <definedName name="OSRRefD22_12x_0" localSheetId="72">'491'!$D$71</definedName>
    <definedName name="OSRRefD22_12x_0" localSheetId="88">'492'!$D$69:$D$71</definedName>
    <definedName name="OSRRefD22_12x_0" localSheetId="39">'Div 2'!$D$67:$D$70</definedName>
    <definedName name="OSRRefD22_12x_0" localSheetId="47">'Div 3'!$D$158</definedName>
    <definedName name="OSRRefD22_12x_0" localSheetId="70">'Div 4'!$D$74</definedName>
    <definedName name="OSRRefD22_12x_0" localSheetId="2">Summary!$D$185</definedName>
    <definedName name="OSRRefD22_13x_0" localSheetId="41">'201'!$D$65:$D$67</definedName>
    <definedName name="OSRRefD22_13x_0" localSheetId="43">'203'!$D$69</definedName>
    <definedName name="OSRRefD22_13x_0" localSheetId="48">'300'!$D$156</definedName>
    <definedName name="OSRRefD22_13x_0" localSheetId="49">'300 &amp; 317'!$D$178</definedName>
    <definedName name="OSRRefD22_13x_0" localSheetId="50">'301'!$D$65:$D$68</definedName>
    <definedName name="OSRRefD22_13x_0" localSheetId="52">'307'!$D$84</definedName>
    <definedName name="OSRRefD22_13x_0" localSheetId="53">'308'!$D$101</definedName>
    <definedName name="OSRRefD22_13x_0" localSheetId="63">'310'!$D$75:$D$78</definedName>
    <definedName name="OSRRefD22_13x_0" localSheetId="71">'310 &amp; 491'!$D$77:$D$80</definedName>
    <definedName name="OSRRefD22_13x_0" localSheetId="54">'311'!$D$100</definedName>
    <definedName name="OSRRefD22_13x_0" localSheetId="57">'315'!$D$118:$D$119</definedName>
    <definedName name="OSRRefD22_13x_0" localSheetId="66">'321'!$D$73</definedName>
    <definedName name="OSRRefD22_13x_0" localSheetId="68">'325'!$D$76:$D$77</definedName>
    <definedName name="OSRRefD22_13x_0" localSheetId="58">'326'!$D$85:$D$86</definedName>
    <definedName name="OSRRefD22_13x_0" localSheetId="51">'330'!$D$84</definedName>
    <definedName name="OSRRefD22_13x_0" localSheetId="56">'331'!$D$117</definedName>
    <definedName name="OSRRefD22_13x_0" localSheetId="73">'405'!$D$78</definedName>
    <definedName name="OSRRefD22_13x_0" localSheetId="77">'411'!$D$74</definedName>
    <definedName name="OSRRefD22_13x_0" localSheetId="78">'412'!$D$74</definedName>
    <definedName name="OSRRefD22_13x_0" localSheetId="81">'414'!$D$70</definedName>
    <definedName name="OSRRefD22_13x_0" localSheetId="82">'415'!$D$76:$D$82</definedName>
    <definedName name="OSRRefD22_13x_0" localSheetId="83">'418'!$D$79</definedName>
    <definedName name="OSRRefD22_13x_0" localSheetId="90">'433'!$D$75:$D$82</definedName>
    <definedName name="OSRRefD22_13x_0" localSheetId="92">'444'!$D$75:$D$83</definedName>
    <definedName name="OSRRefD22_13x_0" localSheetId="93">'450'!$D$67:$D$69</definedName>
    <definedName name="OSRRefD22_13x_0" localSheetId="72">'491'!$D$73:$D$76</definedName>
    <definedName name="OSRRefD22_13x_0" localSheetId="88">'492'!$D$73:$D$76</definedName>
    <definedName name="OSRRefD22_13x_0" localSheetId="39">'Div 2'!$D$72:$D$75</definedName>
    <definedName name="OSRRefD22_13x_0" localSheetId="47">'Div 3'!$D$160</definedName>
    <definedName name="OSRRefD22_13x_0" localSheetId="70">'Div 4'!$D$76</definedName>
    <definedName name="OSRRefD22_13x_0" localSheetId="2">Summary!$D$187</definedName>
    <definedName name="OSRRefD22_14x_0" localSheetId="41">'201'!$D$69</definedName>
    <definedName name="OSRRefD22_14x_0" localSheetId="48">'300'!$D$158</definedName>
    <definedName name="OSRRefD22_14x_0" localSheetId="49">'300 &amp; 317'!$D$180</definedName>
    <definedName name="OSRRefD22_14x_0" localSheetId="50">'301'!$D$70:$D$72</definedName>
    <definedName name="OSRRefD22_14x_0" localSheetId="63">'310'!$D$80</definedName>
    <definedName name="OSRRefD22_14x_0" localSheetId="71">'310 &amp; 491'!$D$82:$D$83</definedName>
    <definedName name="OSRRefD22_14x_0" localSheetId="57">'315'!$D$121:$D$127</definedName>
    <definedName name="OSRRefD22_14x_0" localSheetId="68">'325'!$D$79</definedName>
    <definedName name="OSRRefD22_14x_0" localSheetId="58">'326'!$D$88:$D$90</definedName>
    <definedName name="OSRRefD22_14x_0" localSheetId="56">'331'!$D$119:$D$120</definedName>
    <definedName name="OSRRefD22_14x_0" localSheetId="73">'405'!$D$80</definedName>
    <definedName name="OSRRefD22_14x_0" localSheetId="81">'414'!$D$72</definedName>
    <definedName name="OSRRefD22_14x_0" localSheetId="82">'415'!$D$84:$D$85</definedName>
    <definedName name="OSRRefD22_14x_0" localSheetId="90">'433'!$D$84</definedName>
    <definedName name="OSRRefD22_14x_0" localSheetId="92">'444'!$D$85:$D$86</definedName>
    <definedName name="OSRRefD22_14x_0" localSheetId="93">'450'!$D$71:$D$77</definedName>
    <definedName name="OSRRefD22_14x_0" localSheetId="72">'491'!$D$78:$D$79</definedName>
    <definedName name="OSRRefD22_14x_0" localSheetId="88">'492'!$D$78:$D$87</definedName>
    <definedName name="OSRRefD22_14x_0" localSheetId="39">'Div 2'!$D$77:$D$78</definedName>
    <definedName name="OSRRefD22_14x_0" localSheetId="47">'Div 3'!$D$162</definedName>
    <definedName name="OSRRefD22_14x_0" localSheetId="70">'Div 4'!$D$78</definedName>
    <definedName name="OSRRefD22_14x_0" localSheetId="2">Summary!$D$189</definedName>
    <definedName name="OSRRefD22_15x_0" localSheetId="41">'201'!$D$71</definedName>
    <definedName name="OSRRefD22_15x_0" localSheetId="48">'300'!$D$160</definedName>
    <definedName name="OSRRefD22_15x_0" localSheetId="49">'300 &amp; 317'!$D$182</definedName>
    <definedName name="OSRRefD22_15x_0" localSheetId="50">'301'!$D$74</definedName>
    <definedName name="OSRRefD22_15x_0" localSheetId="63">'310'!$D$82:$D$88</definedName>
    <definedName name="OSRRefD22_15x_0" localSheetId="71">'310 &amp; 491'!$D$85:$D$89</definedName>
    <definedName name="OSRRefD22_15x_0" localSheetId="57">'315'!$D$129</definedName>
    <definedName name="OSRRefD22_15x_0" localSheetId="58">'326'!$D$92:$D$93</definedName>
    <definedName name="OSRRefD22_15x_0" localSheetId="56">'331'!$D$122:$D$124</definedName>
    <definedName name="OSRRefD22_15x_0" localSheetId="73">'405'!$D$82</definedName>
    <definedName name="OSRRefD22_15x_0" localSheetId="81">'414'!$D$74</definedName>
    <definedName name="OSRRefD22_15x_0" localSheetId="82">'415'!$D$87</definedName>
    <definedName name="OSRRefD22_15x_0" localSheetId="92">'444'!$D$88</definedName>
    <definedName name="OSRRefD22_15x_0" localSheetId="93">'450'!$D$79:$D$80</definedName>
    <definedName name="OSRRefD22_15x_0" localSheetId="72">'491'!$D$81:$D$85</definedName>
    <definedName name="OSRRefD22_15x_0" localSheetId="88">'492'!$D$89:$D$90</definedName>
    <definedName name="OSRRefD22_15x_0" localSheetId="39">'Div 2'!$D$80:$D$81</definedName>
    <definedName name="OSRRefD22_15x_0" localSheetId="47">'Div 3'!$D$164</definedName>
    <definedName name="OSRRefD22_15x_0" localSheetId="70">'Div 4'!$D$80:$D$83</definedName>
    <definedName name="OSRRefD22_15x_0" localSheetId="2">Summary!$D$191</definedName>
    <definedName name="OSRRefD22_16x_0" localSheetId="48">'300'!$D$162:$D$165</definedName>
    <definedName name="OSRRefD22_16x_0" localSheetId="49">'300 &amp; 317'!$D$184:$D$187</definedName>
    <definedName name="OSRRefD22_16x_0" localSheetId="50">'301'!$D$76:$D$82</definedName>
    <definedName name="OSRRefD22_16x_0" localSheetId="63">'310'!$D$90:$D$91</definedName>
    <definedName name="OSRRefD22_16x_0" localSheetId="71">'310 &amp; 491'!$D$91</definedName>
    <definedName name="OSRRefD22_16x_0" localSheetId="57">'315'!$D$131:$D$132</definedName>
    <definedName name="OSRRefD22_16x_0" localSheetId="58">'326'!$D$95:$D$100</definedName>
    <definedName name="OSRRefD22_16x_0" localSheetId="56">'331'!$D$126:$D$128</definedName>
    <definedName name="OSRRefD22_16x_0" localSheetId="93">'450'!$D$82</definedName>
    <definedName name="OSRRefD22_16x_0" localSheetId="72">'491'!$D$87</definedName>
    <definedName name="OSRRefD22_16x_0" localSheetId="88">'492'!$D$92</definedName>
    <definedName name="OSRRefD22_16x_0" localSheetId="39">'Div 2'!$D$83:$D$87</definedName>
    <definedName name="OSRRefD22_16x_0" localSheetId="47">'Div 3'!$D$166</definedName>
    <definedName name="OSRRefD22_16x_0" localSheetId="70">'Div 4'!$D$85:$D$86</definedName>
    <definedName name="OSRRefD22_16x_0" localSheetId="2">Summary!$D$193</definedName>
    <definedName name="OSRRefD22_17x_0" localSheetId="48">'300'!$D$167:$D$170</definedName>
    <definedName name="OSRRefD22_17x_0" localSheetId="49">'300 &amp; 317'!$D$189:$D$192</definedName>
    <definedName name="OSRRefD22_17x_0" localSheetId="50">'301'!$D$84</definedName>
    <definedName name="OSRRefD22_17x_0" localSheetId="63">'310'!$D$93</definedName>
    <definedName name="OSRRefD22_17x_0" localSheetId="71">'310 &amp; 491'!$D$93:$D$103</definedName>
    <definedName name="OSRRefD22_17x_0" localSheetId="58">'326'!$D$102:$D$103</definedName>
    <definedName name="OSRRefD22_17x_0" localSheetId="56">'331'!$D$130:$D$131</definedName>
    <definedName name="OSRRefD22_17x_0" localSheetId="72">'491'!$D$89:$D$99</definedName>
    <definedName name="OSRRefD22_17x_0" localSheetId="88">'492'!$D$94</definedName>
    <definedName name="OSRRefD22_17x_0" localSheetId="39">'Div 2'!$D$89:$D$90</definedName>
    <definedName name="OSRRefD22_17x_0" localSheetId="47">'Div 3'!$D$168:$D$171</definedName>
    <definedName name="OSRRefD22_17x_0" localSheetId="70">'Div 4'!$D$88:$D$92</definedName>
    <definedName name="OSRRefD22_17x_0" localSheetId="2">Summary!$D$195</definedName>
    <definedName name="OSRRefD22_18x_0" localSheetId="48">'300'!$D$172:$D$175</definedName>
    <definedName name="OSRRefD22_18x_0" localSheetId="49">'300 &amp; 317'!$D$194:$D$197</definedName>
    <definedName name="OSRRefD22_18x_0" localSheetId="50">'301'!$D$86</definedName>
    <definedName name="OSRRefD22_18x_0" localSheetId="63">'310'!$D$95</definedName>
    <definedName name="OSRRefD22_18x_0" localSheetId="71">'310 &amp; 491'!$D$105:$D$106</definedName>
    <definedName name="OSRRefD22_18x_0" localSheetId="58">'326'!$D$105</definedName>
    <definedName name="OSRRefD22_18x_0" localSheetId="56">'331'!$D$133:$D$140</definedName>
    <definedName name="OSRRefD22_18x_0" localSheetId="72">'491'!$D$101:$D$102</definedName>
    <definedName name="OSRRefD22_18x_0" localSheetId="39">'Div 2'!$D$92</definedName>
    <definedName name="OSRRefD22_18x_0" localSheetId="47">'Div 3'!$D$173:$D$176</definedName>
    <definedName name="OSRRefD22_18x_0" localSheetId="70">'Div 4'!$D$94</definedName>
    <definedName name="OSRRefD22_18x_0" localSheetId="2">Summary!$D$197:$D$200</definedName>
    <definedName name="OSRRefD22_19x_0" localSheetId="48">'300'!$D$177:$D$178</definedName>
    <definedName name="OSRRefD22_19x_0" localSheetId="49">'300 &amp; 317'!$D$199:$D$200</definedName>
    <definedName name="OSRRefD22_19x_0" localSheetId="50">'301'!$D$88</definedName>
    <definedName name="OSRRefD22_19x_0" localSheetId="71">'310 &amp; 491'!$D$108</definedName>
    <definedName name="OSRRefD22_19x_0" localSheetId="58">'326'!$D$107:$D$108</definedName>
    <definedName name="OSRRefD22_19x_0" localSheetId="56">'331'!$D$142:$D$143</definedName>
    <definedName name="OSRRefD22_19x_0" localSheetId="72">'491'!$D$104</definedName>
    <definedName name="OSRRefD22_19x_0" localSheetId="39">'Div 2'!$D$94:$D$95</definedName>
    <definedName name="OSRRefD22_19x_0" localSheetId="47">'Div 3'!$D$178:$D$182</definedName>
    <definedName name="OSRRefD22_19x_0" localSheetId="70">'Div 4'!$D$96:$D$106</definedName>
    <definedName name="OSRRefD22_19x_0" localSheetId="2">Summary!$D$202:$D$205</definedName>
    <definedName name="OSRRefD22_1x_0" localSheetId="40">'200'!$D$22</definedName>
    <definedName name="OSRRefD22_1x_0" localSheetId="41">'201'!$D$31:$D$40</definedName>
    <definedName name="OSRRefD22_1x_0" localSheetId="42">'202'!$D$31:$D$40</definedName>
    <definedName name="OSRRefD22_1x_0" localSheetId="43">'203'!$D$31:$D$40</definedName>
    <definedName name="OSRRefD22_1x_0" localSheetId="44">'204'!$D$31:$D$40</definedName>
    <definedName name="OSRRefD22_1x_0" localSheetId="45">'205'!$D$30:$D$39</definedName>
    <definedName name="OSRRefD22_1x_0" localSheetId="46">'206'!$D$30:$D$39</definedName>
    <definedName name="OSRRefD22_1x_0" localSheetId="48">'300'!$D$117:$D$126</definedName>
    <definedName name="OSRRefD22_1x_0" localSheetId="49">'300 &amp; 317'!$D$139:$D$148</definedName>
    <definedName name="OSRRefD22_1x_0" localSheetId="50">'301'!$D$30:$D$39</definedName>
    <definedName name="OSRRefD22_1x_0" localSheetId="52">'307'!$D$45:$D$54</definedName>
    <definedName name="OSRRefD22_1x_0" localSheetId="53">'308'!$D$63:$D$72</definedName>
    <definedName name="OSRRefD22_1x_0" localSheetId="64">'309'!$D$31:$D$40</definedName>
    <definedName name="OSRRefD22_1x_0" localSheetId="63">'310'!$D$38:$D$47</definedName>
    <definedName name="OSRRefD22_1x_0" localSheetId="71">'310 &amp; 491'!$D$41:$D$50</definedName>
    <definedName name="OSRRefD22_1x_0" localSheetId="54">'311'!$D$62:$D$71</definedName>
    <definedName name="OSRRefD22_1x_0" localSheetId="65">'313'!$D$33:$D$42</definedName>
    <definedName name="OSRRefD22_1x_0" localSheetId="57">'315'!$D$82:$D$91</definedName>
    <definedName name="OSRRefD22_1x_0" localSheetId="60">'316'!$D$40:$D$49</definedName>
    <definedName name="OSRRefD22_1x_0" localSheetId="62">'317'!$D$60:$D$69</definedName>
    <definedName name="OSRRefD22_1x_0" localSheetId="66">'321'!$D$35:$D$44</definedName>
    <definedName name="OSRRefD22_1x_0" localSheetId="67">'322'!$D$32:$D$41</definedName>
    <definedName name="OSRRefD22_1x_0" localSheetId="55">'324'!$D$36:$D$45</definedName>
    <definedName name="OSRRefD22_1x_0" localSheetId="68">'325'!$D$33:$D$42</definedName>
    <definedName name="OSRRefD22_1x_0" localSheetId="58">'326'!$D$51:$D$60</definedName>
    <definedName name="OSRRefD22_1x_0" localSheetId="51">'330'!$D$45:$D$54</definedName>
    <definedName name="OSRRefD22_1x_0" localSheetId="56">'331'!$D$82:$D$91</definedName>
    <definedName name="OSRRefD22_1x_0" localSheetId="59">'332'!$D$40:$D$49</definedName>
    <definedName name="OSRRefD22_1x_0" localSheetId="73">'405'!$D$32:$D$41</definedName>
    <definedName name="OSRRefD22_1x_0" localSheetId="74">'406'!$D$22</definedName>
    <definedName name="OSRRefD22_1x_0" localSheetId="77">'411'!$D$30:$D$39</definedName>
    <definedName name="OSRRefD22_1x_0" localSheetId="78">'412'!$D$31:$D$40</definedName>
    <definedName name="OSRRefD22_1x_0" localSheetId="80">'413'!$D$33:$D$42</definedName>
    <definedName name="OSRRefD22_1x_0" localSheetId="81">'414'!$D$34:$D$43</definedName>
    <definedName name="OSRRefD22_1x_0" localSheetId="82">'415'!$D$37:$D$46</definedName>
    <definedName name="OSRRefD22_1x_0" localSheetId="83">'418'!$D$32:$D$41</definedName>
    <definedName name="OSRRefD22_1x_0" localSheetId="84">'423'!$D$29:$D$38</definedName>
    <definedName name="OSRRefD22_1x_0" localSheetId="85">'424'!$D$22</definedName>
    <definedName name="OSRRefD22_1x_0" localSheetId="86">'425'!$D$26</definedName>
    <definedName name="OSRRefD22_1x_0" localSheetId="89">'430'!$D$30:$D$39</definedName>
    <definedName name="OSRRefD22_1x_0" localSheetId="90">'433'!$D$38:$D$47</definedName>
    <definedName name="OSRRefD22_1x_0" localSheetId="92">'444'!$D$38:$D$47</definedName>
    <definedName name="OSRRefD22_1x_0" localSheetId="93">'450'!$D$34:$D$43</definedName>
    <definedName name="OSRRefD22_1x_0" localSheetId="72">'491'!$D$38:$D$47</definedName>
    <definedName name="OSRRefD22_1x_0" localSheetId="88">'492'!$D$38:$D$47</definedName>
    <definedName name="OSRRefD22_1x_0" localSheetId="95">'501'!$D$32:$D$41</definedName>
    <definedName name="OSRRefD22_1x_0" localSheetId="39">'Div 2'!$D$33:$D$42</definedName>
    <definedName name="OSRRefD22_1x_0" localSheetId="47">'Div 3'!$D$121:$D$130</definedName>
    <definedName name="OSRRefD22_1x_0" localSheetId="70">'Div 4'!$D$41:$D$50</definedName>
    <definedName name="OSRRefD22_1x_0" localSheetId="94">'Div 5'!$D$32:$D$41</definedName>
    <definedName name="OSRRefD22_1x_0" localSheetId="61">'Div 6'!$D$60:$D$69</definedName>
    <definedName name="OSRRefD22_1x_0" localSheetId="2">Summary!$D$147:$D$156</definedName>
    <definedName name="OSRRefD22_20x_0" localSheetId="48">'300'!$D$180:$D$188</definedName>
    <definedName name="OSRRefD22_20x_0" localSheetId="49">'300 &amp; 317'!$D$202:$D$210</definedName>
    <definedName name="OSRRefD22_20x_0" localSheetId="50">'301'!$D$90</definedName>
    <definedName name="OSRRefD22_20x_0" localSheetId="71">'310 &amp; 491'!$D$110:$D$111</definedName>
    <definedName name="OSRRefD22_20x_0" localSheetId="58">'326'!$D$110</definedName>
    <definedName name="OSRRefD22_20x_0" localSheetId="56">'331'!$D$145</definedName>
    <definedName name="OSRRefD22_20x_0" localSheetId="72">'491'!$D$106:$D$107</definedName>
    <definedName name="OSRRefD22_20x_0" localSheetId="47">'Div 3'!$D$184:$D$185</definedName>
    <definedName name="OSRRefD22_20x_0" localSheetId="70">'Div 4'!$D$108:$D$109</definedName>
    <definedName name="OSRRefD22_20x_0" localSheetId="2">Summary!$D$207:$D$211</definedName>
    <definedName name="OSRRefD22_21x_0" localSheetId="48">'300'!$D$190:$D$191</definedName>
    <definedName name="OSRRefD22_21x_0" localSheetId="49">'300 &amp; 317'!$D$212:$D$213</definedName>
    <definedName name="OSRRefD22_21x_0" localSheetId="71">'310 &amp; 491'!$D$113</definedName>
    <definedName name="OSRRefD22_21x_0" localSheetId="56">'331'!$D$147:$D$148</definedName>
    <definedName name="OSRRefD22_21x_0" localSheetId="72">'491'!$D$109</definedName>
    <definedName name="OSRRefD22_21x_0" localSheetId="47">'Div 3'!$D$187:$D$195</definedName>
    <definedName name="OSRRefD22_21x_0" localSheetId="70">'Div 4'!$D$111</definedName>
    <definedName name="OSRRefD22_21x_0" localSheetId="2">Summary!$D$213:$D$214</definedName>
    <definedName name="OSRRefD22_22x_0" localSheetId="48">'300'!$D$193</definedName>
    <definedName name="OSRRefD22_22x_0" localSheetId="49">'300 &amp; 317'!$D$215</definedName>
    <definedName name="OSRRefD22_22x_0" localSheetId="56">'331'!$D$150</definedName>
    <definedName name="OSRRefD22_22x_0" localSheetId="47">'Div 3'!$D$197:$D$198</definedName>
    <definedName name="OSRRefD22_22x_0" localSheetId="70">'Div 4'!$D$113:$D$114</definedName>
    <definedName name="OSRRefD22_22x_0" localSheetId="2">Summary!$D$216:$D$226</definedName>
    <definedName name="OSRRefD22_23x_0" localSheetId="48">'300'!$D$195:$D$197</definedName>
    <definedName name="OSRRefD22_23x_0" localSheetId="49">'300 &amp; 317'!$D$217:$D$219</definedName>
    <definedName name="OSRRefD22_23x_0" localSheetId="47">'Div 3'!$D$200</definedName>
    <definedName name="OSRRefD22_23x_0" localSheetId="70">'Div 4'!$D$116</definedName>
    <definedName name="OSRRefD22_23x_0" localSheetId="2">Summary!$D$228:$D$229</definedName>
    <definedName name="OSRRefD22_24x_0" localSheetId="48">'300'!$D$199</definedName>
    <definedName name="OSRRefD22_24x_0" localSheetId="49">'300 &amp; 317'!$D$221</definedName>
    <definedName name="OSRRefD22_24x_0" localSheetId="47">'Div 3'!$D$202:$D$204</definedName>
    <definedName name="OSRRefD22_24x_0" localSheetId="2">Summary!$D$231</definedName>
    <definedName name="OSRRefD22_25x_0" localSheetId="47">'Div 3'!$D$206</definedName>
    <definedName name="OSRRefD22_25x_0" localSheetId="2">Summary!$D$233:$D$235</definedName>
    <definedName name="OSRRefD22_26x_0" localSheetId="2">Summary!$D$237</definedName>
    <definedName name="OSRRefD22_2x_0" localSheetId="40">'200'!$D$24</definedName>
    <definedName name="OSRRefD22_2x_0" localSheetId="41">'201'!$D$42</definedName>
    <definedName name="OSRRefD22_2x_0" localSheetId="42">'202'!$D$42</definedName>
    <definedName name="OSRRefD22_2x_0" localSheetId="43">'203'!$D$42</definedName>
    <definedName name="OSRRefD22_2x_0" localSheetId="44">'204'!$D$42</definedName>
    <definedName name="OSRRefD22_2x_0" localSheetId="45">'205'!$D$41</definedName>
    <definedName name="OSRRefD22_2x_0" localSheetId="46">'206'!$D$41</definedName>
    <definedName name="OSRRefD22_2x_0" localSheetId="48">'300'!$D$128</definedName>
    <definedName name="OSRRefD22_2x_0" localSheetId="49">'300 &amp; 317'!$D$150</definedName>
    <definedName name="OSRRefD22_2x_0" localSheetId="50">'301'!$D$41:$D$42</definedName>
    <definedName name="OSRRefD22_2x_0" localSheetId="52">'307'!$D$56</definedName>
    <definedName name="OSRRefD22_2x_0" localSheetId="53">'308'!$D$74</definedName>
    <definedName name="OSRRefD22_2x_0" localSheetId="64">'309'!$D$42</definedName>
    <definedName name="OSRRefD22_2x_0" localSheetId="63">'310'!$D$49</definedName>
    <definedName name="OSRRefD22_2x_0" localSheetId="71">'310 &amp; 491'!$D$52</definedName>
    <definedName name="OSRRefD22_2x_0" localSheetId="54">'311'!$D$73</definedName>
    <definedName name="OSRRefD22_2x_0" localSheetId="65">'313'!$D$44</definedName>
    <definedName name="OSRRefD22_2x_0" localSheetId="57">'315'!$D$93</definedName>
    <definedName name="OSRRefD22_2x_0" localSheetId="60">'316'!$D$51</definedName>
    <definedName name="OSRRefD22_2x_0" localSheetId="62">'317'!$D$71</definedName>
    <definedName name="OSRRefD22_2x_0" localSheetId="66">'321'!$D$46</definedName>
    <definedName name="OSRRefD22_2x_0" localSheetId="67">'322'!$D$43</definedName>
    <definedName name="OSRRefD22_2x_0" localSheetId="68">'325'!$D$44</definedName>
    <definedName name="OSRRefD22_2x_0" localSheetId="58">'326'!$D$62</definedName>
    <definedName name="OSRRefD22_2x_0" localSheetId="51">'330'!$D$56</definedName>
    <definedName name="OSRRefD22_2x_0" localSheetId="56">'331'!$D$93</definedName>
    <definedName name="OSRRefD22_2x_0" localSheetId="59">'332'!$D$51</definedName>
    <definedName name="OSRRefD22_2x_0" localSheetId="73">'405'!$D$43</definedName>
    <definedName name="OSRRefD22_2x_0" localSheetId="74">'406'!$D$24</definedName>
    <definedName name="OSRRefD22_2x_0" localSheetId="77">'411'!$D$41</definedName>
    <definedName name="OSRRefD22_2x_0" localSheetId="78">'412'!$D$42</definedName>
    <definedName name="OSRRefD22_2x_0" localSheetId="80">'413'!$D$44</definedName>
    <definedName name="OSRRefD22_2x_0" localSheetId="81">'414'!$D$45</definedName>
    <definedName name="OSRRefD22_2x_0" localSheetId="82">'415'!$D$48</definedName>
    <definedName name="OSRRefD22_2x_0" localSheetId="83">'418'!$D$43</definedName>
    <definedName name="OSRRefD22_2x_0" localSheetId="84">'423'!$D$40</definedName>
    <definedName name="OSRRefD22_2x_0" localSheetId="85">'424'!$D$24</definedName>
    <definedName name="OSRRefD22_2x_0" localSheetId="86">'425'!$D$28</definedName>
    <definedName name="OSRRefD22_2x_0" localSheetId="89">'430'!$D$41</definedName>
    <definedName name="OSRRefD22_2x_0" localSheetId="90">'433'!$D$49</definedName>
    <definedName name="OSRRefD22_2x_0" localSheetId="92">'444'!$D$49</definedName>
    <definedName name="OSRRefD22_2x_0" localSheetId="93">'450'!$D$45</definedName>
    <definedName name="OSRRefD22_2x_0" localSheetId="72">'491'!$D$49</definedName>
    <definedName name="OSRRefD22_2x_0" localSheetId="88">'492'!$D$49</definedName>
    <definedName name="OSRRefD22_2x_0" localSheetId="95">'501'!$D$43</definedName>
    <definedName name="OSRRefD22_2x_0" localSheetId="39">'Div 2'!$D$44</definedName>
    <definedName name="OSRRefD22_2x_0" localSheetId="47">'Div 3'!$D$132</definedName>
    <definedName name="OSRRefD22_2x_0" localSheetId="70">'Div 4'!$D$52</definedName>
    <definedName name="OSRRefD22_2x_0" localSheetId="94">'Div 5'!$D$43</definedName>
    <definedName name="OSRRefD22_2x_0" localSheetId="61">'Div 6'!$D$71</definedName>
    <definedName name="OSRRefD22_2x_0" localSheetId="2">Summary!$D$158</definedName>
    <definedName name="OSRRefD22_3x_0" localSheetId="40">'200'!$D$26:$D$27</definedName>
    <definedName name="OSRRefD22_3x_0" localSheetId="41">'201'!$D$44</definedName>
    <definedName name="OSRRefD22_3x_0" localSheetId="42">'202'!$D$44</definedName>
    <definedName name="OSRRefD22_3x_0" localSheetId="43">'203'!$D$44</definedName>
    <definedName name="OSRRefD22_3x_0" localSheetId="44">'204'!$D$44:$D$45</definedName>
    <definedName name="OSRRefD22_3x_0" localSheetId="45">'205'!$D$43</definedName>
    <definedName name="OSRRefD22_3x_0" localSheetId="46">'206'!$D$43</definedName>
    <definedName name="OSRRefD22_3x_0" localSheetId="48">'300'!$D$130:$D$131</definedName>
    <definedName name="OSRRefD22_3x_0" localSheetId="49">'300 &amp; 317'!$D$152:$D$153</definedName>
    <definedName name="OSRRefD22_3x_0" localSheetId="50">'301'!$D$44</definedName>
    <definedName name="OSRRefD22_3x_0" localSheetId="52">'307'!$D$58</definedName>
    <definedName name="OSRRefD22_3x_0" localSheetId="53">'308'!$D$76</definedName>
    <definedName name="OSRRefD22_3x_0" localSheetId="64">'309'!$D$44</definedName>
    <definedName name="OSRRefD22_3x_0" localSheetId="63">'310'!$D$51</definedName>
    <definedName name="OSRRefD22_3x_0" localSheetId="71">'310 &amp; 491'!$D$54</definedName>
    <definedName name="OSRRefD22_3x_0" localSheetId="54">'311'!$D$75</definedName>
    <definedName name="OSRRefD22_3x_0" localSheetId="65">'313'!$D$46</definedName>
    <definedName name="OSRRefD22_3x_0" localSheetId="57">'315'!$D$95</definedName>
    <definedName name="OSRRefD22_3x_0" localSheetId="60">'316'!$D$53</definedName>
    <definedName name="OSRRefD22_3x_0" localSheetId="62">'317'!$D$73</definedName>
    <definedName name="OSRRefD22_3x_0" localSheetId="66">'321'!$D$48</definedName>
    <definedName name="OSRRefD22_3x_0" localSheetId="67">'322'!$D$45</definedName>
    <definedName name="OSRRefD22_3x_0" localSheetId="68">'325'!$D$46</definedName>
    <definedName name="OSRRefD22_3x_0" localSheetId="58">'326'!$D$64</definedName>
    <definedName name="OSRRefD22_3x_0" localSheetId="51">'330'!$D$58</definedName>
    <definedName name="OSRRefD22_3x_0" localSheetId="56">'331'!$D$95</definedName>
    <definedName name="OSRRefD22_3x_0" localSheetId="59">'332'!$D$53</definedName>
    <definedName name="OSRRefD22_3x_0" localSheetId="73">'405'!$D$45</definedName>
    <definedName name="OSRRefD22_3x_0" localSheetId="74">'406'!$D$26</definedName>
    <definedName name="OSRRefD22_3x_0" localSheetId="77">'411'!$D$43</definedName>
    <definedName name="OSRRefD22_3x_0" localSheetId="78">'412'!$D$44</definedName>
    <definedName name="OSRRefD22_3x_0" localSheetId="80">'413'!$D$46</definedName>
    <definedName name="OSRRefD22_3x_0" localSheetId="81">'414'!$D$47</definedName>
    <definedName name="OSRRefD22_3x_0" localSheetId="82">'415'!$D$50</definedName>
    <definedName name="OSRRefD22_3x_0" localSheetId="83">'418'!$D$45</definedName>
    <definedName name="OSRRefD22_3x_0" localSheetId="84">'423'!$D$42:$D$43</definedName>
    <definedName name="OSRRefD22_3x_0" localSheetId="85">'424'!$D$26</definedName>
    <definedName name="OSRRefD22_3x_0" localSheetId="86">'425'!$D$30</definedName>
    <definedName name="OSRRefD22_3x_0" localSheetId="89">'430'!$D$43:$D$45</definedName>
    <definedName name="OSRRefD22_3x_0" localSheetId="90">'433'!$D$51</definedName>
    <definedName name="OSRRefD22_3x_0" localSheetId="92">'444'!$D$51</definedName>
    <definedName name="OSRRefD22_3x_0" localSheetId="93">'450'!$D$47</definedName>
    <definedName name="OSRRefD22_3x_0" localSheetId="72">'491'!$D$51</definedName>
    <definedName name="OSRRefD22_3x_0" localSheetId="88">'492'!$D$51</definedName>
    <definedName name="OSRRefD22_3x_0" localSheetId="95">'501'!$D$45</definedName>
    <definedName name="OSRRefD22_3x_0" localSheetId="39">'Div 2'!$D$46</definedName>
    <definedName name="OSRRefD22_3x_0" localSheetId="47">'Div 3'!$D$134:$D$135</definedName>
    <definedName name="OSRRefD22_3x_0" localSheetId="70">'Div 4'!$D$54</definedName>
    <definedName name="OSRRefD22_3x_0" localSheetId="94">'Div 5'!$D$45</definedName>
    <definedName name="OSRRefD22_3x_0" localSheetId="61">'Div 6'!$D$73</definedName>
    <definedName name="OSRRefD22_3x_0" localSheetId="2">Summary!$D$160:$D$161</definedName>
    <definedName name="OSRRefD22_4x_0" localSheetId="41">'201'!$D$46</definedName>
    <definedName name="OSRRefD22_4x_0" localSheetId="42">'202'!$D$46:$D$47</definedName>
    <definedName name="OSRRefD22_4x_0" localSheetId="43">'203'!$D$46</definedName>
    <definedName name="OSRRefD22_4x_0" localSheetId="44">'204'!$D$47</definedName>
    <definedName name="OSRRefD22_4x_0" localSheetId="45">'205'!$D$45:$D$46</definedName>
    <definedName name="OSRRefD22_4x_0" localSheetId="46">'206'!$D$45</definedName>
    <definedName name="OSRRefD22_4x_0" localSheetId="48">'300'!$D$133</definedName>
    <definedName name="OSRRefD22_4x_0" localSheetId="49">'300 &amp; 317'!$D$155</definedName>
    <definedName name="OSRRefD22_4x_0" localSheetId="50">'301'!$D$46:$D$47</definedName>
    <definedName name="OSRRefD22_4x_0" localSheetId="52">'307'!$D$60</definedName>
    <definedName name="OSRRefD22_4x_0" localSheetId="53">'308'!$D$78</definedName>
    <definedName name="OSRRefD22_4x_0" localSheetId="64">'309'!$D$46</definedName>
    <definedName name="OSRRefD22_4x_0" localSheetId="63">'310'!$D$53</definedName>
    <definedName name="OSRRefD22_4x_0" localSheetId="71">'310 &amp; 491'!$D$56</definedName>
    <definedName name="OSRRefD22_4x_0" localSheetId="54">'311'!$D$77</definedName>
    <definedName name="OSRRefD22_4x_0" localSheetId="65">'313'!$D$48</definedName>
    <definedName name="OSRRefD22_4x_0" localSheetId="57">'315'!$D$97</definedName>
    <definedName name="OSRRefD22_4x_0" localSheetId="60">'316'!$D$55</definedName>
    <definedName name="OSRRefD22_4x_0" localSheetId="62">'317'!$D$75</definedName>
    <definedName name="OSRRefD22_4x_0" localSheetId="66">'321'!$D$50</definedName>
    <definedName name="OSRRefD22_4x_0" localSheetId="67">'322'!$D$47</definedName>
    <definedName name="OSRRefD22_4x_0" localSheetId="68">'325'!$D$48</definedName>
    <definedName name="OSRRefD22_4x_0" localSheetId="58">'326'!$D$66</definedName>
    <definedName name="OSRRefD22_4x_0" localSheetId="51">'330'!$D$60</definedName>
    <definedName name="OSRRefD22_4x_0" localSheetId="56">'331'!$D$97</definedName>
    <definedName name="OSRRefD22_4x_0" localSheetId="59">'332'!$D$55</definedName>
    <definedName name="OSRRefD22_4x_0" localSheetId="73">'405'!$D$47:$D$48</definedName>
    <definedName name="OSRRefD22_4x_0" localSheetId="74">'406'!$D$28</definedName>
    <definedName name="OSRRefD22_4x_0" localSheetId="77">'411'!$D$45:$D$46</definedName>
    <definedName name="OSRRefD22_4x_0" localSheetId="78">'412'!$D$46:$D$47</definedName>
    <definedName name="OSRRefD22_4x_0" localSheetId="80">'413'!$D$48</definedName>
    <definedName name="OSRRefD22_4x_0" localSheetId="81">'414'!$D$49</definedName>
    <definedName name="OSRRefD22_4x_0" localSheetId="82">'415'!$D$52</definedName>
    <definedName name="OSRRefD22_4x_0" localSheetId="83">'418'!$D$47:$D$48</definedName>
    <definedName name="OSRRefD22_4x_0" localSheetId="84">'423'!$D$45</definedName>
    <definedName name="OSRRefD22_4x_0" localSheetId="86">'425'!$D$32</definedName>
    <definedName name="OSRRefD22_4x_0" localSheetId="89">'430'!$D$47:$D$48</definedName>
    <definedName name="OSRRefD22_4x_0" localSheetId="90">'433'!$D$53</definedName>
    <definedName name="OSRRefD22_4x_0" localSheetId="92">'444'!$D$53</definedName>
    <definedName name="OSRRefD22_4x_0" localSheetId="93">'450'!$D$49</definedName>
    <definedName name="OSRRefD22_4x_0" localSheetId="72">'491'!$D$53</definedName>
    <definedName name="OSRRefD22_4x_0" localSheetId="88">'492'!$D$53</definedName>
    <definedName name="OSRRefD22_4x_0" localSheetId="95">'501'!$D$47</definedName>
    <definedName name="OSRRefD22_4x_0" localSheetId="39">'Div 2'!$D$48</definedName>
    <definedName name="OSRRefD22_4x_0" localSheetId="47">'Div 3'!$D$137</definedName>
    <definedName name="OSRRefD22_4x_0" localSheetId="70">'Div 4'!$D$56</definedName>
    <definedName name="OSRRefD22_4x_0" localSheetId="94">'Div 5'!$D$47</definedName>
    <definedName name="OSRRefD22_4x_0" localSheetId="61">'Div 6'!$D$75</definedName>
    <definedName name="OSRRefD22_4x_0" localSheetId="2">Summary!$D$163</definedName>
    <definedName name="OSRRefD22_5x_0" localSheetId="41">'201'!$D$48</definedName>
    <definedName name="OSRRefD22_5x_0" localSheetId="42">'202'!$D$49</definedName>
    <definedName name="OSRRefD22_5x_0" localSheetId="43">'203'!$D$48</definedName>
    <definedName name="OSRRefD22_5x_0" localSheetId="44">'204'!$D$49</definedName>
    <definedName name="OSRRefD22_5x_0" localSheetId="45">'205'!$D$48</definedName>
    <definedName name="OSRRefD22_5x_0" localSheetId="46">'206'!$D$47</definedName>
    <definedName name="OSRRefD22_5x_0" localSheetId="48">'300'!$D$135:$D$136</definedName>
    <definedName name="OSRRefD22_5x_0" localSheetId="49">'300 &amp; 317'!$D$157:$D$158</definedName>
    <definedName name="OSRRefD22_5x_0" localSheetId="50">'301'!$D$49</definedName>
    <definedName name="OSRRefD22_5x_0" localSheetId="52">'307'!$D$62</definedName>
    <definedName name="OSRRefD22_5x_0" localSheetId="53">'308'!$D$80</definedName>
    <definedName name="OSRRefD22_5x_0" localSheetId="64">'309'!$D$48</definedName>
    <definedName name="OSRRefD22_5x_0" localSheetId="63">'310'!$D$55:$D$56</definedName>
    <definedName name="OSRRefD22_5x_0" localSheetId="71">'310 &amp; 491'!$D$58:$D$60</definedName>
    <definedName name="OSRRefD22_5x_0" localSheetId="54">'311'!$D$79</definedName>
    <definedName name="OSRRefD22_5x_0" localSheetId="65">'313'!$D$50</definedName>
    <definedName name="OSRRefD22_5x_0" localSheetId="57">'315'!$D$99</definedName>
    <definedName name="OSRRefD22_5x_0" localSheetId="60">'316'!$D$57</definedName>
    <definedName name="OSRRefD22_5x_0" localSheetId="62">'317'!$D$77</definedName>
    <definedName name="OSRRefD22_5x_0" localSheetId="66">'321'!$D$52</definedName>
    <definedName name="OSRRefD22_5x_0" localSheetId="67">'322'!$D$49</definedName>
    <definedName name="OSRRefD22_5x_0" localSheetId="68">'325'!$D$50:$D$51</definedName>
    <definedName name="OSRRefD22_5x_0" localSheetId="58">'326'!$D$68</definedName>
    <definedName name="OSRRefD22_5x_0" localSheetId="51">'330'!$D$62</definedName>
    <definedName name="OSRRefD22_5x_0" localSheetId="56">'331'!$D$99</definedName>
    <definedName name="OSRRefD22_5x_0" localSheetId="59">'332'!$D$57</definedName>
    <definedName name="OSRRefD22_5x_0" localSheetId="73">'405'!$D$50</definedName>
    <definedName name="OSRRefD22_5x_0" localSheetId="77">'411'!$D$48</definedName>
    <definedName name="OSRRefD22_5x_0" localSheetId="78">'412'!$D$49</definedName>
    <definedName name="OSRRefD22_5x_0" localSheetId="80">'413'!$D$50</definedName>
    <definedName name="OSRRefD22_5x_0" localSheetId="81">'414'!$D$51</definedName>
    <definedName name="OSRRefD22_5x_0" localSheetId="82">'415'!$D$54:$D$55</definedName>
    <definedName name="OSRRefD22_5x_0" localSheetId="83">'418'!$D$50</definedName>
    <definedName name="OSRRefD22_5x_0" localSheetId="84">'423'!$D$47</definedName>
    <definedName name="OSRRefD22_5x_0" localSheetId="89">'430'!$D$50</definedName>
    <definedName name="OSRRefD22_5x_0" localSheetId="90">'433'!$D$55</definedName>
    <definedName name="OSRRefD22_5x_0" localSheetId="92">'444'!$D$55</definedName>
    <definedName name="OSRRefD22_5x_0" localSheetId="93">'450'!$D$51</definedName>
    <definedName name="OSRRefD22_5x_0" localSheetId="72">'491'!$D$55:$D$57</definedName>
    <definedName name="OSRRefD22_5x_0" localSheetId="88">'492'!$D$55</definedName>
    <definedName name="OSRRefD22_5x_0" localSheetId="95">'501'!$D$49:$D$50</definedName>
    <definedName name="OSRRefD22_5x_0" localSheetId="39">'Div 2'!$D$50:$D$51</definedName>
    <definedName name="OSRRefD22_5x_0" localSheetId="47">'Div 3'!$D$139:$D$140</definedName>
    <definedName name="OSRRefD22_5x_0" localSheetId="70">'Div 4'!$D$58:$D$60</definedName>
    <definedName name="OSRRefD22_5x_0" localSheetId="94">'Div 5'!$D$49:$D$50</definedName>
    <definedName name="OSRRefD22_5x_0" localSheetId="61">'Div 6'!$D$77</definedName>
    <definedName name="OSRRefD22_5x_0" localSheetId="2">Summary!$D$165:$D$167</definedName>
    <definedName name="OSRRefD22_6x_0" localSheetId="41">'201'!$D$50</definedName>
    <definedName name="OSRRefD22_6x_0" localSheetId="42">'202'!$D$51</definedName>
    <definedName name="OSRRefD22_6x_0" localSheetId="43">'203'!$D$50</definedName>
    <definedName name="OSRRefD22_6x_0" localSheetId="44">'204'!$D$51:$D$53</definedName>
    <definedName name="OSRRefD22_6x_0" localSheetId="45">'205'!$D$50:$D$51</definedName>
    <definedName name="OSRRefD22_6x_0" localSheetId="46">'206'!$D$49</definedName>
    <definedName name="OSRRefD22_6x_0" localSheetId="48">'300'!$D$138</definedName>
    <definedName name="OSRRefD22_6x_0" localSheetId="49">'300 &amp; 317'!$D$160</definedName>
    <definedName name="OSRRefD22_6x_0" localSheetId="50">'301'!$D$51</definedName>
    <definedName name="OSRRefD22_6x_0" localSheetId="52">'307'!$D$64</definedName>
    <definedName name="OSRRefD22_6x_0" localSheetId="53">'308'!$D$82</definedName>
    <definedName name="OSRRefD22_6x_0" localSheetId="64">'309'!$D$50:$D$51</definedName>
    <definedName name="OSRRefD22_6x_0" localSheetId="63">'310'!$D$58</definedName>
    <definedName name="OSRRefD22_6x_0" localSheetId="71">'310 &amp; 491'!$D$62</definedName>
    <definedName name="OSRRefD22_6x_0" localSheetId="54">'311'!$D$81</definedName>
    <definedName name="OSRRefD22_6x_0" localSheetId="65">'313'!$D$52:$D$53</definedName>
    <definedName name="OSRRefD22_6x_0" localSheetId="57">'315'!$D$101</definedName>
    <definedName name="OSRRefD22_6x_0" localSheetId="60">'316'!$D$59:$D$60</definedName>
    <definedName name="OSRRefD22_6x_0" localSheetId="62">'317'!$D$79:$D$80</definedName>
    <definedName name="OSRRefD22_6x_0" localSheetId="66">'321'!$D$54</definedName>
    <definedName name="OSRRefD22_6x_0" localSheetId="67">'322'!$D$51</definedName>
    <definedName name="OSRRefD22_6x_0" localSheetId="68">'325'!$D$53</definedName>
    <definedName name="OSRRefD22_6x_0" localSheetId="58">'326'!$D$70</definedName>
    <definedName name="OSRRefD22_6x_0" localSheetId="51">'330'!$D$64</definedName>
    <definedName name="OSRRefD22_6x_0" localSheetId="56">'331'!$D$101</definedName>
    <definedName name="OSRRefD22_6x_0" localSheetId="59">'332'!$D$59:$D$60</definedName>
    <definedName name="OSRRefD22_6x_0" localSheetId="73">'405'!$D$52</definedName>
    <definedName name="OSRRefD22_6x_0" localSheetId="77">'411'!$D$50</definedName>
    <definedName name="OSRRefD22_6x_0" localSheetId="78">'412'!$D$51</definedName>
    <definedName name="OSRRefD22_6x_0" localSheetId="80">'413'!$D$52</definedName>
    <definedName name="OSRRefD22_6x_0" localSheetId="81">'414'!$D$53</definedName>
    <definedName name="OSRRefD22_6x_0" localSheetId="82">'415'!$D$57</definedName>
    <definedName name="OSRRefD22_6x_0" localSheetId="83">'418'!$D$52</definedName>
    <definedName name="OSRRefD22_6x_0" localSheetId="84">'423'!$D$49</definedName>
    <definedName name="OSRRefD22_6x_0" localSheetId="89">'430'!$D$52</definedName>
    <definedName name="OSRRefD22_6x_0" localSheetId="90">'433'!$D$57</definedName>
    <definedName name="OSRRefD22_6x_0" localSheetId="92">'444'!$D$57</definedName>
    <definedName name="OSRRefD22_6x_0" localSheetId="93">'450'!$D$53</definedName>
    <definedName name="OSRRefD22_6x_0" localSheetId="72">'491'!$D$59</definedName>
    <definedName name="OSRRefD22_6x_0" localSheetId="88">'492'!$D$57</definedName>
    <definedName name="OSRRefD22_6x_0" localSheetId="95">'501'!$D$52</definedName>
    <definedName name="OSRRefD22_6x_0" localSheetId="39">'Div 2'!$D$53</definedName>
    <definedName name="OSRRefD22_6x_0" localSheetId="47">'Div 3'!$D$142</definedName>
    <definedName name="OSRRefD22_6x_0" localSheetId="70">'Div 4'!$D$62</definedName>
    <definedName name="OSRRefD22_6x_0" localSheetId="94">'Div 5'!$D$52</definedName>
    <definedName name="OSRRefD22_6x_0" localSheetId="61">'Div 6'!$D$79:$D$80</definedName>
    <definedName name="OSRRefD22_6x_0" localSheetId="2">Summary!$D$169</definedName>
    <definedName name="OSRRefD22_7x_0" localSheetId="41">'201'!$D$52</definedName>
    <definedName name="OSRRefD22_7x_0" localSheetId="42">'202'!$D$53:$D$54</definedName>
    <definedName name="OSRRefD22_7x_0" localSheetId="43">'203'!$D$52:$D$53</definedName>
    <definedName name="OSRRefD22_7x_0" localSheetId="44">'204'!$D$55:$D$56</definedName>
    <definedName name="OSRRefD22_7x_0" localSheetId="45">'205'!$D$53</definedName>
    <definedName name="OSRRefD22_7x_0" localSheetId="46">'206'!$D$51</definedName>
    <definedName name="OSRRefD22_7x_0" localSheetId="48">'300'!$D$140:$D$141</definedName>
    <definedName name="OSRRefD22_7x_0" localSheetId="49">'300 &amp; 317'!$D$162:$D$163</definedName>
    <definedName name="OSRRefD22_7x_0" localSheetId="50">'301'!$D$53</definedName>
    <definedName name="OSRRefD22_7x_0" localSheetId="52">'307'!$D$66</definedName>
    <definedName name="OSRRefD22_7x_0" localSheetId="53">'308'!$D$84:$D$85</definedName>
    <definedName name="OSRRefD22_7x_0" localSheetId="64">'309'!$D$53:$D$54</definedName>
    <definedName name="OSRRefD22_7x_0" localSheetId="63">'310'!$D$60</definedName>
    <definedName name="OSRRefD22_7x_0" localSheetId="71">'310 &amp; 491'!$D$64</definedName>
    <definedName name="OSRRefD22_7x_0" localSheetId="54">'311'!$D$83:$D$84</definedName>
    <definedName name="OSRRefD22_7x_0" localSheetId="65">'313'!$D$55</definedName>
    <definedName name="OSRRefD22_7x_0" localSheetId="57">'315'!$D$103:$D$104</definedName>
    <definedName name="OSRRefD22_7x_0" localSheetId="60">'316'!$D$62</definedName>
    <definedName name="OSRRefD22_7x_0" localSheetId="62">'317'!$D$82</definedName>
    <definedName name="OSRRefD22_7x_0" localSheetId="66">'321'!$D$56:$D$57</definedName>
    <definedName name="OSRRefD22_7x_0" localSheetId="67">'322'!$D$53:$D$54</definedName>
    <definedName name="OSRRefD22_7x_0" localSheetId="68">'325'!$D$55</definedName>
    <definedName name="OSRRefD22_7x_0" localSheetId="58">'326'!$D$72</definedName>
    <definedName name="OSRRefD22_7x_0" localSheetId="51">'330'!$D$66</definedName>
    <definedName name="OSRRefD22_7x_0" localSheetId="56">'331'!$D$103</definedName>
    <definedName name="OSRRefD22_7x_0" localSheetId="59">'332'!$D$62</definedName>
    <definedName name="OSRRefD22_7x_0" localSheetId="73">'405'!$D$54</definedName>
    <definedName name="OSRRefD22_7x_0" localSheetId="77">'411'!$D$52</definedName>
    <definedName name="OSRRefD22_7x_0" localSheetId="78">'412'!$D$53</definedName>
    <definedName name="OSRRefD22_7x_0" localSheetId="80">'413'!$D$54:$D$56</definedName>
    <definedName name="OSRRefD22_7x_0" localSheetId="81">'414'!$D$55</definedName>
    <definedName name="OSRRefD22_7x_0" localSheetId="82">'415'!$D$59</definedName>
    <definedName name="OSRRefD22_7x_0" localSheetId="83">'418'!$D$54</definedName>
    <definedName name="OSRRefD22_7x_0" localSheetId="90">'433'!$D$59</definedName>
    <definedName name="OSRRefD22_7x_0" localSheetId="92">'444'!$D$59</definedName>
    <definedName name="OSRRefD22_7x_0" localSheetId="93">'450'!$D$55</definedName>
    <definedName name="OSRRefD22_7x_0" localSheetId="72">'491'!$D$61</definedName>
    <definedName name="OSRRefD22_7x_0" localSheetId="88">'492'!$D$59</definedName>
    <definedName name="OSRRefD22_7x_0" localSheetId="95">'501'!$D$54</definedName>
    <definedName name="OSRRefD22_7x_0" localSheetId="39">'Div 2'!$D$55</definedName>
    <definedName name="OSRRefD22_7x_0" localSheetId="47">'Div 3'!$D$144:$D$145</definedName>
    <definedName name="OSRRefD22_7x_0" localSheetId="70">'Div 4'!$D$64</definedName>
    <definedName name="OSRRefD22_7x_0" localSheetId="94">'Div 5'!$D$54</definedName>
    <definedName name="OSRRefD22_7x_0" localSheetId="61">'Div 6'!$D$82</definedName>
    <definedName name="OSRRefD22_7x_0" localSheetId="2">Summary!$D$171:$D$172</definedName>
    <definedName name="OSRRefD22_8x_0" localSheetId="41">'201'!$D$54</definedName>
    <definedName name="OSRRefD22_8x_0" localSheetId="42">'202'!$D$56</definedName>
    <definedName name="OSRRefD22_8x_0" localSheetId="43">'203'!$D$55:$D$57</definedName>
    <definedName name="OSRRefD22_8x_0" localSheetId="44">'204'!$D$58</definedName>
    <definedName name="OSRRefD22_8x_0" localSheetId="46">'206'!$D$53:$D$54</definedName>
    <definedName name="OSRRefD22_8x_0" localSheetId="48">'300'!$D$143</definedName>
    <definedName name="OSRRefD22_8x_0" localSheetId="49">'300 &amp; 317'!$D$165</definedName>
    <definedName name="OSRRefD22_8x_0" localSheetId="50">'301'!$D$55</definedName>
    <definedName name="OSRRefD22_8x_0" localSheetId="52">'307'!$D$68</definedName>
    <definedName name="OSRRefD22_8x_0" localSheetId="53">'308'!$D$87</definedName>
    <definedName name="OSRRefD22_8x_0" localSheetId="64">'309'!$D$56:$D$57</definedName>
    <definedName name="OSRRefD22_8x_0" localSheetId="63">'310'!$D$62</definedName>
    <definedName name="OSRRefD22_8x_0" localSheetId="71">'310 &amp; 491'!$D$66:$D$67</definedName>
    <definedName name="OSRRefD22_8x_0" localSheetId="54">'311'!$D$86</definedName>
    <definedName name="OSRRefD22_8x_0" localSheetId="65">'313'!$D$57:$D$59</definedName>
    <definedName name="OSRRefD22_8x_0" localSheetId="57">'315'!$D$106</definedName>
    <definedName name="OSRRefD22_8x_0" localSheetId="60">'316'!$D$64</definedName>
    <definedName name="OSRRefD22_8x_0" localSheetId="62">'317'!$D$84</definedName>
    <definedName name="OSRRefD22_8x_0" localSheetId="66">'321'!$D$59</definedName>
    <definedName name="OSRRefD22_8x_0" localSheetId="67">'322'!$D$56:$D$57</definedName>
    <definedName name="OSRRefD22_8x_0" localSheetId="68">'325'!$D$57</definedName>
    <definedName name="OSRRefD22_8x_0" localSheetId="58">'326'!$D$74:$D$75</definedName>
    <definedName name="OSRRefD22_8x_0" localSheetId="51">'330'!$D$68</definedName>
    <definedName name="OSRRefD22_8x_0" localSheetId="56">'331'!$D$105:$D$106</definedName>
    <definedName name="OSRRefD22_8x_0" localSheetId="59">'332'!$D$64</definedName>
    <definedName name="OSRRefD22_8x_0" localSheetId="73">'405'!$D$56:$D$57</definedName>
    <definedName name="OSRRefD22_8x_0" localSheetId="77">'411'!$D$54:$D$55</definedName>
    <definedName name="OSRRefD22_8x_0" localSheetId="78">'412'!$D$55:$D$56</definedName>
    <definedName name="OSRRefD22_8x_0" localSheetId="80">'413'!$D$58:$D$59</definedName>
    <definedName name="OSRRefD22_8x_0" localSheetId="81">'414'!$D$57:$D$58</definedName>
    <definedName name="OSRRefD22_8x_0" localSheetId="82">'415'!$D$61</definedName>
    <definedName name="OSRRefD22_8x_0" localSheetId="83">'418'!$D$56:$D$58</definedName>
    <definedName name="OSRRefD22_8x_0" localSheetId="90">'433'!$D$61</definedName>
    <definedName name="OSRRefD22_8x_0" localSheetId="92">'444'!$D$61</definedName>
    <definedName name="OSRRefD22_8x_0" localSheetId="93">'450'!$D$57</definedName>
    <definedName name="OSRRefD22_8x_0" localSheetId="72">'491'!$D$63</definedName>
    <definedName name="OSRRefD22_8x_0" localSheetId="88">'492'!$D$61</definedName>
    <definedName name="OSRRefD22_8x_0" localSheetId="95">'501'!$D$56</definedName>
    <definedName name="OSRRefD22_8x_0" localSheetId="39">'Div 2'!$D$57</definedName>
    <definedName name="OSRRefD22_8x_0" localSheetId="47">'Div 3'!$D$147</definedName>
    <definedName name="OSRRefD22_8x_0" localSheetId="70">'Div 4'!$D$66</definedName>
    <definedName name="OSRRefD22_8x_0" localSheetId="94">'Div 5'!$D$56</definedName>
    <definedName name="OSRRefD22_8x_0" localSheetId="61">'Div 6'!$D$84</definedName>
    <definedName name="OSRRefD22_8x_0" localSheetId="2">Summary!$D$174</definedName>
    <definedName name="OSRRefD22_9x_0" localSheetId="41">'201'!$D$56</definedName>
    <definedName name="OSRRefD22_9x_0" localSheetId="42">'202'!$D$58:$D$60</definedName>
    <definedName name="OSRRefD22_9x_0" localSheetId="43">'203'!$D$59</definedName>
    <definedName name="OSRRefD22_9x_0" localSheetId="44">'204'!$D$60:$D$61</definedName>
    <definedName name="OSRRefD22_9x_0" localSheetId="46">'206'!$D$56</definedName>
    <definedName name="OSRRefD22_9x_0" localSheetId="48">'300'!$D$145</definedName>
    <definedName name="OSRRefD22_9x_0" localSheetId="49">'300 &amp; 317'!$D$167</definedName>
    <definedName name="OSRRefD22_9x_0" localSheetId="50">'301'!$D$57</definedName>
    <definedName name="OSRRefD22_9x_0" localSheetId="52">'307'!$D$70:$D$71</definedName>
    <definedName name="OSRRefD22_9x_0" localSheetId="53">'308'!$D$89:$D$90</definedName>
    <definedName name="OSRRefD22_9x_0" localSheetId="64">'309'!$D$59</definedName>
    <definedName name="OSRRefD22_9x_0" localSheetId="63">'310'!$D$64</definedName>
    <definedName name="OSRRefD22_9x_0" localSheetId="71">'310 &amp; 491'!$D$69</definedName>
    <definedName name="OSRRefD22_9x_0" localSheetId="54">'311'!$D$88:$D$89</definedName>
    <definedName name="OSRRefD22_9x_0" localSheetId="65">'313'!$D$61:$D$62</definedName>
    <definedName name="OSRRefD22_9x_0" localSheetId="57">'315'!$D$108</definedName>
    <definedName name="OSRRefD22_9x_0" localSheetId="60">'316'!$D$66:$D$70</definedName>
    <definedName name="OSRRefD22_9x_0" localSheetId="62">'317'!$D$86</definedName>
    <definedName name="OSRRefD22_9x_0" localSheetId="66">'321'!$D$61:$D$62</definedName>
    <definedName name="OSRRefD22_9x_0" localSheetId="67">'322'!$D$59:$D$62</definedName>
    <definedName name="OSRRefD22_9x_0" localSheetId="68">'325'!$D$59:$D$62</definedName>
    <definedName name="OSRRefD22_9x_0" localSheetId="58">'326'!$D$77</definedName>
    <definedName name="OSRRefD22_9x_0" localSheetId="51">'330'!$D$70:$D$71</definedName>
    <definedName name="OSRRefD22_9x_0" localSheetId="56">'331'!$D$108:$D$109</definedName>
    <definedName name="OSRRefD22_9x_0" localSheetId="59">'332'!$D$66:$D$70</definedName>
    <definedName name="OSRRefD22_9x_0" localSheetId="73">'405'!$D$59</definedName>
    <definedName name="OSRRefD22_9x_0" localSheetId="77">'411'!$D$57:$D$60</definedName>
    <definedName name="OSRRefD22_9x_0" localSheetId="78">'412'!$D$58</definedName>
    <definedName name="OSRRefD22_9x_0" localSheetId="80">'413'!$D$61:$D$68</definedName>
    <definedName name="OSRRefD22_9x_0" localSheetId="81">'414'!$D$60</definedName>
    <definedName name="OSRRefD22_9x_0" localSheetId="82">'415'!$D$63</definedName>
    <definedName name="OSRRefD22_9x_0" localSheetId="83">'418'!$D$60:$D$61</definedName>
    <definedName name="OSRRefD22_9x_0" localSheetId="90">'433'!$D$63</definedName>
    <definedName name="OSRRefD22_9x_0" localSheetId="92">'444'!$D$63</definedName>
    <definedName name="OSRRefD22_9x_0" localSheetId="93">'450'!$D$59</definedName>
    <definedName name="OSRRefD22_9x_0" localSheetId="72">'491'!$D$65</definedName>
    <definedName name="OSRRefD22_9x_0" localSheetId="88">'492'!$D$63</definedName>
    <definedName name="OSRRefD22_9x_0" localSheetId="95">'501'!$D$58:$D$60</definedName>
    <definedName name="OSRRefD22_9x_0" localSheetId="39">'Div 2'!$D$59:$D$60</definedName>
    <definedName name="OSRRefD22_9x_0" localSheetId="47">'Div 3'!$D$149</definedName>
    <definedName name="OSRRefD22_9x_0" localSheetId="70">'Div 4'!$D$68</definedName>
    <definedName name="OSRRefD22_9x_0" localSheetId="94">'Div 5'!$D$58:$D$60</definedName>
    <definedName name="OSRRefD22_9x_0" localSheetId="61">'Div 6'!$D$86</definedName>
    <definedName name="OSRRefD22_9x_0" localSheetId="2">Summary!$D$176</definedName>
    <definedName name="OSRRefD22x_0" localSheetId="40">'200'!$D$20,'200'!$D$22,'200'!$D$24,'200'!$D$26:$D$27</definedName>
    <definedName name="OSRRefD22x_0" localSheetId="41">'201'!$D$21:$D$29,'201'!$D$31:$D$40,'201'!$D$42,'201'!$D$44,'201'!$D$46,'201'!$D$48,'201'!$D$50,'201'!$D$52,'201'!$D$54,'201'!$D$56,'201'!$D$58:$D$59,'201'!$D$61,'201'!$D$63,'201'!$D$65:$D$67,'201'!$D$69,'201'!$D$71</definedName>
    <definedName name="OSRRefD22x_0" localSheetId="42">'202'!$D$21:$D$29,'202'!$D$31:$D$40,'202'!$D$42,'202'!$D$44,'202'!$D$46:$D$47,'202'!$D$49,'202'!$D$51,'202'!$D$53:$D$54,'202'!$D$56,'202'!$D$58:$D$60,'202'!$D$62,'202'!$D$64,'202'!$D$66</definedName>
    <definedName name="OSRRefD22x_0" localSheetId="43">'203'!$D$20:$D$29,'203'!$D$31:$D$40,'203'!$D$42,'203'!$D$44,'203'!$D$46,'203'!$D$48,'203'!$D$50,'203'!$D$52:$D$53,'203'!$D$55:$D$57,'203'!$D$59,'203'!$D$61,'203'!$D$63:$D$65,'203'!$D$67,'203'!$D$69</definedName>
    <definedName name="OSRRefD22x_0" localSheetId="44">'204'!$D$20:$D$29,'204'!$D$31:$D$40,'204'!$D$42,'204'!$D$44:$D$45,'204'!$D$47,'204'!$D$49,'204'!$D$51:$D$53,'204'!$D$55:$D$56,'204'!$D$58,'204'!$D$60:$D$61,'204'!$D$63</definedName>
    <definedName name="OSRRefD22x_0" localSheetId="45">'205'!$D$20:$D$28,'205'!$D$30:$D$39,'205'!$D$41,'205'!$D$43,'205'!$D$45:$D$46,'205'!$D$48,'205'!$D$50:$D$51,'205'!$D$53</definedName>
    <definedName name="OSRRefD22x_0" localSheetId="46">'206'!$D$20:$D$28,'206'!$D$30:$D$39,'206'!$D$41,'206'!$D$43,'206'!$D$45,'206'!$D$47,'206'!$D$49,'206'!$D$51,'206'!$D$53:$D$54,'206'!$D$56</definedName>
    <definedName name="OSRRefD22x_0" localSheetId="48">'300'!$D$106:$D$115,'300'!$D$117:$D$126,'300'!$D$128,'300'!$D$130:$D$131,'300'!$D$133,'300'!$D$135:$D$136,'300'!$D$138,'300'!$D$140:$D$141,'300'!$D$143,'300'!$D$145,'300'!$D$147:$D$148,'300'!$D$150:$D$152,'300'!$D$154,'300'!$D$156,'300'!$D$158,'300'!$D$160,'300'!$D$162:$D$165,'300'!$D$167:$D$170,'300'!$D$172:$D$175,'300'!$D$177:$D$178,'300'!$D$180:$D$188,'300'!$D$190:$D$191,'300'!$D$193,'300'!$D$195:$D$197,'300'!$D$199</definedName>
    <definedName name="OSRRefD22x_0" localSheetId="49">'300 &amp; 317'!$D$128:$D$137,'300 &amp; 317'!$D$139:$D$148,'300 &amp; 317'!$D$150,'300 &amp; 317'!$D$152:$D$153,'300 &amp; 317'!$D$155,'300 &amp; 317'!$D$157:$D$158,'300 &amp; 317'!$D$160,'300 &amp; 317'!$D$162:$D$163,'300 &amp; 317'!$D$165,'300 &amp; 317'!$D$167,'300 &amp; 317'!$D$169:$D$170,'300 &amp; 317'!$D$172:$D$174,'300 &amp; 317'!$D$176,'300 &amp; 317'!$D$178,'300 &amp; 317'!$D$180,'300 &amp; 317'!$D$182,'300 &amp; 317'!$D$184:$D$187,'300 &amp; 317'!$D$189:$D$192,'300 &amp; 317'!$D$194:$D$197,'300 &amp; 317'!$D$199:$D$200,'300 &amp; 317'!$D$202:$D$210,'300 &amp; 317'!$D$212:$D$213,'300 &amp; 317'!$D$215,'300 &amp; 317'!$D$217:$D$219,'300 &amp; 317'!$D$221</definedName>
    <definedName name="OSRRefD22x_0" localSheetId="50">'301'!$D$20:$D$28,'301'!$D$30:$D$39,'301'!$D$41:$D$42,'301'!$D$44,'301'!$D$46:$D$47,'301'!$D$49,'301'!$D$51,'301'!$D$53,'301'!$D$55,'301'!$D$57,'301'!$D$59,'301'!$D$61,'301'!$D$63,'301'!$D$65:$D$68,'301'!$D$70:$D$72,'301'!$D$74,'301'!$D$76:$D$82,'301'!$D$84,'301'!$D$86,'301'!$D$88,'301'!$D$90</definedName>
    <definedName name="OSRRefD22x_0" localSheetId="52">'307'!$D$36:$D$43,'307'!$D$45:$D$54,'307'!$D$56,'307'!$D$58,'307'!$D$60,'307'!$D$62,'307'!$D$64,'307'!$D$66,'307'!$D$68,'307'!$D$70:$D$71,'307'!$D$73:$D$74,'307'!$D$76:$D$79,'307'!$D$81:$D$82,'307'!$D$84</definedName>
    <definedName name="OSRRefD22x_0" localSheetId="53">'308'!$D$52:$D$61,'308'!$D$63:$D$72,'308'!$D$74,'308'!$D$76,'308'!$D$78,'308'!$D$80,'308'!$D$82,'308'!$D$84:$D$85,'308'!$D$87,'308'!$D$89:$D$90,'308'!$D$92,'308'!$D$94:$D$96,'308'!$D$98:$D$99,'308'!$D$101</definedName>
    <definedName name="OSRRefD22x_0" localSheetId="64">'309'!$D$22:$D$29,'309'!$D$31:$D$40,'309'!$D$42,'309'!$D$44,'309'!$D$46,'309'!$D$48,'309'!$D$50:$D$51,'309'!$D$53:$D$54,'309'!$D$56:$D$57,'309'!$D$59</definedName>
    <definedName name="OSRRefD22x_0" localSheetId="63">'310'!$D$28:$D$36,'310'!$D$38:$D$47,'310'!$D$49,'310'!$D$51,'310'!$D$53,'310'!$D$55:$D$56,'310'!$D$58,'310'!$D$60,'310'!$D$62,'310'!$D$64,'310'!$D$66,'310'!$D$68:$D$71,'310'!$D$73,'310'!$D$75:$D$78,'310'!$D$80,'310'!$D$82:$D$88,'310'!$D$90:$D$91,'310'!$D$93,'310'!$D$95</definedName>
    <definedName name="OSRRefD22x_0" localSheetId="71">'310 &amp; 491'!$D$31:$D$39,'310 &amp; 491'!$D$41:$D$50,'310 &amp; 491'!$D$52,'310 &amp; 491'!$D$54,'310 &amp; 491'!$D$56,'310 &amp; 491'!$D$58:$D$60,'310 &amp; 491'!$D$62,'310 &amp; 491'!$D$64,'310 &amp; 491'!$D$66:$D$67,'310 &amp; 491'!$D$69,'310 &amp; 491'!$D$71,'310 &amp; 491'!$D$73,'310 &amp; 491'!$D$75,'310 &amp; 491'!$D$77:$D$80,'310 &amp; 491'!$D$82:$D$83,'310 &amp; 491'!$D$85:$D$89,'310 &amp; 491'!$D$91,'310 &amp; 491'!$D$93:$D$103,'310 &amp; 491'!$D$105:$D$106,'310 &amp; 491'!$D$108,'310 &amp; 491'!$D$110:$D$111,'310 &amp; 491'!$D$113</definedName>
    <definedName name="OSRRefD22x_0" localSheetId="54">'311'!$D$51:$D$60,'311'!$D$62:$D$71,'311'!$D$73,'311'!$D$75,'311'!$D$77,'311'!$D$79,'311'!$D$81,'311'!$D$83:$D$84,'311'!$D$86,'311'!$D$88:$D$89,'311'!$D$91,'311'!$D$93:$D$95,'311'!$D$97:$D$98,'311'!$D$100</definedName>
    <definedName name="OSRRefD22x_0" localSheetId="65">'313'!$D$23:$D$31,'313'!$D$33:$D$42,'313'!$D$44,'313'!$D$46,'313'!$D$48,'313'!$D$50,'313'!$D$52:$D$53,'313'!$D$55,'313'!$D$57:$D$59,'313'!$D$61:$D$62,'313'!$D$64</definedName>
    <definedName name="OSRRefD22x_0" localSheetId="57">'315'!$D$72:$D$80,'315'!$D$82:$D$91,'315'!$D$93,'315'!$D$95,'315'!$D$97,'315'!$D$99,'315'!$D$101,'315'!$D$103:$D$104,'315'!$D$106,'315'!$D$108,'315'!$D$110,'315'!$D$112,'315'!$D$114:$D$116,'315'!$D$118:$D$119,'315'!$D$121:$D$127,'315'!$D$129,'315'!$D$131:$D$132</definedName>
    <definedName name="OSRRefD22x_0" localSheetId="60">'316'!$D$30:$D$38,'316'!$D$40:$D$49,'316'!$D$51,'316'!$D$53,'316'!$D$55,'316'!$D$57,'316'!$D$59:$D$60,'316'!$D$62,'316'!$D$64,'316'!$D$66:$D$70,'316'!$D$72,'316'!$D$74</definedName>
    <definedName name="OSRRefD22x_0" localSheetId="62">'317'!$D$49:$D$58,'317'!$D$60:$D$69,'317'!$D$71,'317'!$D$73,'317'!$D$75,'317'!$D$77,'317'!$D$79:$D$80,'317'!$D$82,'317'!$D$84,'317'!$D$86,'317'!$D$88:$D$90,'317'!$D$92</definedName>
    <definedName name="OSRRefD22x_0" localSheetId="66">'321'!$D$25:$D$33,'321'!$D$35:$D$44,'321'!$D$46,'321'!$D$48,'321'!$D$50,'321'!$D$52,'321'!$D$54,'321'!$D$56:$D$57,'321'!$D$59,'321'!$D$61:$D$62,'321'!$D$64:$D$66,'321'!$D$68:$D$69,'321'!$D$71,'321'!$D$73</definedName>
    <definedName name="OSRRefD22x_0" localSheetId="67">'322'!$D$23:$D$30,'322'!$D$32:$D$41,'322'!$D$43,'322'!$D$45,'322'!$D$47,'322'!$D$49,'322'!$D$51,'322'!$D$53:$D$54,'322'!$D$56:$D$57,'322'!$D$59:$D$62,'322'!$D$64,'322'!$D$66</definedName>
    <definedName name="OSRRefD22x_0" localSheetId="55">'324'!$D$27:$D$34,'324'!$D$36:$D$45</definedName>
    <definedName name="OSRRefD22x_0" localSheetId="68">'325'!$D$24:$D$31,'325'!$D$33:$D$42,'325'!$D$44,'325'!$D$46,'325'!$D$48,'325'!$D$50:$D$51,'325'!$D$53,'325'!$D$55,'325'!$D$57,'325'!$D$59:$D$62,'325'!$D$64:$D$66,'325'!$D$68,'325'!$D$70:$D$74,'325'!$D$76:$D$77,'325'!$D$79</definedName>
    <definedName name="OSRRefD22x_0" localSheetId="58">'326'!$D$41:$D$49,'326'!$D$51:$D$60,'326'!$D$62,'326'!$D$64,'326'!$D$66,'326'!$D$68,'326'!$D$70,'326'!$D$72,'326'!$D$74:$D$75,'326'!$D$77,'326'!$D$79,'326'!$D$81,'326'!$D$83,'326'!$D$85:$D$86,'326'!$D$88:$D$90,'326'!$D$92:$D$93,'326'!$D$95:$D$100,'326'!$D$102:$D$103,'326'!$D$105,'326'!$D$107:$D$108,'326'!$D$110</definedName>
    <definedName name="OSRRefD22x_0" localSheetId="69">'327'!$D$24</definedName>
    <definedName name="OSRRefD22x_0" localSheetId="51">'330'!$D$36:$D$43,'330'!$D$45:$D$54,'330'!$D$56,'330'!$D$58,'330'!$D$60,'330'!$D$62,'330'!$D$64,'330'!$D$66,'330'!$D$68,'330'!$D$70:$D$71,'330'!$D$73:$D$74,'330'!$D$76:$D$79,'330'!$D$81:$D$82,'330'!$D$84</definedName>
    <definedName name="OSRRefD22x_0" localSheetId="56">'331'!$D$72:$D$80,'331'!$D$82:$D$91,'331'!$D$93,'331'!$D$95,'331'!$D$97,'331'!$D$99,'331'!$D$101,'331'!$D$103,'331'!$D$105:$D$106,'331'!$D$108:$D$109,'331'!$D$111,'331'!$D$113,'331'!$D$115,'331'!$D$117,'331'!$D$119:$D$120,'331'!$D$122:$D$124,'331'!$D$126:$D$128,'331'!$D$130:$D$131,'331'!$D$133:$D$140,'331'!$D$142:$D$143,'331'!$D$145,'331'!$D$147:$D$148,'331'!$D$150</definedName>
    <definedName name="OSRRefD22x_0" localSheetId="59">'332'!$D$30:$D$38,'332'!$D$40:$D$49,'332'!$D$51,'332'!$D$53,'332'!$D$55,'332'!$D$57,'332'!$D$59:$D$60,'332'!$D$62,'332'!$D$64,'332'!$D$66:$D$70,'332'!$D$72,'332'!$D$74</definedName>
    <definedName name="OSRRefD22x_0" localSheetId="73">'405'!$D$23:$D$30,'405'!$D$32:$D$41,'405'!$D$43,'405'!$D$45,'405'!$D$47:$D$48,'405'!$D$50,'405'!$D$52,'405'!$D$54,'405'!$D$56:$D$57,'405'!$D$59,'405'!$D$61:$D$64,'405'!$D$66,'405'!$D$68:$D$76,'405'!$D$78,'405'!$D$80,'405'!$D$82</definedName>
    <definedName name="OSRRefD22x_0" localSheetId="74">'406'!$D$20,'406'!$D$22,'406'!$D$24,'406'!$D$26,'406'!$D$28</definedName>
    <definedName name="OSRRefD22x_0" localSheetId="77">'411'!$D$20:$D$28,'411'!$D$30:$D$39,'411'!$D$41,'411'!$D$43,'411'!$D$45:$D$46,'411'!$D$48,'411'!$D$50,'411'!$D$52,'411'!$D$54:$D$55,'411'!$D$57:$D$60,'411'!$D$62:$D$68,'411'!$D$70,'411'!$D$72,'411'!$D$74</definedName>
    <definedName name="OSRRefD22x_0" localSheetId="78">'412'!$D$22:$D$29,'412'!$D$31:$D$40,'412'!$D$42,'412'!$D$44,'412'!$D$46:$D$47,'412'!$D$49,'412'!$D$51,'412'!$D$53,'412'!$D$55:$D$56,'412'!$D$58,'412'!$D$60:$D$63,'412'!$D$65:$D$69,'412'!$D$71:$D$72,'412'!$D$74</definedName>
    <definedName name="OSRRefD22x_0" localSheetId="80">'413'!$D$23:$D$31,'413'!$D$33:$D$42,'413'!$D$44,'413'!$D$46,'413'!$D$48,'413'!$D$50,'413'!$D$52,'413'!$D$54:$D$56,'413'!$D$58:$D$59,'413'!$D$61:$D$68,'413'!$D$70:$D$71,'413'!$D$73</definedName>
    <definedName name="OSRRefD22x_0" localSheetId="81">'414'!$D$24:$D$32,'414'!$D$34:$D$43,'414'!$D$45,'414'!$D$47,'414'!$D$49,'414'!$D$51,'414'!$D$53,'414'!$D$55,'414'!$D$57:$D$58,'414'!$D$60,'414'!$D$62,'414'!$D$64,'414'!$D$66:$D$68,'414'!$D$70,'414'!$D$72,'414'!$D$74</definedName>
    <definedName name="OSRRefD22x_0" localSheetId="82">'415'!$D$27:$D$35,'415'!$D$37:$D$46,'415'!$D$48,'415'!$D$50,'415'!$D$52,'415'!$D$54:$D$55,'415'!$D$57,'415'!$D$59,'415'!$D$61,'415'!$D$63,'415'!$D$65:$D$66,'415'!$D$68:$D$72,'415'!$D$74,'415'!$D$76:$D$82,'415'!$D$84:$D$85,'415'!$D$87</definedName>
    <definedName name="OSRRefD22x_0" localSheetId="83">'418'!$D$23:$D$30,'418'!$D$32:$D$41,'418'!$D$43,'418'!$D$45,'418'!$D$47:$D$48,'418'!$D$50,'418'!$D$52,'418'!$D$54,'418'!$D$56:$D$58,'418'!$D$60:$D$61,'418'!$D$63,'418'!$D$65:$D$74,'418'!$D$76:$D$77,'418'!$D$79</definedName>
    <definedName name="OSRRefD22x_0" localSheetId="84">'423'!$D$20:$D$27,'423'!$D$29:$D$38,'423'!$D$40,'423'!$D$42:$D$43,'423'!$D$45,'423'!$D$47,'423'!$D$49</definedName>
    <definedName name="OSRRefD22x_0" localSheetId="85">'424'!$D$20,'424'!$D$22,'424'!$D$24,'424'!$D$26</definedName>
    <definedName name="OSRRefD22x_0" localSheetId="86">'425'!$D$20:$D$24,'425'!$D$26,'425'!$D$28,'425'!$D$30,'425'!$D$32</definedName>
    <definedName name="OSRRefD22x_0" localSheetId="89">'430'!$D$20:$D$28,'430'!$D$30:$D$39,'430'!$D$41,'430'!$D$43:$D$45,'430'!$D$47:$D$48,'430'!$D$50,'430'!$D$52</definedName>
    <definedName name="OSRRefD22x_0" localSheetId="90">'433'!$D$27:$D$36,'433'!$D$38:$D$47,'433'!$D$49,'433'!$D$51,'433'!$D$53,'433'!$D$55,'433'!$D$57,'433'!$D$59,'433'!$D$61,'433'!$D$63,'433'!$D$65,'433'!$D$67:$D$68,'433'!$D$70:$D$73,'433'!$D$75:$D$82,'433'!$D$84</definedName>
    <definedName name="OSRRefD22x_0" localSheetId="91">'435'!$D$20</definedName>
    <definedName name="OSRRefD22x_0" localSheetId="92">'444'!$D$27:$D$36,'444'!$D$38:$D$47,'444'!$D$49,'444'!$D$51,'444'!$D$53,'444'!$D$55,'444'!$D$57,'444'!$D$59,'444'!$D$61,'444'!$D$63,'444'!$D$65,'444'!$D$67:$D$69,'444'!$D$71:$D$73,'444'!$D$75:$D$83,'444'!$D$85:$D$86,'444'!$D$88</definedName>
    <definedName name="OSRRefD22x_0" localSheetId="93">'450'!$D$23:$D$32,'450'!$D$34:$D$43,'450'!$D$45,'450'!$D$47,'450'!$D$49,'450'!$D$51,'450'!$D$53,'450'!$D$55,'450'!$D$57,'450'!$D$59,'450'!$D$61,'450'!$D$63,'450'!$D$65,'450'!$D$67:$D$69,'450'!$D$71:$D$77,'450'!$D$79:$D$80,'450'!$D$82</definedName>
    <definedName name="OSRRefD22x_0" localSheetId="72">'491'!$D$28:$D$36,'491'!$D$38:$D$47,'491'!$D$49,'491'!$D$51,'491'!$D$53,'491'!$D$55:$D$57,'491'!$D$59,'491'!$D$61,'491'!$D$63,'491'!$D$65,'491'!$D$67,'491'!$D$69,'491'!$D$71,'491'!$D$73:$D$76,'491'!$D$78:$D$79,'491'!$D$81:$D$85,'491'!$D$87,'491'!$D$89:$D$99,'491'!$D$101:$D$102,'491'!$D$104,'491'!$D$106:$D$107,'491'!$D$109</definedName>
    <definedName name="OSRRefD22x_0" localSheetId="88">'492'!$D$27:$D$36,'492'!$D$38:$D$47,'492'!$D$49,'492'!$D$51,'492'!$D$53,'492'!$D$55,'492'!$D$57,'492'!$D$59,'492'!$D$61,'492'!$D$63,'492'!$D$65,'492'!$D$67,'492'!$D$69:$D$71,'492'!$D$73:$D$76,'492'!$D$78:$D$87,'492'!$D$89:$D$90,'492'!$D$92,'492'!$D$94</definedName>
    <definedName name="OSRRefD22x_0" localSheetId="95">'501'!$D$21:$D$30,'501'!$D$32:$D$41,'501'!$D$43,'501'!$D$45,'501'!$D$47,'501'!$D$49:$D$50,'501'!$D$52,'501'!$D$54,'501'!$D$56,'501'!$D$58:$D$60,'501'!$D$62:$D$63,'501'!$D$65</definedName>
    <definedName name="OSRRefD22x_0" localSheetId="39">'Div 2'!$D$21:$D$31,'Div 2'!$D$33:$D$42,'Div 2'!$D$44,'Div 2'!$D$46,'Div 2'!$D$48,'Div 2'!$D$50:$D$51,'Div 2'!$D$53,'Div 2'!$D$55,'Div 2'!$D$57,'Div 2'!$D$59:$D$60,'Div 2'!$D$62,'Div 2'!$D$64:$D$65,'Div 2'!$D$67:$D$70,'Div 2'!$D$72:$D$75,'Div 2'!$D$77:$D$78,'Div 2'!$D$80:$D$81,'Div 2'!$D$83:$D$87,'Div 2'!$D$89:$D$90,'Div 2'!$D$92,'Div 2'!$D$94:$D$95</definedName>
    <definedName name="OSRRefD22x_0" localSheetId="47">'Div 3'!$D$110:$D$119,'Div 3'!$D$121:$D$130,'Div 3'!$D$132,'Div 3'!$D$134:$D$135,'Div 3'!$D$137,'Div 3'!$D$139:$D$140,'Div 3'!$D$142,'Div 3'!$D$144:$D$145,'Div 3'!$D$147,'Div 3'!$D$149,'Div 3'!$D$151:$D$152,'Div 3'!$D$154:$D$156,'Div 3'!$D$158,'Div 3'!$D$160,'Div 3'!$D$162,'Div 3'!$D$164,'Div 3'!$D$166,'Div 3'!$D$168:$D$171,'Div 3'!$D$173:$D$176,'Div 3'!$D$178:$D$182,'Div 3'!$D$184:$D$185,'Div 3'!$D$187:$D$195,'Div 3'!$D$197:$D$198,'Div 3'!$D$200,'Div 3'!$D$202:$D$204,'Div 3'!$D$206</definedName>
    <definedName name="OSRRefD22x_0" localSheetId="70">'Div 4'!$D$30:$D$39,'Div 4'!$D$41:$D$50,'Div 4'!$D$52,'Div 4'!$D$54,'Div 4'!$D$56,'Div 4'!$D$58:$D$60,'Div 4'!$D$62,'Div 4'!$D$64,'Div 4'!$D$66,'Div 4'!$D$68,'Div 4'!$D$70,'Div 4'!$D$72,'Div 4'!$D$74,'Div 4'!$D$76,'Div 4'!$D$78,'Div 4'!$D$80:$D$83,'Div 4'!$D$85:$D$86,'Div 4'!$D$88:$D$92,'Div 4'!$D$94,'Div 4'!$D$96:$D$106,'Div 4'!$D$108:$D$109,'Div 4'!$D$111,'Div 4'!$D$113:$D$114,'Div 4'!$D$116</definedName>
    <definedName name="OSRRefD22x_0" localSheetId="94">'Div 5'!$D$21:$D$30,'Div 5'!$D$32:$D$41,'Div 5'!$D$43,'Div 5'!$D$45,'Div 5'!$D$47,'Div 5'!$D$49:$D$50,'Div 5'!$D$52,'Div 5'!$D$54,'Div 5'!$D$56,'Div 5'!$D$58:$D$60,'Div 5'!$D$62:$D$63,'Div 5'!$D$65</definedName>
    <definedName name="OSRRefD22x_0" localSheetId="61">'Div 6'!$D$49:$D$58,'Div 6'!$D$60:$D$69,'Div 6'!$D$71,'Div 6'!$D$73,'Div 6'!$D$75,'Div 6'!$D$77,'Div 6'!$D$79:$D$80,'Div 6'!$D$82,'Div 6'!$D$84,'Div 6'!$D$86,'Div 6'!$D$88:$D$90,'Div 6'!$D$92</definedName>
    <definedName name="OSRRefD22x_0" localSheetId="2">Summary!$D$136:$D$145,Summary!$D$147:$D$156,Summary!$D$158,Summary!$D$160:$D$161,Summary!$D$163,Summary!$D$165:$D$167,Summary!$D$169,Summary!$D$171:$D$172,Summary!$D$174,Summary!$D$176,Summary!$D$178:$D$179,Summary!$D$181:$D$183,Summary!$D$185,Summary!$D$187,Summary!$D$189,Summary!$D$191,Summary!$D$193,Summary!$D$195,Summary!$D$197:$D$200,Summary!$D$202:$D$205,Summary!$D$207:$D$211,Summary!$D$213:$D$214,Summary!$D$216:$D$226,Summary!$D$228:$D$229,Summary!$D$231,Summary!$D$233:$D$235,Summary!$D$237</definedName>
    <definedName name="OSRRefD25x_0" localSheetId="42">'202'!$D$69:$D$71</definedName>
    <definedName name="OSRRefD25x_0" localSheetId="48">'300'!$D$202:$D$205</definedName>
    <definedName name="OSRRefD25x_0" localSheetId="49">'300 &amp; 317'!$D$224:$D$228</definedName>
    <definedName name="OSRRefD25x_0" localSheetId="50">'301'!$D$93:$D$94</definedName>
    <definedName name="OSRRefD25x_0" localSheetId="53">'308'!$D$104:$D$106</definedName>
    <definedName name="OSRRefD25x_0" localSheetId="71">'310 &amp; 491'!$D$116:$D$119</definedName>
    <definedName name="OSRRefD25x_0" localSheetId="54">'311'!$D$103:$D$105</definedName>
    <definedName name="OSRRefD25x_0" localSheetId="57">'315'!$D$135:$D$137</definedName>
    <definedName name="OSRRefD25x_0" localSheetId="60">'316'!$D$77</definedName>
    <definedName name="OSRRefD25x_0" localSheetId="62">'317'!$D$95:$D$96</definedName>
    <definedName name="OSRRefD25x_0" localSheetId="56">'331'!$D$153:$D$155</definedName>
    <definedName name="OSRRefD25x_0" localSheetId="59">'332'!$D$77</definedName>
    <definedName name="OSRRefD25x_0" localSheetId="77">'411'!$D$77:$D$78</definedName>
    <definedName name="OSRRefD25x_0" localSheetId="83">'418'!$D$82</definedName>
    <definedName name="OSRRefD25x_0" localSheetId="84">'423'!$D$52:$D$53</definedName>
    <definedName name="OSRRefD25x_0" localSheetId="87">'455'!$D$21:$D$22</definedName>
    <definedName name="OSRRefD25x_0" localSheetId="72">'491'!$D$112:$D$115</definedName>
    <definedName name="OSRRefD25x_0" localSheetId="95">'501'!$D$68</definedName>
    <definedName name="OSRRefD25x_0" localSheetId="39">'Div 2'!$D$98:$D$100</definedName>
    <definedName name="OSRRefD25x_0" localSheetId="47">'Div 3'!$D$209:$D$212</definedName>
    <definedName name="OSRRefD25x_0" localSheetId="70">'Div 4'!$D$119:$D$122</definedName>
    <definedName name="OSRRefD25x_0" localSheetId="94">'Div 5'!$D$68</definedName>
    <definedName name="OSRRefD25x_0" localSheetId="61">'Div 6'!$D$95:$D$96</definedName>
    <definedName name="OSRRefD25x_0" localSheetId="2">Summary!$D$240:$D$246</definedName>
    <definedName name="OSRRefH13x_0" localSheetId="41">'201'!$H$13</definedName>
    <definedName name="OSRRefH13x_0" localSheetId="42">'202'!$H$13</definedName>
    <definedName name="OSRRefH13x_0" localSheetId="48">'300'!$H$13:$H$72</definedName>
    <definedName name="OSRRefH13x_0" localSheetId="49">'300 &amp; 317'!$H$13:$H$86</definedName>
    <definedName name="OSRRefH13x_0" localSheetId="52">'307'!$H$13:$H$23</definedName>
    <definedName name="OSRRefH13x_0" localSheetId="53">'308'!$H$13:$H$32</definedName>
    <definedName name="OSRRefH13x_0" localSheetId="64">'309'!$H$13</definedName>
    <definedName name="OSRRefH13x_0" localSheetId="63">'310'!$H$13:$H$17</definedName>
    <definedName name="OSRRefH13x_0" localSheetId="71">'310 &amp; 491'!$H$13:$H$20</definedName>
    <definedName name="OSRRefH13x_0" localSheetId="54">'311'!$H$13:$H$31</definedName>
    <definedName name="OSRRefH13x_0" localSheetId="65">'313'!$H$13</definedName>
    <definedName name="OSRRefH13x_0" localSheetId="57">'315'!$H$13:$H$48</definedName>
    <definedName name="OSRRefH13x_0" localSheetId="60">'316'!$H$13:$H$22</definedName>
    <definedName name="OSRRefH13x_0" localSheetId="62">'317'!$H$13:$H$30</definedName>
    <definedName name="OSRRefH13x_0" localSheetId="66">'321'!$H$13:$H$15</definedName>
    <definedName name="OSRRefH13x_0" localSheetId="67">'322'!$H$13</definedName>
    <definedName name="OSRRefH13x_0" localSheetId="55">'324'!$H$13:$H$16</definedName>
    <definedName name="OSRRefH13x_0" localSheetId="68">'325'!$H$13:$H$14</definedName>
    <definedName name="OSRRefH13x_0" localSheetId="58">'326'!$H$13:$H$31</definedName>
    <definedName name="OSRRefH13x_0" localSheetId="69">'327'!$H$13:$H$14</definedName>
    <definedName name="OSRRefH13x_0" localSheetId="51">'330'!$H$13:$H$23</definedName>
    <definedName name="OSRRefH13x_0" localSheetId="56">'331'!$H$13:$H$48</definedName>
    <definedName name="OSRRefH13x_0" localSheetId="59">'332'!$H$13:$H$22</definedName>
    <definedName name="OSRRefH13x_0" localSheetId="73">'405'!$H$13:$H$14</definedName>
    <definedName name="OSRRefH13x_0" localSheetId="78">'412'!$H$13</definedName>
    <definedName name="OSRRefH13x_0" localSheetId="80">'413'!$H$13:$H$14</definedName>
    <definedName name="OSRRefH13x_0" localSheetId="81">'414'!$H$13:$H$15</definedName>
    <definedName name="OSRRefH13x_0" localSheetId="82">'415'!$H$13:$H$16</definedName>
    <definedName name="OSRRefH13x_0" localSheetId="83">'418'!$H$13:$H$14</definedName>
    <definedName name="OSRRefH13x_0" localSheetId="90">'433'!$H$13:$H$16</definedName>
    <definedName name="OSRRefH13x_0" localSheetId="92">'444'!$H$13:$H$16</definedName>
    <definedName name="OSRRefH13x_0" localSheetId="93">'450'!$H$13:$H$14</definedName>
    <definedName name="OSRRefH13x_0" localSheetId="72">'491'!$H$13:$H$17</definedName>
    <definedName name="OSRRefH13x_0" localSheetId="88">'492'!$H$13:$H$16</definedName>
    <definedName name="OSRRefH13x_0" localSheetId="95">'501'!$H$13</definedName>
    <definedName name="OSRRefH13x_0" localSheetId="39">'Div 2'!$H$13</definedName>
    <definedName name="OSRRefH13x_0" localSheetId="47">'Div 3'!$H$13:$H$74</definedName>
    <definedName name="OSRRefH13x_0" localSheetId="70">'Div 4'!$H$13:$H$19</definedName>
    <definedName name="OSRRefH13x_0" localSheetId="94">'Div 5'!$H$13</definedName>
    <definedName name="OSRRefH13x_0" localSheetId="61">'Div 6'!$H$13:$H$30</definedName>
    <definedName name="OSRRefH13x_0" localSheetId="2">Summary!$H$13:$H$92</definedName>
    <definedName name="OSRRefH16x_0" localSheetId="48">'300'!$H$75:$H$100</definedName>
    <definedName name="OSRRefH16x_0" localSheetId="49">'300 &amp; 317'!$H$89:$H$122</definedName>
    <definedName name="OSRRefH16x_0" localSheetId="52">'307'!$H$26:$H$30</definedName>
    <definedName name="OSRRefH16x_0" localSheetId="53">'308'!$H$35:$H$46</definedName>
    <definedName name="OSRRefH16x_0" localSheetId="64">'309'!$H$16</definedName>
    <definedName name="OSRRefH16x_0" localSheetId="63">'310'!$H$20:$H$22</definedName>
    <definedName name="OSRRefH16x_0" localSheetId="71">'310 &amp; 491'!$H$23:$H$25</definedName>
    <definedName name="OSRRefH16x_0" localSheetId="54">'311'!$H$34:$H$45</definedName>
    <definedName name="OSRRefH16x_0" localSheetId="65">'313'!$H$16:$H$17</definedName>
    <definedName name="OSRRefH16x_0" localSheetId="57">'315'!$H$51:$H$66</definedName>
    <definedName name="OSRRefH16x_0" localSheetId="62">'317'!$H$33:$H$43</definedName>
    <definedName name="OSRRefH16x_0" localSheetId="66">'321'!$H$18:$H$19</definedName>
    <definedName name="OSRRefH16x_0" localSheetId="67">'322'!$H$16:$H$17</definedName>
    <definedName name="OSRRefH16x_0" localSheetId="55">'324'!$H$19:$H$21</definedName>
    <definedName name="OSRRefH16x_0" localSheetId="68">'325'!$H$17:$H$18</definedName>
    <definedName name="OSRRefH16x_0" localSheetId="58">'326'!$H$34:$H$35</definedName>
    <definedName name="OSRRefH16x_0" localSheetId="69">'327'!$H$17:$H$18</definedName>
    <definedName name="OSRRefH16x_0" localSheetId="51">'330'!$H$26:$H$30</definedName>
    <definedName name="OSRRefH16x_0" localSheetId="56">'331'!$H$51:$H$66</definedName>
    <definedName name="OSRRefH16x_0" localSheetId="73">'405'!$H$17</definedName>
    <definedName name="OSRRefH16x_0" localSheetId="78">'412'!$H$16</definedName>
    <definedName name="OSRRefH16x_0" localSheetId="80">'413'!$H$17</definedName>
    <definedName name="OSRRefH16x_0" localSheetId="81">'414'!$H$18</definedName>
    <definedName name="OSRRefH16x_0" localSheetId="82">'415'!$H$19:$H$21</definedName>
    <definedName name="OSRRefH16x_0" localSheetId="83">'418'!$H$17</definedName>
    <definedName name="OSRRefH16x_0" localSheetId="90">'433'!$H$19:$H$21</definedName>
    <definedName name="OSRRefH16x_0" localSheetId="92">'444'!$H$19:$H$21</definedName>
    <definedName name="OSRRefH16x_0" localSheetId="93">'450'!$H$17</definedName>
    <definedName name="OSRRefH16x_0" localSheetId="72">'491'!$H$20:$H$22</definedName>
    <definedName name="OSRRefH16x_0" localSheetId="88">'492'!$H$19:$H$21</definedName>
    <definedName name="OSRRefH16x_0" localSheetId="47">'Div 3'!$H$77:$H$104</definedName>
    <definedName name="OSRRefH16x_0" localSheetId="70">'Div 4'!$H$22:$H$24</definedName>
    <definedName name="OSRRefH16x_0" localSheetId="61">'Div 6'!$H$33:$H$43</definedName>
    <definedName name="OSRRefH16x_0" localSheetId="2">Summary!$H$95:$H$130</definedName>
    <definedName name="OSRRefH22_0x_0" localSheetId="40">'200'!$H$20</definedName>
    <definedName name="OSRRefH22_0x_0" localSheetId="41">'201'!$H$21:$H$29</definedName>
    <definedName name="OSRRefH22_0x_0" localSheetId="42">'202'!$H$21:$H$29</definedName>
    <definedName name="OSRRefH22_0x_0" localSheetId="43">'203'!$H$20:$H$29</definedName>
    <definedName name="OSRRefH22_0x_0" localSheetId="44">'204'!$H$20:$H$29</definedName>
    <definedName name="OSRRefH22_0x_0" localSheetId="45">'205'!$H$20:$H$28</definedName>
    <definedName name="OSRRefH22_0x_0" localSheetId="46">'206'!$H$20:$H$28</definedName>
    <definedName name="OSRRefH22_0x_0" localSheetId="48">'300'!$H$106:$H$115</definedName>
    <definedName name="OSRRefH22_0x_0" localSheetId="49">'300 &amp; 317'!$H$128:$H$137</definedName>
    <definedName name="OSRRefH22_0x_0" localSheetId="50">'301'!$H$20:$H$28</definedName>
    <definedName name="OSRRefH22_0x_0" localSheetId="52">'307'!$H$36:$H$43</definedName>
    <definedName name="OSRRefH22_0x_0" localSheetId="53">'308'!$H$52:$H$61</definedName>
    <definedName name="OSRRefH22_0x_0" localSheetId="64">'309'!$H$22:$H$29</definedName>
    <definedName name="OSRRefH22_0x_0" localSheetId="63">'310'!$H$28:$H$36</definedName>
    <definedName name="OSRRefH22_0x_0" localSheetId="71">'310 &amp; 491'!$H$31:$H$39</definedName>
    <definedName name="OSRRefH22_0x_0" localSheetId="54">'311'!$H$51:$H$60</definedName>
    <definedName name="OSRRefH22_0x_0" localSheetId="65">'313'!$H$23:$H$31</definedName>
    <definedName name="OSRRefH22_0x_0" localSheetId="57">'315'!$H$72:$H$80</definedName>
    <definedName name="OSRRefH22_0x_0" localSheetId="60">'316'!$H$30:$H$38</definedName>
    <definedName name="OSRRefH22_0x_0" localSheetId="62">'317'!$H$49:$H$58</definedName>
    <definedName name="OSRRefH22_0x_0" localSheetId="66">'321'!$H$25:$H$33</definedName>
    <definedName name="OSRRefH22_0x_0" localSheetId="67">'322'!$H$23:$H$30</definedName>
    <definedName name="OSRRefH22_0x_0" localSheetId="55">'324'!$H$27:$H$34</definedName>
    <definedName name="OSRRefH22_0x_0" localSheetId="68">'325'!$H$24:$H$31</definedName>
    <definedName name="OSRRefH22_0x_0" localSheetId="58">'326'!$H$41:$H$49</definedName>
    <definedName name="OSRRefH22_0x_0" localSheetId="69">'327'!$H$24</definedName>
    <definedName name="OSRRefH22_0x_0" localSheetId="51">'330'!$H$36:$H$43</definedName>
    <definedName name="OSRRefH22_0x_0" localSheetId="56">'331'!$H$72:$H$80</definedName>
    <definedName name="OSRRefH22_0x_0" localSheetId="59">'332'!$H$30:$H$38</definedName>
    <definedName name="OSRRefH22_0x_0" localSheetId="73">'405'!$H$23:$H$30</definedName>
    <definedName name="OSRRefH22_0x_0" localSheetId="74">'406'!$H$20</definedName>
    <definedName name="OSRRefH22_0x_0" localSheetId="77">'411'!$H$20:$H$28</definedName>
    <definedName name="OSRRefH22_0x_0" localSheetId="78">'412'!$H$22:$H$29</definedName>
    <definedName name="OSRRefH22_0x_0" localSheetId="80">'413'!$H$23:$H$31</definedName>
    <definedName name="OSRRefH22_0x_0" localSheetId="81">'414'!$H$24:$H$32</definedName>
    <definedName name="OSRRefH22_0x_0" localSheetId="82">'415'!$H$27:$H$35</definedName>
    <definedName name="OSRRefH22_0x_0" localSheetId="83">'418'!$H$23:$H$30</definedName>
    <definedName name="OSRRefH22_0x_0" localSheetId="84">'423'!$H$20:$H$27</definedName>
    <definedName name="OSRRefH22_0x_0" localSheetId="85">'424'!$H$20</definedName>
    <definedName name="OSRRefH22_0x_0" localSheetId="86">'425'!$H$20:$H$24</definedName>
    <definedName name="OSRRefH22_0x_0" localSheetId="89">'430'!$H$20:$H$28</definedName>
    <definedName name="OSRRefH22_0x_0" localSheetId="90">'433'!$H$27:$H$36</definedName>
    <definedName name="OSRRefH22_0x_0" localSheetId="91">'435'!$H$20</definedName>
    <definedName name="OSRRefH22_0x_0" localSheetId="92">'444'!$H$27:$H$36</definedName>
    <definedName name="OSRRefH22_0x_0" localSheetId="93">'450'!$H$23:$H$32</definedName>
    <definedName name="OSRRefH22_0x_0" localSheetId="72">'491'!$H$28:$H$36</definedName>
    <definedName name="OSRRefH22_0x_0" localSheetId="88">'492'!$H$27:$H$36</definedName>
    <definedName name="OSRRefH22_0x_0" localSheetId="95">'501'!$H$21:$H$30</definedName>
    <definedName name="OSRRefH22_0x_0" localSheetId="39">'Div 2'!$H$21:$H$31</definedName>
    <definedName name="OSRRefH22_0x_0" localSheetId="47">'Div 3'!$H$110:$H$119</definedName>
    <definedName name="OSRRefH22_0x_0" localSheetId="70">'Div 4'!$H$30:$H$39</definedName>
    <definedName name="OSRRefH22_0x_0" localSheetId="94">'Div 5'!$H$21:$H$30</definedName>
    <definedName name="OSRRefH22_0x_0" localSheetId="61">'Div 6'!$H$49:$H$58</definedName>
    <definedName name="OSRRefH22_0x_0" localSheetId="2">Summary!$H$136:$H$145</definedName>
    <definedName name="OSRRefH22_10x_0" localSheetId="41">'201'!$H$58:$H$59</definedName>
    <definedName name="OSRRefH22_10x_0" localSheetId="42">'202'!$H$62</definedName>
    <definedName name="OSRRefH22_10x_0" localSheetId="43">'203'!$H$61</definedName>
    <definedName name="OSRRefH22_10x_0" localSheetId="44">'204'!$H$63</definedName>
    <definedName name="OSRRefH22_10x_0" localSheetId="48">'300'!$H$147:$H$148</definedName>
    <definedName name="OSRRefH22_10x_0" localSheetId="49">'300 &amp; 317'!$H$169:$H$170</definedName>
    <definedName name="OSRRefH22_10x_0" localSheetId="50">'301'!$H$59</definedName>
    <definedName name="OSRRefH22_10x_0" localSheetId="52">'307'!$H$73:$H$74</definedName>
    <definedName name="OSRRefH22_10x_0" localSheetId="53">'308'!$H$92</definedName>
    <definedName name="OSRRefH22_10x_0" localSheetId="63">'310'!$H$66</definedName>
    <definedName name="OSRRefH22_10x_0" localSheetId="71">'310 &amp; 491'!$H$71</definedName>
    <definedName name="OSRRefH22_10x_0" localSheetId="54">'311'!$H$91</definedName>
    <definedName name="OSRRefH22_10x_0" localSheetId="65">'313'!$H$64</definedName>
    <definedName name="OSRRefH22_10x_0" localSheetId="57">'315'!$H$110</definedName>
    <definedName name="OSRRefH22_10x_0" localSheetId="60">'316'!$H$72</definedName>
    <definedName name="OSRRefH22_10x_0" localSheetId="62">'317'!$H$88:$H$90</definedName>
    <definedName name="OSRRefH22_10x_0" localSheetId="66">'321'!$H$64:$H$66</definedName>
    <definedName name="OSRRefH22_10x_0" localSheetId="67">'322'!$H$64</definedName>
    <definedName name="OSRRefH22_10x_0" localSheetId="68">'325'!$H$64:$H$66</definedName>
    <definedName name="OSRRefH22_10x_0" localSheetId="58">'326'!$H$79</definedName>
    <definedName name="OSRRefH22_10x_0" localSheetId="51">'330'!$H$73:$H$74</definedName>
    <definedName name="OSRRefH22_10x_0" localSheetId="56">'331'!$H$111</definedName>
    <definedName name="OSRRefH22_10x_0" localSheetId="59">'332'!$H$72</definedName>
    <definedName name="OSRRefH22_10x_0" localSheetId="73">'405'!$H$61:$H$64</definedName>
    <definedName name="OSRRefH22_10x_0" localSheetId="77">'411'!$H$62:$H$68</definedName>
    <definedName name="OSRRefH22_10x_0" localSheetId="78">'412'!$H$60:$H$63</definedName>
    <definedName name="OSRRefH22_10x_0" localSheetId="80">'413'!$H$70:$H$71</definedName>
    <definedName name="OSRRefH22_10x_0" localSheetId="81">'414'!$H$62</definedName>
    <definedName name="OSRRefH22_10x_0" localSheetId="82">'415'!$H$65:$H$66</definedName>
    <definedName name="OSRRefH22_10x_0" localSheetId="83">'418'!$H$63</definedName>
    <definedName name="OSRRefH22_10x_0" localSheetId="90">'433'!$H$65</definedName>
    <definedName name="OSRRefH22_10x_0" localSheetId="92">'444'!$H$65</definedName>
    <definedName name="OSRRefH22_10x_0" localSheetId="93">'450'!$H$61</definedName>
    <definedName name="OSRRefH22_10x_0" localSheetId="72">'491'!$H$67</definedName>
    <definedName name="OSRRefH22_10x_0" localSheetId="88">'492'!$H$65</definedName>
    <definedName name="OSRRefH22_10x_0" localSheetId="95">'501'!$H$62:$H$63</definedName>
    <definedName name="OSRRefH22_10x_0" localSheetId="39">'Div 2'!$H$62</definedName>
    <definedName name="OSRRefH22_10x_0" localSheetId="47">'Div 3'!$H$151:$H$152</definedName>
    <definedName name="OSRRefH22_10x_0" localSheetId="70">'Div 4'!$H$70</definedName>
    <definedName name="OSRRefH22_10x_0" localSheetId="94">'Div 5'!$H$62:$H$63</definedName>
    <definedName name="OSRRefH22_10x_0" localSheetId="61">'Div 6'!$H$88:$H$90</definedName>
    <definedName name="OSRRefH22_10x_0" localSheetId="2">Summary!$H$178:$H$179</definedName>
    <definedName name="OSRRefH22_11x_0" localSheetId="41">'201'!$H$61</definedName>
    <definedName name="OSRRefH22_11x_0" localSheetId="42">'202'!$H$64</definedName>
    <definedName name="OSRRefH22_11x_0" localSheetId="43">'203'!$H$63:$H$65</definedName>
    <definedName name="OSRRefH22_11x_0" localSheetId="48">'300'!$H$150:$H$152</definedName>
    <definedName name="OSRRefH22_11x_0" localSheetId="49">'300 &amp; 317'!$H$172:$H$174</definedName>
    <definedName name="OSRRefH22_11x_0" localSheetId="50">'301'!$H$61</definedName>
    <definedName name="OSRRefH22_11x_0" localSheetId="52">'307'!$H$76:$H$79</definedName>
    <definedName name="OSRRefH22_11x_0" localSheetId="53">'308'!$H$94:$H$96</definedName>
    <definedName name="OSRRefH22_11x_0" localSheetId="63">'310'!$H$68:$H$71</definedName>
    <definedName name="OSRRefH22_11x_0" localSheetId="71">'310 &amp; 491'!$H$73</definedName>
    <definedName name="OSRRefH22_11x_0" localSheetId="54">'311'!$H$93:$H$95</definedName>
    <definedName name="OSRRefH22_11x_0" localSheetId="57">'315'!$H$112</definedName>
    <definedName name="OSRRefH22_11x_0" localSheetId="60">'316'!$H$74</definedName>
    <definedName name="OSRRefH22_11x_0" localSheetId="62">'317'!$H$92</definedName>
    <definedName name="OSRRefH22_11x_0" localSheetId="66">'321'!$H$68:$H$69</definedName>
    <definedName name="OSRRefH22_11x_0" localSheetId="67">'322'!$H$66</definedName>
    <definedName name="OSRRefH22_11x_0" localSheetId="68">'325'!$H$68</definedName>
    <definedName name="OSRRefH22_11x_0" localSheetId="58">'326'!$H$81</definedName>
    <definedName name="OSRRefH22_11x_0" localSheetId="51">'330'!$H$76:$H$79</definedName>
    <definedName name="OSRRefH22_11x_0" localSheetId="56">'331'!$H$113</definedName>
    <definedName name="OSRRefH22_11x_0" localSheetId="59">'332'!$H$74</definedName>
    <definedName name="OSRRefH22_11x_0" localSheetId="73">'405'!$H$66</definedName>
    <definedName name="OSRRefH22_11x_0" localSheetId="77">'411'!$H$70</definedName>
    <definedName name="OSRRefH22_11x_0" localSheetId="78">'412'!$H$65:$H$69</definedName>
    <definedName name="OSRRefH22_11x_0" localSheetId="80">'413'!$H$73</definedName>
    <definedName name="OSRRefH22_11x_0" localSheetId="81">'414'!$H$64</definedName>
    <definedName name="OSRRefH22_11x_0" localSheetId="82">'415'!$H$68:$H$72</definedName>
    <definedName name="OSRRefH22_11x_0" localSheetId="83">'418'!$H$65:$H$74</definedName>
    <definedName name="OSRRefH22_11x_0" localSheetId="90">'433'!$H$67:$H$68</definedName>
    <definedName name="OSRRefH22_11x_0" localSheetId="92">'444'!$H$67:$H$69</definedName>
    <definedName name="OSRRefH22_11x_0" localSheetId="93">'450'!$H$63</definedName>
    <definedName name="OSRRefH22_11x_0" localSheetId="72">'491'!$H$69</definedName>
    <definedName name="OSRRefH22_11x_0" localSheetId="88">'492'!$H$67</definedName>
    <definedName name="OSRRefH22_11x_0" localSheetId="95">'501'!$H$65</definedName>
    <definedName name="OSRRefH22_11x_0" localSheetId="39">'Div 2'!$H$64:$H$65</definedName>
    <definedName name="OSRRefH22_11x_0" localSheetId="47">'Div 3'!$H$154:$H$156</definedName>
    <definedName name="OSRRefH22_11x_0" localSheetId="70">'Div 4'!$H$72</definedName>
    <definedName name="OSRRefH22_11x_0" localSheetId="94">'Div 5'!$H$65</definedName>
    <definedName name="OSRRefH22_11x_0" localSheetId="61">'Div 6'!$H$92</definedName>
    <definedName name="OSRRefH22_11x_0" localSheetId="2">Summary!$H$181:$H$183</definedName>
    <definedName name="OSRRefH22_12x_0" localSheetId="41">'201'!$H$63</definedName>
    <definedName name="OSRRefH22_12x_0" localSheetId="42">'202'!$H$66</definedName>
    <definedName name="OSRRefH22_12x_0" localSheetId="43">'203'!$H$67</definedName>
    <definedName name="OSRRefH22_12x_0" localSheetId="48">'300'!$H$154</definedName>
    <definedName name="OSRRefH22_12x_0" localSheetId="49">'300 &amp; 317'!$H$176</definedName>
    <definedName name="OSRRefH22_12x_0" localSheetId="50">'301'!$H$63</definedName>
    <definedName name="OSRRefH22_12x_0" localSheetId="52">'307'!$H$81:$H$82</definedName>
    <definedName name="OSRRefH22_12x_0" localSheetId="53">'308'!$H$98:$H$99</definedName>
    <definedName name="OSRRefH22_12x_0" localSheetId="63">'310'!$H$73</definedName>
    <definedName name="OSRRefH22_12x_0" localSheetId="71">'310 &amp; 491'!$H$75</definedName>
    <definedName name="OSRRefH22_12x_0" localSheetId="54">'311'!$H$97:$H$98</definedName>
    <definedName name="OSRRefH22_12x_0" localSheetId="57">'315'!$H$114:$H$116</definedName>
    <definedName name="OSRRefH22_12x_0" localSheetId="66">'321'!$H$71</definedName>
    <definedName name="OSRRefH22_12x_0" localSheetId="68">'325'!$H$70:$H$74</definedName>
    <definedName name="OSRRefH22_12x_0" localSheetId="58">'326'!$H$83</definedName>
    <definedName name="OSRRefH22_12x_0" localSheetId="51">'330'!$H$81:$H$82</definedName>
    <definedName name="OSRRefH22_12x_0" localSheetId="56">'331'!$H$115</definedName>
    <definedName name="OSRRefH22_12x_0" localSheetId="73">'405'!$H$68:$H$76</definedName>
    <definedName name="OSRRefH22_12x_0" localSheetId="77">'411'!$H$72</definedName>
    <definedName name="OSRRefH22_12x_0" localSheetId="78">'412'!$H$71:$H$72</definedName>
    <definedName name="OSRRefH22_12x_0" localSheetId="81">'414'!$H$66:$H$68</definedName>
    <definedName name="OSRRefH22_12x_0" localSheetId="82">'415'!$H$74</definedName>
    <definedName name="OSRRefH22_12x_0" localSheetId="83">'418'!$H$76:$H$77</definedName>
    <definedName name="OSRRefH22_12x_0" localSheetId="90">'433'!$H$70:$H$73</definedName>
    <definedName name="OSRRefH22_12x_0" localSheetId="92">'444'!$H$71:$H$73</definedName>
    <definedName name="OSRRefH22_12x_0" localSheetId="93">'450'!$H$65</definedName>
    <definedName name="OSRRefH22_12x_0" localSheetId="72">'491'!$H$71</definedName>
    <definedName name="OSRRefH22_12x_0" localSheetId="88">'492'!$H$69:$H$71</definedName>
    <definedName name="OSRRefH22_12x_0" localSheetId="39">'Div 2'!$H$67:$H$70</definedName>
    <definedName name="OSRRefH22_12x_0" localSheetId="47">'Div 3'!$H$158</definedName>
    <definedName name="OSRRefH22_12x_0" localSheetId="70">'Div 4'!$H$74</definedName>
    <definedName name="OSRRefH22_12x_0" localSheetId="2">Summary!$H$185</definedName>
    <definedName name="OSRRefH22_13x_0" localSheetId="41">'201'!$H$65:$H$67</definedName>
    <definedName name="OSRRefH22_13x_0" localSheetId="43">'203'!$H$69</definedName>
    <definedName name="OSRRefH22_13x_0" localSheetId="48">'300'!$H$156</definedName>
    <definedName name="OSRRefH22_13x_0" localSheetId="49">'300 &amp; 317'!$H$178</definedName>
    <definedName name="OSRRefH22_13x_0" localSheetId="50">'301'!$H$65:$H$68</definedName>
    <definedName name="OSRRefH22_13x_0" localSheetId="52">'307'!$H$84</definedName>
    <definedName name="OSRRefH22_13x_0" localSheetId="53">'308'!$H$101</definedName>
    <definedName name="OSRRefH22_13x_0" localSheetId="63">'310'!$H$75:$H$78</definedName>
    <definedName name="OSRRefH22_13x_0" localSheetId="71">'310 &amp; 491'!$H$77:$H$80</definedName>
    <definedName name="OSRRefH22_13x_0" localSheetId="54">'311'!$H$100</definedName>
    <definedName name="OSRRefH22_13x_0" localSheetId="57">'315'!$H$118:$H$119</definedName>
    <definedName name="OSRRefH22_13x_0" localSheetId="66">'321'!$H$73</definedName>
    <definedName name="OSRRefH22_13x_0" localSheetId="68">'325'!$H$76:$H$77</definedName>
    <definedName name="OSRRefH22_13x_0" localSheetId="58">'326'!$H$85:$H$86</definedName>
    <definedName name="OSRRefH22_13x_0" localSheetId="51">'330'!$H$84</definedName>
    <definedName name="OSRRefH22_13x_0" localSheetId="56">'331'!$H$117</definedName>
    <definedName name="OSRRefH22_13x_0" localSheetId="73">'405'!$H$78</definedName>
    <definedName name="OSRRefH22_13x_0" localSheetId="77">'411'!$H$74</definedName>
    <definedName name="OSRRefH22_13x_0" localSheetId="78">'412'!$H$74</definedName>
    <definedName name="OSRRefH22_13x_0" localSheetId="81">'414'!$H$70</definedName>
    <definedName name="OSRRefH22_13x_0" localSheetId="82">'415'!$H$76:$H$82</definedName>
    <definedName name="OSRRefH22_13x_0" localSheetId="83">'418'!$H$79</definedName>
    <definedName name="OSRRefH22_13x_0" localSheetId="90">'433'!$H$75:$H$82</definedName>
    <definedName name="OSRRefH22_13x_0" localSheetId="92">'444'!$H$75:$H$83</definedName>
    <definedName name="OSRRefH22_13x_0" localSheetId="93">'450'!$H$67:$H$69</definedName>
    <definedName name="OSRRefH22_13x_0" localSheetId="72">'491'!$H$73:$H$76</definedName>
    <definedName name="OSRRefH22_13x_0" localSheetId="88">'492'!$H$73:$H$76</definedName>
    <definedName name="OSRRefH22_13x_0" localSheetId="39">'Div 2'!$H$72:$H$75</definedName>
    <definedName name="OSRRefH22_13x_0" localSheetId="47">'Div 3'!$H$160</definedName>
    <definedName name="OSRRefH22_13x_0" localSheetId="70">'Div 4'!$H$76</definedName>
    <definedName name="OSRRefH22_13x_0" localSheetId="2">Summary!$H$187</definedName>
    <definedName name="OSRRefH22_14x_0" localSheetId="41">'201'!$H$69</definedName>
    <definedName name="OSRRefH22_14x_0" localSheetId="48">'300'!$H$158</definedName>
    <definedName name="OSRRefH22_14x_0" localSheetId="49">'300 &amp; 317'!$H$180</definedName>
    <definedName name="OSRRefH22_14x_0" localSheetId="50">'301'!$H$70:$H$72</definedName>
    <definedName name="OSRRefH22_14x_0" localSheetId="63">'310'!$H$80</definedName>
    <definedName name="OSRRefH22_14x_0" localSheetId="71">'310 &amp; 491'!$H$82:$H$83</definedName>
    <definedName name="OSRRefH22_14x_0" localSheetId="57">'315'!$H$121:$H$127</definedName>
    <definedName name="OSRRefH22_14x_0" localSheetId="68">'325'!$H$79</definedName>
    <definedName name="OSRRefH22_14x_0" localSheetId="58">'326'!$H$88:$H$90</definedName>
    <definedName name="OSRRefH22_14x_0" localSheetId="56">'331'!$H$119:$H$120</definedName>
    <definedName name="OSRRefH22_14x_0" localSheetId="73">'405'!$H$80</definedName>
    <definedName name="OSRRefH22_14x_0" localSheetId="81">'414'!$H$72</definedName>
    <definedName name="OSRRefH22_14x_0" localSheetId="82">'415'!$H$84:$H$85</definedName>
    <definedName name="OSRRefH22_14x_0" localSheetId="90">'433'!$H$84</definedName>
    <definedName name="OSRRefH22_14x_0" localSheetId="92">'444'!$H$85:$H$86</definedName>
    <definedName name="OSRRefH22_14x_0" localSheetId="93">'450'!$H$71:$H$77</definedName>
    <definedName name="OSRRefH22_14x_0" localSheetId="72">'491'!$H$78:$H$79</definedName>
    <definedName name="OSRRefH22_14x_0" localSheetId="88">'492'!$H$78:$H$87</definedName>
    <definedName name="OSRRefH22_14x_0" localSheetId="39">'Div 2'!$H$77:$H$78</definedName>
    <definedName name="OSRRefH22_14x_0" localSheetId="47">'Div 3'!$H$162</definedName>
    <definedName name="OSRRefH22_14x_0" localSheetId="70">'Div 4'!$H$78</definedName>
    <definedName name="OSRRefH22_14x_0" localSheetId="2">Summary!$H$189</definedName>
    <definedName name="OSRRefH22_15x_0" localSheetId="41">'201'!$H$71</definedName>
    <definedName name="OSRRefH22_15x_0" localSheetId="48">'300'!$H$160</definedName>
    <definedName name="OSRRefH22_15x_0" localSheetId="49">'300 &amp; 317'!$H$182</definedName>
    <definedName name="OSRRefH22_15x_0" localSheetId="50">'301'!$H$74</definedName>
    <definedName name="OSRRefH22_15x_0" localSheetId="63">'310'!$H$82:$H$88</definedName>
    <definedName name="OSRRefH22_15x_0" localSheetId="71">'310 &amp; 491'!$H$85:$H$89</definedName>
    <definedName name="OSRRefH22_15x_0" localSheetId="57">'315'!$H$129</definedName>
    <definedName name="OSRRefH22_15x_0" localSheetId="58">'326'!$H$92:$H$93</definedName>
    <definedName name="OSRRefH22_15x_0" localSheetId="56">'331'!$H$122:$H$124</definedName>
    <definedName name="OSRRefH22_15x_0" localSheetId="73">'405'!$H$82</definedName>
    <definedName name="OSRRefH22_15x_0" localSheetId="81">'414'!$H$74</definedName>
    <definedName name="OSRRefH22_15x_0" localSheetId="82">'415'!$H$87</definedName>
    <definedName name="OSRRefH22_15x_0" localSheetId="92">'444'!$H$88</definedName>
    <definedName name="OSRRefH22_15x_0" localSheetId="93">'450'!$H$79:$H$80</definedName>
    <definedName name="OSRRefH22_15x_0" localSheetId="72">'491'!$H$81:$H$85</definedName>
    <definedName name="OSRRefH22_15x_0" localSheetId="88">'492'!$H$89:$H$90</definedName>
    <definedName name="OSRRefH22_15x_0" localSheetId="39">'Div 2'!$H$80:$H$81</definedName>
    <definedName name="OSRRefH22_15x_0" localSheetId="47">'Div 3'!$H$164</definedName>
    <definedName name="OSRRefH22_15x_0" localSheetId="70">'Div 4'!$H$80:$H$83</definedName>
    <definedName name="OSRRefH22_15x_0" localSheetId="2">Summary!$H$191</definedName>
    <definedName name="OSRRefH22_16x_0" localSheetId="48">'300'!$H$162:$H$165</definedName>
    <definedName name="OSRRefH22_16x_0" localSheetId="49">'300 &amp; 317'!$H$184:$H$187</definedName>
    <definedName name="OSRRefH22_16x_0" localSheetId="50">'301'!$H$76:$H$82</definedName>
    <definedName name="OSRRefH22_16x_0" localSheetId="63">'310'!$H$90:$H$91</definedName>
    <definedName name="OSRRefH22_16x_0" localSheetId="71">'310 &amp; 491'!$H$91</definedName>
    <definedName name="OSRRefH22_16x_0" localSheetId="57">'315'!$H$131:$H$132</definedName>
    <definedName name="OSRRefH22_16x_0" localSheetId="58">'326'!$H$95:$H$100</definedName>
    <definedName name="OSRRefH22_16x_0" localSheetId="56">'331'!$H$126:$H$128</definedName>
    <definedName name="OSRRefH22_16x_0" localSheetId="93">'450'!$H$82</definedName>
    <definedName name="OSRRefH22_16x_0" localSheetId="72">'491'!$H$87</definedName>
    <definedName name="OSRRefH22_16x_0" localSheetId="88">'492'!$H$92</definedName>
    <definedName name="OSRRefH22_16x_0" localSheetId="39">'Div 2'!$H$83:$H$87</definedName>
    <definedName name="OSRRefH22_16x_0" localSheetId="47">'Div 3'!$H$166</definedName>
    <definedName name="OSRRefH22_16x_0" localSheetId="70">'Div 4'!$H$85:$H$86</definedName>
    <definedName name="OSRRefH22_16x_0" localSheetId="2">Summary!$H$193</definedName>
    <definedName name="OSRRefH22_17x_0" localSheetId="48">'300'!$H$167:$H$170</definedName>
    <definedName name="OSRRefH22_17x_0" localSheetId="49">'300 &amp; 317'!$H$189:$H$192</definedName>
    <definedName name="OSRRefH22_17x_0" localSheetId="50">'301'!$H$84</definedName>
    <definedName name="OSRRefH22_17x_0" localSheetId="63">'310'!$H$93</definedName>
    <definedName name="OSRRefH22_17x_0" localSheetId="71">'310 &amp; 491'!$H$93:$H$103</definedName>
    <definedName name="OSRRefH22_17x_0" localSheetId="58">'326'!$H$102:$H$103</definedName>
    <definedName name="OSRRefH22_17x_0" localSheetId="56">'331'!$H$130:$H$131</definedName>
    <definedName name="OSRRefH22_17x_0" localSheetId="72">'491'!$H$89:$H$99</definedName>
    <definedName name="OSRRefH22_17x_0" localSheetId="88">'492'!$H$94</definedName>
    <definedName name="OSRRefH22_17x_0" localSheetId="39">'Div 2'!$H$89:$H$90</definedName>
    <definedName name="OSRRefH22_17x_0" localSheetId="47">'Div 3'!$H$168:$H$171</definedName>
    <definedName name="OSRRefH22_17x_0" localSheetId="70">'Div 4'!$H$88:$H$92</definedName>
    <definedName name="OSRRefH22_17x_0" localSheetId="2">Summary!$H$195</definedName>
    <definedName name="OSRRefH22_18x_0" localSheetId="48">'300'!$H$172:$H$175</definedName>
    <definedName name="OSRRefH22_18x_0" localSheetId="49">'300 &amp; 317'!$H$194:$H$197</definedName>
    <definedName name="OSRRefH22_18x_0" localSheetId="50">'301'!$H$86</definedName>
    <definedName name="OSRRefH22_18x_0" localSheetId="63">'310'!$H$95</definedName>
    <definedName name="OSRRefH22_18x_0" localSheetId="71">'310 &amp; 491'!$H$105:$H$106</definedName>
    <definedName name="OSRRefH22_18x_0" localSheetId="58">'326'!$H$105</definedName>
    <definedName name="OSRRefH22_18x_0" localSheetId="56">'331'!$H$133:$H$140</definedName>
    <definedName name="OSRRefH22_18x_0" localSheetId="72">'491'!$H$101:$H$102</definedName>
    <definedName name="OSRRefH22_18x_0" localSheetId="39">'Div 2'!$H$92</definedName>
    <definedName name="OSRRefH22_18x_0" localSheetId="47">'Div 3'!$H$173:$H$176</definedName>
    <definedName name="OSRRefH22_18x_0" localSheetId="70">'Div 4'!$H$94</definedName>
    <definedName name="OSRRefH22_18x_0" localSheetId="2">Summary!$H$197:$H$200</definedName>
    <definedName name="OSRRefH22_19x_0" localSheetId="48">'300'!$H$177:$H$178</definedName>
    <definedName name="OSRRefH22_19x_0" localSheetId="49">'300 &amp; 317'!$H$199:$H$200</definedName>
    <definedName name="OSRRefH22_19x_0" localSheetId="50">'301'!$H$88</definedName>
    <definedName name="OSRRefH22_19x_0" localSheetId="71">'310 &amp; 491'!$H$108</definedName>
    <definedName name="OSRRefH22_19x_0" localSheetId="58">'326'!$H$107:$H$108</definedName>
    <definedName name="OSRRefH22_19x_0" localSheetId="56">'331'!$H$142:$H$143</definedName>
    <definedName name="OSRRefH22_19x_0" localSheetId="72">'491'!$H$104</definedName>
    <definedName name="OSRRefH22_19x_0" localSheetId="39">'Div 2'!$H$94:$H$95</definedName>
    <definedName name="OSRRefH22_19x_0" localSheetId="47">'Div 3'!$H$178:$H$182</definedName>
    <definedName name="OSRRefH22_19x_0" localSheetId="70">'Div 4'!$H$96:$H$106</definedName>
    <definedName name="OSRRefH22_19x_0" localSheetId="2">Summary!$H$202:$H$205</definedName>
    <definedName name="OSRRefH22_1x_0" localSheetId="40">'200'!$H$22</definedName>
    <definedName name="OSRRefH22_1x_0" localSheetId="41">'201'!$H$31:$H$40</definedName>
    <definedName name="OSRRefH22_1x_0" localSheetId="42">'202'!$H$31:$H$40</definedName>
    <definedName name="OSRRefH22_1x_0" localSheetId="43">'203'!$H$31:$H$40</definedName>
    <definedName name="OSRRefH22_1x_0" localSheetId="44">'204'!$H$31:$H$40</definedName>
    <definedName name="OSRRefH22_1x_0" localSheetId="45">'205'!$H$30:$H$39</definedName>
    <definedName name="OSRRefH22_1x_0" localSheetId="46">'206'!$H$30:$H$39</definedName>
    <definedName name="OSRRefH22_1x_0" localSheetId="48">'300'!$H$117:$H$126</definedName>
    <definedName name="OSRRefH22_1x_0" localSheetId="49">'300 &amp; 317'!$H$139:$H$148</definedName>
    <definedName name="OSRRefH22_1x_0" localSheetId="50">'301'!$H$30:$H$39</definedName>
    <definedName name="OSRRefH22_1x_0" localSheetId="52">'307'!$H$45:$H$54</definedName>
    <definedName name="OSRRefH22_1x_0" localSheetId="53">'308'!$H$63:$H$72</definedName>
    <definedName name="OSRRefH22_1x_0" localSheetId="64">'309'!$H$31:$H$40</definedName>
    <definedName name="OSRRefH22_1x_0" localSheetId="63">'310'!$H$38:$H$47</definedName>
    <definedName name="OSRRefH22_1x_0" localSheetId="71">'310 &amp; 491'!$H$41:$H$50</definedName>
    <definedName name="OSRRefH22_1x_0" localSheetId="54">'311'!$H$62:$H$71</definedName>
    <definedName name="OSRRefH22_1x_0" localSheetId="65">'313'!$H$33:$H$42</definedName>
    <definedName name="OSRRefH22_1x_0" localSheetId="57">'315'!$H$82:$H$91</definedName>
    <definedName name="OSRRefH22_1x_0" localSheetId="60">'316'!$H$40:$H$49</definedName>
    <definedName name="OSRRefH22_1x_0" localSheetId="62">'317'!$H$60:$H$69</definedName>
    <definedName name="OSRRefH22_1x_0" localSheetId="66">'321'!$H$35:$H$44</definedName>
    <definedName name="OSRRefH22_1x_0" localSheetId="67">'322'!$H$32:$H$41</definedName>
    <definedName name="OSRRefH22_1x_0" localSheetId="55">'324'!$H$36:$H$45</definedName>
    <definedName name="OSRRefH22_1x_0" localSheetId="68">'325'!$H$33:$H$42</definedName>
    <definedName name="OSRRefH22_1x_0" localSheetId="58">'326'!$H$51:$H$60</definedName>
    <definedName name="OSRRefH22_1x_0" localSheetId="51">'330'!$H$45:$H$54</definedName>
    <definedName name="OSRRefH22_1x_0" localSheetId="56">'331'!$H$82:$H$91</definedName>
    <definedName name="OSRRefH22_1x_0" localSheetId="59">'332'!$H$40:$H$49</definedName>
    <definedName name="OSRRefH22_1x_0" localSheetId="73">'405'!$H$32:$H$41</definedName>
    <definedName name="OSRRefH22_1x_0" localSheetId="74">'406'!$H$22</definedName>
    <definedName name="OSRRefH22_1x_0" localSheetId="77">'411'!$H$30:$H$39</definedName>
    <definedName name="OSRRefH22_1x_0" localSheetId="78">'412'!$H$31:$H$40</definedName>
    <definedName name="OSRRefH22_1x_0" localSheetId="80">'413'!$H$33:$H$42</definedName>
    <definedName name="OSRRefH22_1x_0" localSheetId="81">'414'!$H$34:$H$43</definedName>
    <definedName name="OSRRefH22_1x_0" localSheetId="82">'415'!$H$37:$H$46</definedName>
    <definedName name="OSRRefH22_1x_0" localSheetId="83">'418'!$H$32:$H$41</definedName>
    <definedName name="OSRRefH22_1x_0" localSheetId="84">'423'!$H$29:$H$38</definedName>
    <definedName name="OSRRefH22_1x_0" localSheetId="85">'424'!$H$22</definedName>
    <definedName name="OSRRefH22_1x_0" localSheetId="86">'425'!$H$26</definedName>
    <definedName name="OSRRefH22_1x_0" localSheetId="89">'430'!$H$30:$H$39</definedName>
    <definedName name="OSRRefH22_1x_0" localSheetId="90">'433'!$H$38:$H$47</definedName>
    <definedName name="OSRRefH22_1x_0" localSheetId="92">'444'!$H$38:$H$47</definedName>
    <definedName name="OSRRefH22_1x_0" localSheetId="93">'450'!$H$34:$H$43</definedName>
    <definedName name="OSRRefH22_1x_0" localSheetId="72">'491'!$H$38:$H$47</definedName>
    <definedName name="OSRRefH22_1x_0" localSheetId="88">'492'!$H$38:$H$47</definedName>
    <definedName name="OSRRefH22_1x_0" localSheetId="95">'501'!$H$32:$H$41</definedName>
    <definedName name="OSRRefH22_1x_0" localSheetId="39">'Div 2'!$H$33:$H$42</definedName>
    <definedName name="OSRRefH22_1x_0" localSheetId="47">'Div 3'!$H$121:$H$130</definedName>
    <definedName name="OSRRefH22_1x_0" localSheetId="70">'Div 4'!$H$41:$H$50</definedName>
    <definedName name="OSRRefH22_1x_0" localSheetId="94">'Div 5'!$H$32:$H$41</definedName>
    <definedName name="OSRRefH22_1x_0" localSheetId="61">'Div 6'!$H$60:$H$69</definedName>
    <definedName name="OSRRefH22_1x_0" localSheetId="2">Summary!$H$147:$H$156</definedName>
    <definedName name="OSRRefH22_20x_0" localSheetId="48">'300'!$H$180:$H$188</definedName>
    <definedName name="OSRRefH22_20x_0" localSheetId="49">'300 &amp; 317'!$H$202:$H$210</definedName>
    <definedName name="OSRRefH22_20x_0" localSheetId="50">'301'!$H$90</definedName>
    <definedName name="OSRRefH22_20x_0" localSheetId="71">'310 &amp; 491'!$H$110:$H$111</definedName>
    <definedName name="OSRRefH22_20x_0" localSheetId="58">'326'!$H$110</definedName>
    <definedName name="OSRRefH22_20x_0" localSheetId="56">'331'!$H$145</definedName>
    <definedName name="OSRRefH22_20x_0" localSheetId="72">'491'!$H$106:$H$107</definedName>
    <definedName name="OSRRefH22_20x_0" localSheetId="47">'Div 3'!$H$184:$H$185</definedName>
    <definedName name="OSRRefH22_20x_0" localSheetId="70">'Div 4'!$H$108:$H$109</definedName>
    <definedName name="OSRRefH22_20x_0" localSheetId="2">Summary!$H$207:$H$211</definedName>
    <definedName name="OSRRefH22_21x_0" localSheetId="48">'300'!$H$190:$H$191</definedName>
    <definedName name="OSRRefH22_21x_0" localSheetId="49">'300 &amp; 317'!$H$212:$H$213</definedName>
    <definedName name="OSRRefH22_21x_0" localSheetId="71">'310 &amp; 491'!$H$113</definedName>
    <definedName name="OSRRefH22_21x_0" localSheetId="56">'331'!$H$147:$H$148</definedName>
    <definedName name="OSRRefH22_21x_0" localSheetId="72">'491'!$H$109</definedName>
    <definedName name="OSRRefH22_21x_0" localSheetId="47">'Div 3'!$H$187:$H$195</definedName>
    <definedName name="OSRRefH22_21x_0" localSheetId="70">'Div 4'!$H$111</definedName>
    <definedName name="OSRRefH22_21x_0" localSheetId="2">Summary!$H$213:$H$214</definedName>
    <definedName name="OSRRefH22_22x_0" localSheetId="48">'300'!$H$193</definedName>
    <definedName name="OSRRefH22_22x_0" localSheetId="49">'300 &amp; 317'!$H$215</definedName>
    <definedName name="OSRRefH22_22x_0" localSheetId="56">'331'!$H$150</definedName>
    <definedName name="OSRRefH22_22x_0" localSheetId="47">'Div 3'!$H$197:$H$198</definedName>
    <definedName name="OSRRefH22_22x_0" localSheetId="70">'Div 4'!$H$113:$H$114</definedName>
    <definedName name="OSRRefH22_22x_0" localSheetId="2">Summary!$H$216:$H$226</definedName>
    <definedName name="OSRRefH22_23x_0" localSheetId="48">'300'!$H$195:$H$197</definedName>
    <definedName name="OSRRefH22_23x_0" localSheetId="49">'300 &amp; 317'!$H$217:$H$219</definedName>
    <definedName name="OSRRefH22_23x_0" localSheetId="47">'Div 3'!$H$200</definedName>
    <definedName name="OSRRefH22_23x_0" localSheetId="70">'Div 4'!$H$116</definedName>
    <definedName name="OSRRefH22_23x_0" localSheetId="2">Summary!$H$228:$H$229</definedName>
    <definedName name="OSRRefH22_24x_0" localSheetId="48">'300'!$H$199</definedName>
    <definedName name="OSRRefH22_24x_0" localSheetId="49">'300 &amp; 317'!$H$221</definedName>
    <definedName name="OSRRefH22_24x_0" localSheetId="47">'Div 3'!$H$202:$H$204</definedName>
    <definedName name="OSRRefH22_24x_0" localSheetId="2">Summary!$H$231</definedName>
    <definedName name="OSRRefH22_25x_0" localSheetId="47">'Div 3'!$H$206</definedName>
    <definedName name="OSRRefH22_25x_0" localSheetId="2">Summary!$H$233:$H$235</definedName>
    <definedName name="OSRRefH22_26x_0" localSheetId="2">Summary!$H$237</definedName>
    <definedName name="OSRRefH22_2x_0" localSheetId="40">'200'!$H$24</definedName>
    <definedName name="OSRRefH22_2x_0" localSheetId="41">'201'!$H$42</definedName>
    <definedName name="OSRRefH22_2x_0" localSheetId="42">'202'!$H$42</definedName>
    <definedName name="OSRRefH22_2x_0" localSheetId="43">'203'!$H$42</definedName>
    <definedName name="OSRRefH22_2x_0" localSheetId="44">'204'!$H$42</definedName>
    <definedName name="OSRRefH22_2x_0" localSheetId="45">'205'!$H$41</definedName>
    <definedName name="OSRRefH22_2x_0" localSheetId="46">'206'!$H$41</definedName>
    <definedName name="OSRRefH22_2x_0" localSheetId="48">'300'!$H$128</definedName>
    <definedName name="OSRRefH22_2x_0" localSheetId="49">'300 &amp; 317'!$H$150</definedName>
    <definedName name="OSRRefH22_2x_0" localSheetId="50">'301'!$H$41:$H$42</definedName>
    <definedName name="OSRRefH22_2x_0" localSheetId="52">'307'!$H$56</definedName>
    <definedName name="OSRRefH22_2x_0" localSheetId="53">'308'!$H$74</definedName>
    <definedName name="OSRRefH22_2x_0" localSheetId="64">'309'!$H$42</definedName>
    <definedName name="OSRRefH22_2x_0" localSheetId="63">'310'!$H$49</definedName>
    <definedName name="OSRRefH22_2x_0" localSheetId="71">'310 &amp; 491'!$H$52</definedName>
    <definedName name="OSRRefH22_2x_0" localSheetId="54">'311'!$H$73</definedName>
    <definedName name="OSRRefH22_2x_0" localSheetId="65">'313'!$H$44</definedName>
    <definedName name="OSRRefH22_2x_0" localSheetId="57">'315'!$H$93</definedName>
    <definedName name="OSRRefH22_2x_0" localSheetId="60">'316'!$H$51</definedName>
    <definedName name="OSRRefH22_2x_0" localSheetId="62">'317'!$H$71</definedName>
    <definedName name="OSRRefH22_2x_0" localSheetId="66">'321'!$H$46</definedName>
    <definedName name="OSRRefH22_2x_0" localSheetId="67">'322'!$H$43</definedName>
    <definedName name="OSRRefH22_2x_0" localSheetId="68">'325'!$H$44</definedName>
    <definedName name="OSRRefH22_2x_0" localSheetId="58">'326'!$H$62</definedName>
    <definedName name="OSRRefH22_2x_0" localSheetId="51">'330'!$H$56</definedName>
    <definedName name="OSRRefH22_2x_0" localSheetId="56">'331'!$H$93</definedName>
    <definedName name="OSRRefH22_2x_0" localSheetId="59">'332'!$H$51</definedName>
    <definedName name="OSRRefH22_2x_0" localSheetId="73">'405'!$H$43</definedName>
    <definedName name="OSRRefH22_2x_0" localSheetId="74">'406'!$H$24</definedName>
    <definedName name="OSRRefH22_2x_0" localSheetId="77">'411'!$H$41</definedName>
    <definedName name="OSRRefH22_2x_0" localSheetId="78">'412'!$H$42</definedName>
    <definedName name="OSRRefH22_2x_0" localSheetId="80">'413'!$H$44</definedName>
    <definedName name="OSRRefH22_2x_0" localSheetId="81">'414'!$H$45</definedName>
    <definedName name="OSRRefH22_2x_0" localSheetId="82">'415'!$H$48</definedName>
    <definedName name="OSRRefH22_2x_0" localSheetId="83">'418'!$H$43</definedName>
    <definedName name="OSRRefH22_2x_0" localSheetId="84">'423'!$H$40</definedName>
    <definedName name="OSRRefH22_2x_0" localSheetId="85">'424'!$H$24</definedName>
    <definedName name="OSRRefH22_2x_0" localSheetId="86">'425'!$H$28</definedName>
    <definedName name="OSRRefH22_2x_0" localSheetId="89">'430'!$H$41</definedName>
    <definedName name="OSRRefH22_2x_0" localSheetId="90">'433'!$H$49</definedName>
    <definedName name="OSRRefH22_2x_0" localSheetId="92">'444'!$H$49</definedName>
    <definedName name="OSRRefH22_2x_0" localSheetId="93">'450'!$H$45</definedName>
    <definedName name="OSRRefH22_2x_0" localSheetId="72">'491'!$H$49</definedName>
    <definedName name="OSRRefH22_2x_0" localSheetId="88">'492'!$H$49</definedName>
    <definedName name="OSRRefH22_2x_0" localSheetId="95">'501'!$H$43</definedName>
    <definedName name="OSRRefH22_2x_0" localSheetId="39">'Div 2'!$H$44</definedName>
    <definedName name="OSRRefH22_2x_0" localSheetId="47">'Div 3'!$H$132</definedName>
    <definedName name="OSRRefH22_2x_0" localSheetId="70">'Div 4'!$H$52</definedName>
    <definedName name="OSRRefH22_2x_0" localSheetId="94">'Div 5'!$H$43</definedName>
    <definedName name="OSRRefH22_2x_0" localSheetId="61">'Div 6'!$H$71</definedName>
    <definedName name="OSRRefH22_2x_0" localSheetId="2">Summary!$H$158</definedName>
    <definedName name="OSRRefH22_3x_0" localSheetId="40">'200'!$H$26:$H$27</definedName>
    <definedName name="OSRRefH22_3x_0" localSheetId="41">'201'!$H$44</definedName>
    <definedName name="OSRRefH22_3x_0" localSheetId="42">'202'!$H$44</definedName>
    <definedName name="OSRRefH22_3x_0" localSheetId="43">'203'!$H$44</definedName>
    <definedName name="OSRRefH22_3x_0" localSheetId="44">'204'!$H$44:$H$45</definedName>
    <definedName name="OSRRefH22_3x_0" localSheetId="45">'205'!$H$43</definedName>
    <definedName name="OSRRefH22_3x_0" localSheetId="46">'206'!$H$43</definedName>
    <definedName name="OSRRefH22_3x_0" localSheetId="48">'300'!$H$130:$H$131</definedName>
    <definedName name="OSRRefH22_3x_0" localSheetId="49">'300 &amp; 317'!$H$152:$H$153</definedName>
    <definedName name="OSRRefH22_3x_0" localSheetId="50">'301'!$H$44</definedName>
    <definedName name="OSRRefH22_3x_0" localSheetId="52">'307'!$H$58</definedName>
    <definedName name="OSRRefH22_3x_0" localSheetId="53">'308'!$H$76</definedName>
    <definedName name="OSRRefH22_3x_0" localSheetId="64">'309'!$H$44</definedName>
    <definedName name="OSRRefH22_3x_0" localSheetId="63">'310'!$H$51</definedName>
    <definedName name="OSRRefH22_3x_0" localSheetId="71">'310 &amp; 491'!$H$54</definedName>
    <definedName name="OSRRefH22_3x_0" localSheetId="54">'311'!$H$75</definedName>
    <definedName name="OSRRefH22_3x_0" localSheetId="65">'313'!$H$46</definedName>
    <definedName name="OSRRefH22_3x_0" localSheetId="57">'315'!$H$95</definedName>
    <definedName name="OSRRefH22_3x_0" localSheetId="60">'316'!$H$53</definedName>
    <definedName name="OSRRefH22_3x_0" localSheetId="62">'317'!$H$73</definedName>
    <definedName name="OSRRefH22_3x_0" localSheetId="66">'321'!$H$48</definedName>
    <definedName name="OSRRefH22_3x_0" localSheetId="67">'322'!$H$45</definedName>
    <definedName name="OSRRefH22_3x_0" localSheetId="68">'325'!$H$46</definedName>
    <definedName name="OSRRefH22_3x_0" localSheetId="58">'326'!$H$64</definedName>
    <definedName name="OSRRefH22_3x_0" localSheetId="51">'330'!$H$58</definedName>
    <definedName name="OSRRefH22_3x_0" localSheetId="56">'331'!$H$95</definedName>
    <definedName name="OSRRefH22_3x_0" localSheetId="59">'332'!$H$53</definedName>
    <definedName name="OSRRefH22_3x_0" localSheetId="73">'405'!$H$45</definedName>
    <definedName name="OSRRefH22_3x_0" localSheetId="74">'406'!$H$26</definedName>
    <definedName name="OSRRefH22_3x_0" localSheetId="77">'411'!$H$43</definedName>
    <definedName name="OSRRefH22_3x_0" localSheetId="78">'412'!$H$44</definedName>
    <definedName name="OSRRefH22_3x_0" localSheetId="80">'413'!$H$46</definedName>
    <definedName name="OSRRefH22_3x_0" localSheetId="81">'414'!$H$47</definedName>
    <definedName name="OSRRefH22_3x_0" localSheetId="82">'415'!$H$50</definedName>
    <definedName name="OSRRefH22_3x_0" localSheetId="83">'418'!$H$45</definedName>
    <definedName name="OSRRefH22_3x_0" localSheetId="84">'423'!$H$42:$H$43</definedName>
    <definedName name="OSRRefH22_3x_0" localSheetId="85">'424'!$H$26</definedName>
    <definedName name="OSRRefH22_3x_0" localSheetId="86">'425'!$H$30</definedName>
    <definedName name="OSRRefH22_3x_0" localSheetId="89">'430'!$H$43:$H$45</definedName>
    <definedName name="OSRRefH22_3x_0" localSheetId="90">'433'!$H$51</definedName>
    <definedName name="OSRRefH22_3x_0" localSheetId="92">'444'!$H$51</definedName>
    <definedName name="OSRRefH22_3x_0" localSheetId="93">'450'!$H$47</definedName>
    <definedName name="OSRRefH22_3x_0" localSheetId="72">'491'!$H$51</definedName>
    <definedName name="OSRRefH22_3x_0" localSheetId="88">'492'!$H$51</definedName>
    <definedName name="OSRRefH22_3x_0" localSheetId="95">'501'!$H$45</definedName>
    <definedName name="OSRRefH22_3x_0" localSheetId="39">'Div 2'!$H$46</definedName>
    <definedName name="OSRRefH22_3x_0" localSheetId="47">'Div 3'!$H$134:$H$135</definedName>
    <definedName name="OSRRefH22_3x_0" localSheetId="70">'Div 4'!$H$54</definedName>
    <definedName name="OSRRefH22_3x_0" localSheetId="94">'Div 5'!$H$45</definedName>
    <definedName name="OSRRefH22_3x_0" localSheetId="61">'Div 6'!$H$73</definedName>
    <definedName name="OSRRefH22_3x_0" localSheetId="2">Summary!$H$160:$H$161</definedName>
    <definedName name="OSRRefH22_4x_0" localSheetId="41">'201'!$H$46</definedName>
    <definedName name="OSRRefH22_4x_0" localSheetId="42">'202'!$H$46:$H$47</definedName>
    <definedName name="OSRRefH22_4x_0" localSheetId="43">'203'!$H$46</definedName>
    <definedName name="OSRRefH22_4x_0" localSheetId="44">'204'!$H$47</definedName>
    <definedName name="OSRRefH22_4x_0" localSheetId="45">'205'!$H$45:$H$46</definedName>
    <definedName name="OSRRefH22_4x_0" localSheetId="46">'206'!$H$45</definedName>
    <definedName name="OSRRefH22_4x_0" localSheetId="48">'300'!$H$133</definedName>
    <definedName name="OSRRefH22_4x_0" localSheetId="49">'300 &amp; 317'!$H$155</definedName>
    <definedName name="OSRRefH22_4x_0" localSheetId="50">'301'!$H$46:$H$47</definedName>
    <definedName name="OSRRefH22_4x_0" localSheetId="52">'307'!$H$60</definedName>
    <definedName name="OSRRefH22_4x_0" localSheetId="53">'308'!$H$78</definedName>
    <definedName name="OSRRefH22_4x_0" localSheetId="64">'309'!$H$46</definedName>
    <definedName name="OSRRefH22_4x_0" localSheetId="63">'310'!$H$53</definedName>
    <definedName name="OSRRefH22_4x_0" localSheetId="71">'310 &amp; 491'!$H$56</definedName>
    <definedName name="OSRRefH22_4x_0" localSheetId="54">'311'!$H$77</definedName>
    <definedName name="OSRRefH22_4x_0" localSheetId="65">'313'!$H$48</definedName>
    <definedName name="OSRRefH22_4x_0" localSheetId="57">'315'!$H$97</definedName>
    <definedName name="OSRRefH22_4x_0" localSheetId="60">'316'!$H$55</definedName>
    <definedName name="OSRRefH22_4x_0" localSheetId="62">'317'!$H$75</definedName>
    <definedName name="OSRRefH22_4x_0" localSheetId="66">'321'!$H$50</definedName>
    <definedName name="OSRRefH22_4x_0" localSheetId="67">'322'!$H$47</definedName>
    <definedName name="OSRRefH22_4x_0" localSheetId="68">'325'!$H$48</definedName>
    <definedName name="OSRRefH22_4x_0" localSheetId="58">'326'!$H$66</definedName>
    <definedName name="OSRRefH22_4x_0" localSheetId="51">'330'!$H$60</definedName>
    <definedName name="OSRRefH22_4x_0" localSheetId="56">'331'!$H$97</definedName>
    <definedName name="OSRRefH22_4x_0" localSheetId="59">'332'!$H$55</definedName>
    <definedName name="OSRRefH22_4x_0" localSheetId="73">'405'!$H$47:$H$48</definedName>
    <definedName name="OSRRefH22_4x_0" localSheetId="74">'406'!$H$28</definedName>
    <definedName name="OSRRefH22_4x_0" localSheetId="77">'411'!$H$45:$H$46</definedName>
    <definedName name="OSRRefH22_4x_0" localSheetId="78">'412'!$H$46:$H$47</definedName>
    <definedName name="OSRRefH22_4x_0" localSheetId="80">'413'!$H$48</definedName>
    <definedName name="OSRRefH22_4x_0" localSheetId="81">'414'!$H$49</definedName>
    <definedName name="OSRRefH22_4x_0" localSheetId="82">'415'!$H$52</definedName>
    <definedName name="OSRRefH22_4x_0" localSheetId="83">'418'!$H$47:$H$48</definedName>
    <definedName name="OSRRefH22_4x_0" localSheetId="84">'423'!$H$45</definedName>
    <definedName name="OSRRefH22_4x_0" localSheetId="86">'425'!$H$32</definedName>
    <definedName name="OSRRefH22_4x_0" localSheetId="89">'430'!$H$47:$H$48</definedName>
    <definedName name="OSRRefH22_4x_0" localSheetId="90">'433'!$H$53</definedName>
    <definedName name="OSRRefH22_4x_0" localSheetId="92">'444'!$H$53</definedName>
    <definedName name="OSRRefH22_4x_0" localSheetId="93">'450'!$H$49</definedName>
    <definedName name="OSRRefH22_4x_0" localSheetId="72">'491'!$H$53</definedName>
    <definedName name="OSRRefH22_4x_0" localSheetId="88">'492'!$H$53</definedName>
    <definedName name="OSRRefH22_4x_0" localSheetId="95">'501'!$H$47</definedName>
    <definedName name="OSRRefH22_4x_0" localSheetId="39">'Div 2'!$H$48</definedName>
    <definedName name="OSRRefH22_4x_0" localSheetId="47">'Div 3'!$H$137</definedName>
    <definedName name="OSRRefH22_4x_0" localSheetId="70">'Div 4'!$H$56</definedName>
    <definedName name="OSRRefH22_4x_0" localSheetId="94">'Div 5'!$H$47</definedName>
    <definedName name="OSRRefH22_4x_0" localSheetId="61">'Div 6'!$H$75</definedName>
    <definedName name="OSRRefH22_4x_0" localSheetId="2">Summary!$H$163</definedName>
    <definedName name="OSRRefH22_5x_0" localSheetId="41">'201'!$H$48</definedName>
    <definedName name="OSRRefH22_5x_0" localSheetId="42">'202'!$H$49</definedName>
    <definedName name="OSRRefH22_5x_0" localSheetId="43">'203'!$H$48</definedName>
    <definedName name="OSRRefH22_5x_0" localSheetId="44">'204'!$H$49</definedName>
    <definedName name="OSRRefH22_5x_0" localSheetId="45">'205'!$H$48</definedName>
    <definedName name="OSRRefH22_5x_0" localSheetId="46">'206'!$H$47</definedName>
    <definedName name="OSRRefH22_5x_0" localSheetId="48">'300'!$H$135:$H$136</definedName>
    <definedName name="OSRRefH22_5x_0" localSheetId="49">'300 &amp; 317'!$H$157:$H$158</definedName>
    <definedName name="OSRRefH22_5x_0" localSheetId="50">'301'!$H$49</definedName>
    <definedName name="OSRRefH22_5x_0" localSheetId="52">'307'!$H$62</definedName>
    <definedName name="OSRRefH22_5x_0" localSheetId="53">'308'!$H$80</definedName>
    <definedName name="OSRRefH22_5x_0" localSheetId="64">'309'!$H$48</definedName>
    <definedName name="OSRRefH22_5x_0" localSheetId="63">'310'!$H$55:$H$56</definedName>
    <definedName name="OSRRefH22_5x_0" localSheetId="71">'310 &amp; 491'!$H$58:$H$60</definedName>
    <definedName name="OSRRefH22_5x_0" localSheetId="54">'311'!$H$79</definedName>
    <definedName name="OSRRefH22_5x_0" localSheetId="65">'313'!$H$50</definedName>
    <definedName name="OSRRefH22_5x_0" localSheetId="57">'315'!$H$99</definedName>
    <definedName name="OSRRefH22_5x_0" localSheetId="60">'316'!$H$57</definedName>
    <definedName name="OSRRefH22_5x_0" localSheetId="62">'317'!$H$77</definedName>
    <definedName name="OSRRefH22_5x_0" localSheetId="66">'321'!$H$52</definedName>
    <definedName name="OSRRefH22_5x_0" localSheetId="67">'322'!$H$49</definedName>
    <definedName name="OSRRefH22_5x_0" localSheetId="68">'325'!$H$50:$H$51</definedName>
    <definedName name="OSRRefH22_5x_0" localSheetId="58">'326'!$H$68</definedName>
    <definedName name="OSRRefH22_5x_0" localSheetId="51">'330'!$H$62</definedName>
    <definedName name="OSRRefH22_5x_0" localSheetId="56">'331'!$H$99</definedName>
    <definedName name="OSRRefH22_5x_0" localSheetId="59">'332'!$H$57</definedName>
    <definedName name="OSRRefH22_5x_0" localSheetId="73">'405'!$H$50</definedName>
    <definedName name="OSRRefH22_5x_0" localSheetId="77">'411'!$H$48</definedName>
    <definedName name="OSRRefH22_5x_0" localSheetId="78">'412'!$H$49</definedName>
    <definedName name="OSRRefH22_5x_0" localSheetId="80">'413'!$H$50</definedName>
    <definedName name="OSRRefH22_5x_0" localSheetId="81">'414'!$H$51</definedName>
    <definedName name="OSRRefH22_5x_0" localSheetId="82">'415'!$H$54:$H$55</definedName>
    <definedName name="OSRRefH22_5x_0" localSheetId="83">'418'!$H$50</definedName>
    <definedName name="OSRRefH22_5x_0" localSheetId="84">'423'!$H$47</definedName>
    <definedName name="OSRRefH22_5x_0" localSheetId="89">'430'!$H$50</definedName>
    <definedName name="OSRRefH22_5x_0" localSheetId="90">'433'!$H$55</definedName>
    <definedName name="OSRRefH22_5x_0" localSheetId="92">'444'!$H$55</definedName>
    <definedName name="OSRRefH22_5x_0" localSheetId="93">'450'!$H$51</definedName>
    <definedName name="OSRRefH22_5x_0" localSheetId="72">'491'!$H$55:$H$57</definedName>
    <definedName name="OSRRefH22_5x_0" localSheetId="88">'492'!$H$55</definedName>
    <definedName name="OSRRefH22_5x_0" localSheetId="95">'501'!$H$49:$H$50</definedName>
    <definedName name="OSRRefH22_5x_0" localSheetId="39">'Div 2'!$H$50:$H$51</definedName>
    <definedName name="OSRRefH22_5x_0" localSheetId="47">'Div 3'!$H$139:$H$140</definedName>
    <definedName name="OSRRefH22_5x_0" localSheetId="70">'Div 4'!$H$58:$H$60</definedName>
    <definedName name="OSRRefH22_5x_0" localSheetId="94">'Div 5'!$H$49:$H$50</definedName>
    <definedName name="OSRRefH22_5x_0" localSheetId="61">'Div 6'!$H$77</definedName>
    <definedName name="OSRRefH22_5x_0" localSheetId="2">Summary!$H$165:$H$167</definedName>
    <definedName name="OSRRefH22_6x_0" localSheetId="41">'201'!$H$50</definedName>
    <definedName name="OSRRefH22_6x_0" localSheetId="42">'202'!$H$51</definedName>
    <definedName name="OSRRefH22_6x_0" localSheetId="43">'203'!$H$50</definedName>
    <definedName name="OSRRefH22_6x_0" localSheetId="44">'204'!$H$51:$H$53</definedName>
    <definedName name="OSRRefH22_6x_0" localSheetId="45">'205'!$H$50:$H$51</definedName>
    <definedName name="OSRRefH22_6x_0" localSheetId="46">'206'!$H$49</definedName>
    <definedName name="OSRRefH22_6x_0" localSheetId="48">'300'!$H$138</definedName>
    <definedName name="OSRRefH22_6x_0" localSheetId="49">'300 &amp; 317'!$H$160</definedName>
    <definedName name="OSRRefH22_6x_0" localSheetId="50">'301'!$H$51</definedName>
    <definedName name="OSRRefH22_6x_0" localSheetId="52">'307'!$H$64</definedName>
    <definedName name="OSRRefH22_6x_0" localSheetId="53">'308'!$H$82</definedName>
    <definedName name="OSRRefH22_6x_0" localSheetId="64">'309'!$H$50:$H$51</definedName>
    <definedName name="OSRRefH22_6x_0" localSheetId="63">'310'!$H$58</definedName>
    <definedName name="OSRRefH22_6x_0" localSheetId="71">'310 &amp; 491'!$H$62</definedName>
    <definedName name="OSRRefH22_6x_0" localSheetId="54">'311'!$H$81</definedName>
    <definedName name="OSRRefH22_6x_0" localSheetId="65">'313'!$H$52:$H$53</definedName>
    <definedName name="OSRRefH22_6x_0" localSheetId="57">'315'!$H$101</definedName>
    <definedName name="OSRRefH22_6x_0" localSheetId="60">'316'!$H$59:$H$60</definedName>
    <definedName name="OSRRefH22_6x_0" localSheetId="62">'317'!$H$79:$H$80</definedName>
    <definedName name="OSRRefH22_6x_0" localSheetId="66">'321'!$H$54</definedName>
    <definedName name="OSRRefH22_6x_0" localSheetId="67">'322'!$H$51</definedName>
    <definedName name="OSRRefH22_6x_0" localSheetId="68">'325'!$H$53</definedName>
    <definedName name="OSRRefH22_6x_0" localSheetId="58">'326'!$H$70</definedName>
    <definedName name="OSRRefH22_6x_0" localSheetId="51">'330'!$H$64</definedName>
    <definedName name="OSRRefH22_6x_0" localSheetId="56">'331'!$H$101</definedName>
    <definedName name="OSRRefH22_6x_0" localSheetId="59">'332'!$H$59:$H$60</definedName>
    <definedName name="OSRRefH22_6x_0" localSheetId="73">'405'!$H$52</definedName>
    <definedName name="OSRRefH22_6x_0" localSheetId="77">'411'!$H$50</definedName>
    <definedName name="OSRRefH22_6x_0" localSheetId="78">'412'!$H$51</definedName>
    <definedName name="OSRRefH22_6x_0" localSheetId="80">'413'!$H$52</definedName>
    <definedName name="OSRRefH22_6x_0" localSheetId="81">'414'!$H$53</definedName>
    <definedName name="OSRRefH22_6x_0" localSheetId="82">'415'!$H$57</definedName>
    <definedName name="OSRRefH22_6x_0" localSheetId="83">'418'!$H$52</definedName>
    <definedName name="OSRRefH22_6x_0" localSheetId="84">'423'!$H$49</definedName>
    <definedName name="OSRRefH22_6x_0" localSheetId="89">'430'!$H$52</definedName>
    <definedName name="OSRRefH22_6x_0" localSheetId="90">'433'!$H$57</definedName>
    <definedName name="OSRRefH22_6x_0" localSheetId="92">'444'!$H$57</definedName>
    <definedName name="OSRRefH22_6x_0" localSheetId="93">'450'!$H$53</definedName>
    <definedName name="OSRRefH22_6x_0" localSheetId="72">'491'!$H$59</definedName>
    <definedName name="OSRRefH22_6x_0" localSheetId="88">'492'!$H$57</definedName>
    <definedName name="OSRRefH22_6x_0" localSheetId="95">'501'!$H$52</definedName>
    <definedName name="OSRRefH22_6x_0" localSheetId="39">'Div 2'!$H$53</definedName>
    <definedName name="OSRRefH22_6x_0" localSheetId="47">'Div 3'!$H$142</definedName>
    <definedName name="OSRRefH22_6x_0" localSheetId="70">'Div 4'!$H$62</definedName>
    <definedName name="OSRRefH22_6x_0" localSheetId="94">'Div 5'!$H$52</definedName>
    <definedName name="OSRRefH22_6x_0" localSheetId="61">'Div 6'!$H$79:$H$80</definedName>
    <definedName name="OSRRefH22_6x_0" localSheetId="2">Summary!$H$169</definedName>
    <definedName name="OSRRefH22_7x_0" localSheetId="41">'201'!$H$52</definedName>
    <definedName name="OSRRefH22_7x_0" localSheetId="42">'202'!$H$53:$H$54</definedName>
    <definedName name="OSRRefH22_7x_0" localSheetId="43">'203'!$H$52:$H$53</definedName>
    <definedName name="OSRRefH22_7x_0" localSheetId="44">'204'!$H$55:$H$56</definedName>
    <definedName name="OSRRefH22_7x_0" localSheetId="45">'205'!$H$53</definedName>
    <definedName name="OSRRefH22_7x_0" localSheetId="46">'206'!$H$51</definedName>
    <definedName name="OSRRefH22_7x_0" localSheetId="48">'300'!$H$140:$H$141</definedName>
    <definedName name="OSRRefH22_7x_0" localSheetId="49">'300 &amp; 317'!$H$162:$H$163</definedName>
    <definedName name="OSRRefH22_7x_0" localSheetId="50">'301'!$H$53</definedName>
    <definedName name="OSRRefH22_7x_0" localSheetId="52">'307'!$H$66</definedName>
    <definedName name="OSRRefH22_7x_0" localSheetId="53">'308'!$H$84:$H$85</definedName>
    <definedName name="OSRRefH22_7x_0" localSheetId="64">'309'!$H$53:$H$54</definedName>
    <definedName name="OSRRefH22_7x_0" localSheetId="63">'310'!$H$60</definedName>
    <definedName name="OSRRefH22_7x_0" localSheetId="71">'310 &amp; 491'!$H$64</definedName>
    <definedName name="OSRRefH22_7x_0" localSheetId="54">'311'!$H$83:$H$84</definedName>
    <definedName name="OSRRefH22_7x_0" localSheetId="65">'313'!$H$55</definedName>
    <definedName name="OSRRefH22_7x_0" localSheetId="57">'315'!$H$103:$H$104</definedName>
    <definedName name="OSRRefH22_7x_0" localSheetId="60">'316'!$H$62</definedName>
    <definedName name="OSRRefH22_7x_0" localSheetId="62">'317'!$H$82</definedName>
    <definedName name="OSRRefH22_7x_0" localSheetId="66">'321'!$H$56:$H$57</definedName>
    <definedName name="OSRRefH22_7x_0" localSheetId="67">'322'!$H$53:$H$54</definedName>
    <definedName name="OSRRefH22_7x_0" localSheetId="68">'325'!$H$55</definedName>
    <definedName name="OSRRefH22_7x_0" localSheetId="58">'326'!$H$72</definedName>
    <definedName name="OSRRefH22_7x_0" localSheetId="51">'330'!$H$66</definedName>
    <definedName name="OSRRefH22_7x_0" localSheetId="56">'331'!$H$103</definedName>
    <definedName name="OSRRefH22_7x_0" localSheetId="59">'332'!$H$62</definedName>
    <definedName name="OSRRefH22_7x_0" localSheetId="73">'405'!$H$54</definedName>
    <definedName name="OSRRefH22_7x_0" localSheetId="77">'411'!$H$52</definedName>
    <definedName name="OSRRefH22_7x_0" localSheetId="78">'412'!$H$53</definedName>
    <definedName name="OSRRefH22_7x_0" localSheetId="80">'413'!$H$54:$H$56</definedName>
    <definedName name="OSRRefH22_7x_0" localSheetId="81">'414'!$H$55</definedName>
    <definedName name="OSRRefH22_7x_0" localSheetId="82">'415'!$H$59</definedName>
    <definedName name="OSRRefH22_7x_0" localSheetId="83">'418'!$H$54</definedName>
    <definedName name="OSRRefH22_7x_0" localSheetId="90">'433'!$H$59</definedName>
    <definedName name="OSRRefH22_7x_0" localSheetId="92">'444'!$H$59</definedName>
    <definedName name="OSRRefH22_7x_0" localSheetId="93">'450'!$H$55</definedName>
    <definedName name="OSRRefH22_7x_0" localSheetId="72">'491'!$H$61</definedName>
    <definedName name="OSRRefH22_7x_0" localSheetId="88">'492'!$H$59</definedName>
    <definedName name="OSRRefH22_7x_0" localSheetId="95">'501'!$H$54</definedName>
    <definedName name="OSRRefH22_7x_0" localSheetId="39">'Div 2'!$H$55</definedName>
    <definedName name="OSRRefH22_7x_0" localSheetId="47">'Div 3'!$H$144:$H$145</definedName>
    <definedName name="OSRRefH22_7x_0" localSheetId="70">'Div 4'!$H$64</definedName>
    <definedName name="OSRRefH22_7x_0" localSheetId="94">'Div 5'!$H$54</definedName>
    <definedName name="OSRRefH22_7x_0" localSheetId="61">'Div 6'!$H$82</definedName>
    <definedName name="OSRRefH22_7x_0" localSheetId="2">Summary!$H$171:$H$172</definedName>
    <definedName name="OSRRefH22_8x_0" localSheetId="41">'201'!$H$54</definedName>
    <definedName name="OSRRefH22_8x_0" localSheetId="42">'202'!$H$56</definedName>
    <definedName name="OSRRefH22_8x_0" localSheetId="43">'203'!$H$55:$H$57</definedName>
    <definedName name="OSRRefH22_8x_0" localSheetId="44">'204'!$H$58</definedName>
    <definedName name="OSRRefH22_8x_0" localSheetId="46">'206'!$H$53:$H$54</definedName>
    <definedName name="OSRRefH22_8x_0" localSheetId="48">'300'!$H$143</definedName>
    <definedName name="OSRRefH22_8x_0" localSheetId="49">'300 &amp; 317'!$H$165</definedName>
    <definedName name="OSRRefH22_8x_0" localSheetId="50">'301'!$H$55</definedName>
    <definedName name="OSRRefH22_8x_0" localSheetId="52">'307'!$H$68</definedName>
    <definedName name="OSRRefH22_8x_0" localSheetId="53">'308'!$H$87</definedName>
    <definedName name="OSRRefH22_8x_0" localSheetId="64">'309'!$H$56:$H$57</definedName>
    <definedName name="OSRRefH22_8x_0" localSheetId="63">'310'!$H$62</definedName>
    <definedName name="OSRRefH22_8x_0" localSheetId="71">'310 &amp; 491'!$H$66:$H$67</definedName>
    <definedName name="OSRRefH22_8x_0" localSheetId="54">'311'!$H$86</definedName>
    <definedName name="OSRRefH22_8x_0" localSheetId="65">'313'!$H$57:$H$59</definedName>
    <definedName name="OSRRefH22_8x_0" localSheetId="57">'315'!$H$106</definedName>
    <definedName name="OSRRefH22_8x_0" localSheetId="60">'316'!$H$64</definedName>
    <definedName name="OSRRefH22_8x_0" localSheetId="62">'317'!$H$84</definedName>
    <definedName name="OSRRefH22_8x_0" localSheetId="66">'321'!$H$59</definedName>
    <definedName name="OSRRefH22_8x_0" localSheetId="67">'322'!$H$56:$H$57</definedName>
    <definedName name="OSRRefH22_8x_0" localSheetId="68">'325'!$H$57</definedName>
    <definedName name="OSRRefH22_8x_0" localSheetId="58">'326'!$H$74:$H$75</definedName>
    <definedName name="OSRRefH22_8x_0" localSheetId="51">'330'!$H$68</definedName>
    <definedName name="OSRRefH22_8x_0" localSheetId="56">'331'!$H$105:$H$106</definedName>
    <definedName name="OSRRefH22_8x_0" localSheetId="59">'332'!$H$64</definedName>
    <definedName name="OSRRefH22_8x_0" localSheetId="73">'405'!$H$56:$H$57</definedName>
    <definedName name="OSRRefH22_8x_0" localSheetId="77">'411'!$H$54:$H$55</definedName>
    <definedName name="OSRRefH22_8x_0" localSheetId="78">'412'!$H$55:$H$56</definedName>
    <definedName name="OSRRefH22_8x_0" localSheetId="80">'413'!$H$58:$H$59</definedName>
    <definedName name="OSRRefH22_8x_0" localSheetId="81">'414'!$H$57:$H$58</definedName>
    <definedName name="OSRRefH22_8x_0" localSheetId="82">'415'!$H$61</definedName>
    <definedName name="OSRRefH22_8x_0" localSheetId="83">'418'!$H$56:$H$58</definedName>
    <definedName name="OSRRefH22_8x_0" localSheetId="90">'433'!$H$61</definedName>
    <definedName name="OSRRefH22_8x_0" localSheetId="92">'444'!$H$61</definedName>
    <definedName name="OSRRefH22_8x_0" localSheetId="93">'450'!$H$57</definedName>
    <definedName name="OSRRefH22_8x_0" localSheetId="72">'491'!$H$63</definedName>
    <definedName name="OSRRefH22_8x_0" localSheetId="88">'492'!$H$61</definedName>
    <definedName name="OSRRefH22_8x_0" localSheetId="95">'501'!$H$56</definedName>
    <definedName name="OSRRefH22_8x_0" localSheetId="39">'Div 2'!$H$57</definedName>
    <definedName name="OSRRefH22_8x_0" localSheetId="47">'Div 3'!$H$147</definedName>
    <definedName name="OSRRefH22_8x_0" localSheetId="70">'Div 4'!$H$66</definedName>
    <definedName name="OSRRefH22_8x_0" localSheetId="94">'Div 5'!$H$56</definedName>
    <definedName name="OSRRefH22_8x_0" localSheetId="61">'Div 6'!$H$84</definedName>
    <definedName name="OSRRefH22_8x_0" localSheetId="2">Summary!$H$174</definedName>
    <definedName name="OSRRefH22_9x_0" localSheetId="41">'201'!$H$56</definedName>
    <definedName name="OSRRefH22_9x_0" localSheetId="42">'202'!$H$58:$H$60</definedName>
    <definedName name="OSRRefH22_9x_0" localSheetId="43">'203'!$H$59</definedName>
    <definedName name="OSRRefH22_9x_0" localSheetId="44">'204'!$H$60:$H$61</definedName>
    <definedName name="OSRRefH22_9x_0" localSheetId="46">'206'!$H$56</definedName>
    <definedName name="OSRRefH22_9x_0" localSheetId="48">'300'!$H$145</definedName>
    <definedName name="OSRRefH22_9x_0" localSheetId="49">'300 &amp; 317'!$H$167</definedName>
    <definedName name="OSRRefH22_9x_0" localSheetId="50">'301'!$H$57</definedName>
    <definedName name="OSRRefH22_9x_0" localSheetId="52">'307'!$H$70:$H$71</definedName>
    <definedName name="OSRRefH22_9x_0" localSheetId="53">'308'!$H$89:$H$90</definedName>
    <definedName name="OSRRefH22_9x_0" localSheetId="64">'309'!$H$59</definedName>
    <definedName name="OSRRefH22_9x_0" localSheetId="63">'310'!$H$64</definedName>
    <definedName name="OSRRefH22_9x_0" localSheetId="71">'310 &amp; 491'!$H$69</definedName>
    <definedName name="OSRRefH22_9x_0" localSheetId="54">'311'!$H$88:$H$89</definedName>
    <definedName name="OSRRefH22_9x_0" localSheetId="65">'313'!$H$61:$H$62</definedName>
    <definedName name="OSRRefH22_9x_0" localSheetId="57">'315'!$H$108</definedName>
    <definedName name="OSRRefH22_9x_0" localSheetId="60">'316'!$H$66:$H$70</definedName>
    <definedName name="OSRRefH22_9x_0" localSheetId="62">'317'!$H$86</definedName>
    <definedName name="OSRRefH22_9x_0" localSheetId="66">'321'!$H$61:$H$62</definedName>
    <definedName name="OSRRefH22_9x_0" localSheetId="67">'322'!$H$59:$H$62</definedName>
    <definedName name="OSRRefH22_9x_0" localSheetId="68">'325'!$H$59:$H$62</definedName>
    <definedName name="OSRRefH22_9x_0" localSheetId="58">'326'!$H$77</definedName>
    <definedName name="OSRRefH22_9x_0" localSheetId="51">'330'!$H$70:$H$71</definedName>
    <definedName name="OSRRefH22_9x_0" localSheetId="56">'331'!$H$108:$H$109</definedName>
    <definedName name="OSRRefH22_9x_0" localSheetId="59">'332'!$H$66:$H$70</definedName>
    <definedName name="OSRRefH22_9x_0" localSheetId="73">'405'!$H$59</definedName>
    <definedName name="OSRRefH22_9x_0" localSheetId="77">'411'!$H$57:$H$60</definedName>
    <definedName name="OSRRefH22_9x_0" localSheetId="78">'412'!$H$58</definedName>
    <definedName name="OSRRefH22_9x_0" localSheetId="80">'413'!$H$61:$H$68</definedName>
    <definedName name="OSRRefH22_9x_0" localSheetId="81">'414'!$H$60</definedName>
    <definedName name="OSRRefH22_9x_0" localSheetId="82">'415'!$H$63</definedName>
    <definedName name="OSRRefH22_9x_0" localSheetId="83">'418'!$H$60:$H$61</definedName>
    <definedName name="OSRRefH22_9x_0" localSheetId="90">'433'!$H$63</definedName>
    <definedName name="OSRRefH22_9x_0" localSheetId="92">'444'!$H$63</definedName>
    <definedName name="OSRRefH22_9x_0" localSheetId="93">'450'!$H$59</definedName>
    <definedName name="OSRRefH22_9x_0" localSheetId="72">'491'!$H$65</definedName>
    <definedName name="OSRRefH22_9x_0" localSheetId="88">'492'!$H$63</definedName>
    <definedName name="OSRRefH22_9x_0" localSheetId="95">'501'!$H$58:$H$60</definedName>
    <definedName name="OSRRefH22_9x_0" localSheetId="39">'Div 2'!$H$59:$H$60</definedName>
    <definedName name="OSRRefH22_9x_0" localSheetId="47">'Div 3'!$H$149</definedName>
    <definedName name="OSRRefH22_9x_0" localSheetId="70">'Div 4'!$H$68</definedName>
    <definedName name="OSRRefH22_9x_0" localSheetId="94">'Div 5'!$H$58:$H$60</definedName>
    <definedName name="OSRRefH22_9x_0" localSheetId="61">'Div 6'!$H$86</definedName>
    <definedName name="OSRRefH22_9x_0" localSheetId="2">Summary!$H$176</definedName>
    <definedName name="OSRRefH22x_0" localSheetId="40">'200'!$H$20,'200'!$H$22,'200'!$H$24,'200'!$H$26:$H$27</definedName>
    <definedName name="OSRRefH22x_0" localSheetId="41">'201'!$H$21:$H$29,'201'!$H$31:$H$40,'201'!$H$42,'201'!$H$44,'201'!$H$46,'201'!$H$48,'201'!$H$50,'201'!$H$52,'201'!$H$54,'201'!$H$56,'201'!$H$58:$H$59,'201'!$H$61,'201'!$H$63,'201'!$H$65:$H$67,'201'!$H$69,'201'!$H$71</definedName>
    <definedName name="OSRRefH22x_0" localSheetId="42">'202'!$H$21:$H$29,'202'!$H$31:$H$40,'202'!$H$42,'202'!$H$44,'202'!$H$46:$H$47,'202'!$H$49,'202'!$H$51,'202'!$H$53:$H$54,'202'!$H$56,'202'!$H$58:$H$60,'202'!$H$62,'202'!$H$64,'202'!$H$66</definedName>
    <definedName name="OSRRefH22x_0" localSheetId="43">'203'!$H$20:$H$29,'203'!$H$31:$H$40,'203'!$H$42,'203'!$H$44,'203'!$H$46,'203'!$H$48,'203'!$H$50,'203'!$H$52:$H$53,'203'!$H$55:$H$57,'203'!$H$59,'203'!$H$61,'203'!$H$63:$H$65,'203'!$H$67,'203'!$H$69</definedName>
    <definedName name="OSRRefH22x_0" localSheetId="44">'204'!$H$20:$H$29,'204'!$H$31:$H$40,'204'!$H$42,'204'!$H$44:$H$45,'204'!$H$47,'204'!$H$49,'204'!$H$51:$H$53,'204'!$H$55:$H$56,'204'!$H$58,'204'!$H$60:$H$61,'204'!$H$63</definedName>
    <definedName name="OSRRefH22x_0" localSheetId="45">'205'!$H$20:$H$28,'205'!$H$30:$H$39,'205'!$H$41,'205'!$H$43,'205'!$H$45:$H$46,'205'!$H$48,'205'!$H$50:$H$51,'205'!$H$53</definedName>
    <definedName name="OSRRefH22x_0" localSheetId="46">'206'!$H$20:$H$28,'206'!$H$30:$H$39,'206'!$H$41,'206'!$H$43,'206'!$H$45,'206'!$H$47,'206'!$H$49,'206'!$H$51,'206'!$H$53:$H$54,'206'!$H$56</definedName>
    <definedName name="OSRRefH22x_0" localSheetId="48">'300'!$H$106:$H$115,'300'!$H$117:$H$126,'300'!$H$128,'300'!$H$130:$H$131,'300'!$H$133,'300'!$H$135:$H$136,'300'!$H$138,'300'!$H$140:$H$141,'300'!$H$143,'300'!$H$145,'300'!$H$147:$H$148,'300'!$H$150:$H$152,'300'!$H$154,'300'!$H$156,'300'!$H$158,'300'!$H$160,'300'!$H$162:$H$165,'300'!$H$167:$H$170,'300'!$H$172:$H$175,'300'!$H$177:$H$178,'300'!$H$180:$H$188,'300'!$H$190:$H$191,'300'!$H$193,'300'!$H$195:$H$197,'300'!$H$199</definedName>
    <definedName name="OSRRefH22x_0" localSheetId="49">'300 &amp; 317'!$H$128:$H$137,'300 &amp; 317'!$H$139:$H$148,'300 &amp; 317'!$H$150,'300 &amp; 317'!$H$152:$H$153,'300 &amp; 317'!$H$155,'300 &amp; 317'!$H$157:$H$158,'300 &amp; 317'!$H$160,'300 &amp; 317'!$H$162:$H$163,'300 &amp; 317'!$H$165,'300 &amp; 317'!$H$167,'300 &amp; 317'!$H$169:$H$170,'300 &amp; 317'!$H$172:$H$174,'300 &amp; 317'!$H$176,'300 &amp; 317'!$H$178,'300 &amp; 317'!$H$180,'300 &amp; 317'!$H$182,'300 &amp; 317'!$H$184:$H$187,'300 &amp; 317'!$H$189:$H$192,'300 &amp; 317'!$H$194:$H$197,'300 &amp; 317'!$H$199:$H$200,'300 &amp; 317'!$H$202:$H$210,'300 &amp; 317'!$H$212:$H$213,'300 &amp; 317'!$H$215,'300 &amp; 317'!$H$217:$H$219,'300 &amp; 317'!$H$221</definedName>
    <definedName name="OSRRefH22x_0" localSheetId="50">'301'!$H$20:$H$28,'301'!$H$30:$H$39,'301'!$H$41:$H$42,'301'!$H$44,'301'!$H$46:$H$47,'301'!$H$49,'301'!$H$51,'301'!$H$53,'301'!$H$55,'301'!$H$57,'301'!$H$59,'301'!$H$61,'301'!$H$63,'301'!$H$65:$H$68,'301'!$H$70:$H$72,'301'!$H$74,'301'!$H$76:$H$82,'301'!$H$84,'301'!$H$86,'301'!$H$88,'301'!$H$90</definedName>
    <definedName name="OSRRefH22x_0" localSheetId="52">'307'!$H$36:$H$43,'307'!$H$45:$H$54,'307'!$H$56,'307'!$H$58,'307'!$H$60,'307'!$H$62,'307'!$H$64,'307'!$H$66,'307'!$H$68,'307'!$H$70:$H$71,'307'!$H$73:$H$74,'307'!$H$76:$H$79,'307'!$H$81:$H$82,'307'!$H$84</definedName>
    <definedName name="OSRRefH22x_0" localSheetId="53">'308'!$H$52:$H$61,'308'!$H$63:$H$72,'308'!$H$74,'308'!$H$76,'308'!$H$78,'308'!$H$80,'308'!$H$82,'308'!$H$84:$H$85,'308'!$H$87,'308'!$H$89:$H$90,'308'!$H$92,'308'!$H$94:$H$96,'308'!$H$98:$H$99,'308'!$H$101</definedName>
    <definedName name="OSRRefH22x_0" localSheetId="64">'309'!$H$22:$H$29,'309'!$H$31:$H$40,'309'!$H$42,'309'!$H$44,'309'!$H$46,'309'!$H$48,'309'!$H$50:$H$51,'309'!$H$53:$H$54,'309'!$H$56:$H$57,'309'!$H$59</definedName>
    <definedName name="OSRRefH22x_0" localSheetId="63">'310'!$H$28:$H$36,'310'!$H$38:$H$47,'310'!$H$49,'310'!$H$51,'310'!$H$53,'310'!$H$55:$H$56,'310'!$H$58,'310'!$H$60,'310'!$H$62,'310'!$H$64,'310'!$H$66,'310'!$H$68:$H$71,'310'!$H$73,'310'!$H$75:$H$78,'310'!$H$80,'310'!$H$82:$H$88,'310'!$H$90:$H$91,'310'!$H$93,'310'!$H$95</definedName>
    <definedName name="OSRRefH22x_0" localSheetId="71">'310 &amp; 491'!$H$31:$H$39,'310 &amp; 491'!$H$41:$H$50,'310 &amp; 491'!$H$52,'310 &amp; 491'!$H$54,'310 &amp; 491'!$H$56,'310 &amp; 491'!$H$58:$H$60,'310 &amp; 491'!$H$62,'310 &amp; 491'!$H$64,'310 &amp; 491'!$H$66:$H$67,'310 &amp; 491'!$H$69,'310 &amp; 491'!$H$71,'310 &amp; 491'!$H$73,'310 &amp; 491'!$H$75,'310 &amp; 491'!$H$77:$H$80,'310 &amp; 491'!$H$82:$H$83,'310 &amp; 491'!$H$85:$H$89,'310 &amp; 491'!$H$91,'310 &amp; 491'!$H$93:$H$103,'310 &amp; 491'!$H$105:$H$106,'310 &amp; 491'!$H$108,'310 &amp; 491'!$H$110:$H$111,'310 &amp; 491'!$H$113</definedName>
    <definedName name="OSRRefH22x_0" localSheetId="54">'311'!$H$51:$H$60,'311'!$H$62:$H$71,'311'!$H$73,'311'!$H$75,'311'!$H$77,'311'!$H$79,'311'!$H$81,'311'!$H$83:$H$84,'311'!$H$86,'311'!$H$88:$H$89,'311'!$H$91,'311'!$H$93:$H$95,'311'!$H$97:$H$98,'311'!$H$100</definedName>
    <definedName name="OSRRefH22x_0" localSheetId="65">'313'!$H$23:$H$31,'313'!$H$33:$H$42,'313'!$H$44,'313'!$H$46,'313'!$H$48,'313'!$H$50,'313'!$H$52:$H$53,'313'!$H$55,'313'!$H$57:$H$59,'313'!$H$61:$H$62,'313'!$H$64</definedName>
    <definedName name="OSRRefH22x_0" localSheetId="57">'315'!$H$72:$H$80,'315'!$H$82:$H$91,'315'!$H$93,'315'!$H$95,'315'!$H$97,'315'!$H$99,'315'!$H$101,'315'!$H$103:$H$104,'315'!$H$106,'315'!$H$108,'315'!$H$110,'315'!$H$112,'315'!$H$114:$H$116,'315'!$H$118:$H$119,'315'!$H$121:$H$127,'315'!$H$129,'315'!$H$131:$H$132</definedName>
    <definedName name="OSRRefH22x_0" localSheetId="60">'316'!$H$30:$H$38,'316'!$H$40:$H$49,'316'!$H$51,'316'!$H$53,'316'!$H$55,'316'!$H$57,'316'!$H$59:$H$60,'316'!$H$62,'316'!$H$64,'316'!$H$66:$H$70,'316'!$H$72,'316'!$H$74</definedName>
    <definedName name="OSRRefH22x_0" localSheetId="62">'317'!$H$49:$H$58,'317'!$H$60:$H$69,'317'!$H$71,'317'!$H$73,'317'!$H$75,'317'!$H$77,'317'!$H$79:$H$80,'317'!$H$82,'317'!$H$84,'317'!$H$86,'317'!$H$88:$H$90,'317'!$H$92</definedName>
    <definedName name="OSRRefH22x_0" localSheetId="66">'321'!$H$25:$H$33,'321'!$H$35:$H$44,'321'!$H$46,'321'!$H$48,'321'!$H$50,'321'!$H$52,'321'!$H$54,'321'!$H$56:$H$57,'321'!$H$59,'321'!$H$61:$H$62,'321'!$H$64:$H$66,'321'!$H$68:$H$69,'321'!$H$71,'321'!$H$73</definedName>
    <definedName name="OSRRefH22x_0" localSheetId="67">'322'!$H$23:$H$30,'322'!$H$32:$H$41,'322'!$H$43,'322'!$H$45,'322'!$H$47,'322'!$H$49,'322'!$H$51,'322'!$H$53:$H$54,'322'!$H$56:$H$57,'322'!$H$59:$H$62,'322'!$H$64,'322'!$H$66</definedName>
    <definedName name="OSRRefH22x_0" localSheetId="55">'324'!$H$27:$H$34,'324'!$H$36:$H$45</definedName>
    <definedName name="OSRRefH22x_0" localSheetId="68">'325'!$H$24:$H$31,'325'!$H$33:$H$42,'325'!$H$44,'325'!$H$46,'325'!$H$48,'325'!$H$50:$H$51,'325'!$H$53,'325'!$H$55,'325'!$H$57,'325'!$H$59:$H$62,'325'!$H$64:$H$66,'325'!$H$68,'325'!$H$70:$H$74,'325'!$H$76:$H$77,'325'!$H$79</definedName>
    <definedName name="OSRRefH22x_0" localSheetId="58">'326'!$H$41:$H$49,'326'!$H$51:$H$60,'326'!$H$62,'326'!$H$64,'326'!$H$66,'326'!$H$68,'326'!$H$70,'326'!$H$72,'326'!$H$74:$H$75,'326'!$H$77,'326'!$H$79,'326'!$H$81,'326'!$H$83,'326'!$H$85:$H$86,'326'!$H$88:$H$90,'326'!$H$92:$H$93,'326'!$H$95:$H$100,'326'!$H$102:$H$103,'326'!$H$105,'326'!$H$107:$H$108,'326'!$H$110</definedName>
    <definedName name="OSRRefH22x_0" localSheetId="69">'327'!$H$24</definedName>
    <definedName name="OSRRefH22x_0" localSheetId="51">'330'!$H$36:$H$43,'330'!$H$45:$H$54,'330'!$H$56,'330'!$H$58,'330'!$H$60,'330'!$H$62,'330'!$H$64,'330'!$H$66,'330'!$H$68,'330'!$H$70:$H$71,'330'!$H$73:$H$74,'330'!$H$76:$H$79,'330'!$H$81:$H$82,'330'!$H$84</definedName>
    <definedName name="OSRRefH22x_0" localSheetId="56">'331'!$H$72:$H$80,'331'!$H$82:$H$91,'331'!$H$93,'331'!$H$95,'331'!$H$97,'331'!$H$99,'331'!$H$101,'331'!$H$103,'331'!$H$105:$H$106,'331'!$H$108:$H$109,'331'!$H$111,'331'!$H$113,'331'!$H$115,'331'!$H$117,'331'!$H$119:$H$120,'331'!$H$122:$H$124,'331'!$H$126:$H$128,'331'!$H$130:$H$131,'331'!$H$133:$H$140,'331'!$H$142:$H$143,'331'!$H$145,'331'!$H$147:$H$148,'331'!$H$150</definedName>
    <definedName name="OSRRefH22x_0" localSheetId="59">'332'!$H$30:$H$38,'332'!$H$40:$H$49,'332'!$H$51,'332'!$H$53,'332'!$H$55,'332'!$H$57,'332'!$H$59:$H$60,'332'!$H$62,'332'!$H$64,'332'!$H$66:$H$70,'332'!$H$72,'332'!$H$74</definedName>
    <definedName name="OSRRefH22x_0" localSheetId="73">'405'!$H$23:$H$30,'405'!$H$32:$H$41,'405'!$H$43,'405'!$H$45,'405'!$H$47:$H$48,'405'!$H$50,'405'!$H$52,'405'!$H$54,'405'!$H$56:$H$57,'405'!$H$59,'405'!$H$61:$H$64,'405'!$H$66,'405'!$H$68:$H$76,'405'!$H$78,'405'!$H$80,'405'!$H$82</definedName>
    <definedName name="OSRRefH22x_0" localSheetId="74">'406'!$H$20,'406'!$H$22,'406'!$H$24,'406'!$H$26,'406'!$H$28</definedName>
    <definedName name="OSRRefH22x_0" localSheetId="77">'411'!$H$20:$H$28,'411'!$H$30:$H$39,'411'!$H$41,'411'!$H$43,'411'!$H$45:$H$46,'411'!$H$48,'411'!$H$50,'411'!$H$52,'411'!$H$54:$H$55,'411'!$H$57:$H$60,'411'!$H$62:$H$68,'411'!$H$70,'411'!$H$72,'411'!$H$74</definedName>
    <definedName name="OSRRefH22x_0" localSheetId="78">'412'!$H$22:$H$29,'412'!$H$31:$H$40,'412'!$H$42,'412'!$H$44,'412'!$H$46:$H$47,'412'!$H$49,'412'!$H$51,'412'!$H$53,'412'!$H$55:$H$56,'412'!$H$58,'412'!$H$60:$H$63,'412'!$H$65:$H$69,'412'!$H$71:$H$72,'412'!$H$74</definedName>
    <definedName name="OSRRefH22x_0" localSheetId="80">'413'!$H$23:$H$31,'413'!$H$33:$H$42,'413'!$H$44,'413'!$H$46,'413'!$H$48,'413'!$H$50,'413'!$H$52,'413'!$H$54:$H$56,'413'!$H$58:$H$59,'413'!$H$61:$H$68,'413'!$H$70:$H$71,'413'!$H$73</definedName>
    <definedName name="OSRRefH22x_0" localSheetId="81">'414'!$H$24:$H$32,'414'!$H$34:$H$43,'414'!$H$45,'414'!$H$47,'414'!$H$49,'414'!$H$51,'414'!$H$53,'414'!$H$55,'414'!$H$57:$H$58,'414'!$H$60,'414'!$H$62,'414'!$H$64,'414'!$H$66:$H$68,'414'!$H$70,'414'!$H$72,'414'!$H$74</definedName>
    <definedName name="OSRRefH22x_0" localSheetId="82">'415'!$H$27:$H$35,'415'!$H$37:$H$46,'415'!$H$48,'415'!$H$50,'415'!$H$52,'415'!$H$54:$H$55,'415'!$H$57,'415'!$H$59,'415'!$H$61,'415'!$H$63,'415'!$H$65:$H$66,'415'!$H$68:$H$72,'415'!$H$74,'415'!$H$76:$H$82,'415'!$H$84:$H$85,'415'!$H$87</definedName>
    <definedName name="OSRRefH22x_0" localSheetId="83">'418'!$H$23:$H$30,'418'!$H$32:$H$41,'418'!$H$43,'418'!$H$45,'418'!$H$47:$H$48,'418'!$H$50,'418'!$H$52,'418'!$H$54,'418'!$H$56:$H$58,'418'!$H$60:$H$61,'418'!$H$63,'418'!$H$65:$H$74,'418'!$H$76:$H$77,'418'!$H$79</definedName>
    <definedName name="OSRRefH22x_0" localSheetId="84">'423'!$H$20:$H$27,'423'!$H$29:$H$38,'423'!$H$40,'423'!$H$42:$H$43,'423'!$H$45,'423'!$H$47,'423'!$H$49</definedName>
    <definedName name="OSRRefH22x_0" localSheetId="85">'424'!$H$20,'424'!$H$22,'424'!$H$24,'424'!$H$26</definedName>
    <definedName name="OSRRefH22x_0" localSheetId="86">'425'!$H$20:$H$24,'425'!$H$26,'425'!$H$28,'425'!$H$30,'425'!$H$32</definedName>
    <definedName name="OSRRefH22x_0" localSheetId="89">'430'!$H$20:$H$28,'430'!$H$30:$H$39,'430'!$H$41,'430'!$H$43:$H$45,'430'!$H$47:$H$48,'430'!$H$50,'430'!$H$52</definedName>
    <definedName name="OSRRefH22x_0" localSheetId="90">'433'!$H$27:$H$36,'433'!$H$38:$H$47,'433'!$H$49,'433'!$H$51,'433'!$H$53,'433'!$H$55,'433'!$H$57,'433'!$H$59,'433'!$H$61,'433'!$H$63,'433'!$H$65,'433'!$H$67:$H$68,'433'!$H$70:$H$73,'433'!$H$75:$H$82,'433'!$H$84</definedName>
    <definedName name="OSRRefH22x_0" localSheetId="91">'435'!$H$20</definedName>
    <definedName name="OSRRefH22x_0" localSheetId="92">'444'!$H$27:$H$36,'444'!$H$38:$H$47,'444'!$H$49,'444'!$H$51,'444'!$H$53,'444'!$H$55,'444'!$H$57,'444'!$H$59,'444'!$H$61,'444'!$H$63,'444'!$H$65,'444'!$H$67:$H$69,'444'!$H$71:$H$73,'444'!$H$75:$H$83,'444'!$H$85:$H$86,'444'!$H$88</definedName>
    <definedName name="OSRRefH22x_0" localSheetId="93">'450'!$H$23:$H$32,'450'!$H$34:$H$43,'450'!$H$45,'450'!$H$47,'450'!$H$49,'450'!$H$51,'450'!$H$53,'450'!$H$55,'450'!$H$57,'450'!$H$59,'450'!$H$61,'450'!$H$63,'450'!$H$65,'450'!$H$67:$H$69,'450'!$H$71:$H$77,'450'!$H$79:$H$80,'450'!$H$82</definedName>
    <definedName name="OSRRefH22x_0" localSheetId="72">'491'!$H$28:$H$36,'491'!$H$38:$H$47,'491'!$H$49,'491'!$H$51,'491'!$H$53,'491'!$H$55:$H$57,'491'!$H$59,'491'!$H$61,'491'!$H$63,'491'!$H$65,'491'!$H$67,'491'!$H$69,'491'!$H$71,'491'!$H$73:$H$76,'491'!$H$78:$H$79,'491'!$H$81:$H$85,'491'!$H$87,'491'!$H$89:$H$99,'491'!$H$101:$H$102,'491'!$H$104,'491'!$H$106:$H$107,'491'!$H$109</definedName>
    <definedName name="OSRRefH22x_0" localSheetId="88">'492'!$H$27:$H$36,'492'!$H$38:$H$47,'492'!$H$49,'492'!$H$51,'492'!$H$53,'492'!$H$55,'492'!$H$57,'492'!$H$59,'492'!$H$61,'492'!$H$63,'492'!$H$65,'492'!$H$67,'492'!$H$69:$H$71,'492'!$H$73:$H$76,'492'!$H$78:$H$87,'492'!$H$89:$H$90,'492'!$H$92,'492'!$H$94</definedName>
    <definedName name="OSRRefH22x_0" localSheetId="95">'501'!$H$21:$H$30,'501'!$H$32:$H$41,'501'!$H$43,'501'!$H$45,'501'!$H$47,'501'!$H$49:$H$50,'501'!$H$52,'501'!$H$54,'501'!$H$56,'501'!$H$58:$H$60,'501'!$H$62:$H$63,'501'!$H$65</definedName>
    <definedName name="OSRRefH22x_0" localSheetId="39">'Div 2'!$H$21:$H$31,'Div 2'!$H$33:$H$42,'Div 2'!$H$44,'Div 2'!$H$46,'Div 2'!$H$48,'Div 2'!$H$50:$H$51,'Div 2'!$H$53,'Div 2'!$H$55,'Div 2'!$H$57,'Div 2'!$H$59:$H$60,'Div 2'!$H$62,'Div 2'!$H$64:$H$65,'Div 2'!$H$67:$H$70,'Div 2'!$H$72:$H$75,'Div 2'!$H$77:$H$78,'Div 2'!$H$80:$H$81,'Div 2'!$H$83:$H$87,'Div 2'!$H$89:$H$90,'Div 2'!$H$92,'Div 2'!$H$94:$H$95</definedName>
    <definedName name="OSRRefH22x_0" localSheetId="47">'Div 3'!$H$110:$H$119,'Div 3'!$H$121:$H$130,'Div 3'!$H$132,'Div 3'!$H$134:$H$135,'Div 3'!$H$137,'Div 3'!$H$139:$H$140,'Div 3'!$H$142,'Div 3'!$H$144:$H$145,'Div 3'!$H$147,'Div 3'!$H$149,'Div 3'!$H$151:$H$152,'Div 3'!$H$154:$H$156,'Div 3'!$H$158,'Div 3'!$H$160,'Div 3'!$H$162,'Div 3'!$H$164,'Div 3'!$H$166,'Div 3'!$H$168:$H$171,'Div 3'!$H$173:$H$176,'Div 3'!$H$178:$H$182,'Div 3'!$H$184:$H$185,'Div 3'!$H$187:$H$195,'Div 3'!$H$197:$H$198,'Div 3'!$H$200,'Div 3'!$H$202:$H$204,'Div 3'!$H$206</definedName>
    <definedName name="OSRRefH22x_0" localSheetId="70">'Div 4'!$H$30:$H$39,'Div 4'!$H$41:$H$50,'Div 4'!$H$52,'Div 4'!$H$54,'Div 4'!$H$56,'Div 4'!$H$58:$H$60,'Div 4'!$H$62,'Div 4'!$H$64,'Div 4'!$H$66,'Div 4'!$H$68,'Div 4'!$H$70,'Div 4'!$H$72,'Div 4'!$H$74,'Div 4'!$H$76,'Div 4'!$H$78,'Div 4'!$H$80:$H$83,'Div 4'!$H$85:$H$86,'Div 4'!$H$88:$H$92,'Div 4'!$H$94,'Div 4'!$H$96:$H$106,'Div 4'!$H$108:$H$109,'Div 4'!$H$111,'Div 4'!$H$113:$H$114,'Div 4'!$H$116</definedName>
    <definedName name="OSRRefH22x_0" localSheetId="94">'Div 5'!$H$21:$H$30,'Div 5'!$H$32:$H$41,'Div 5'!$H$43,'Div 5'!$H$45,'Div 5'!$H$47,'Div 5'!$H$49:$H$50,'Div 5'!$H$52,'Div 5'!$H$54,'Div 5'!$H$56,'Div 5'!$H$58:$H$60,'Div 5'!$H$62:$H$63,'Div 5'!$H$65</definedName>
    <definedName name="OSRRefH22x_0" localSheetId="61">'Div 6'!$H$49:$H$58,'Div 6'!$H$60:$H$69,'Div 6'!$H$71,'Div 6'!$H$73,'Div 6'!$H$75,'Div 6'!$H$77,'Div 6'!$H$79:$H$80,'Div 6'!$H$82,'Div 6'!$H$84,'Div 6'!$H$86,'Div 6'!$H$88:$H$90,'Div 6'!$H$92</definedName>
    <definedName name="OSRRefH22x_0" localSheetId="2">Summary!$H$136:$H$145,Summary!$H$147:$H$156,Summary!$H$158,Summary!$H$160:$H$161,Summary!$H$163,Summary!$H$165:$H$167,Summary!$H$169,Summary!$H$171:$H$172,Summary!$H$174,Summary!$H$176,Summary!$H$178:$H$179,Summary!$H$181:$H$183,Summary!$H$185,Summary!$H$187,Summary!$H$189,Summary!$H$191,Summary!$H$193,Summary!$H$195,Summary!$H$197:$H$200,Summary!$H$202:$H$205,Summary!$H$207:$H$211,Summary!$H$213:$H$214,Summary!$H$216:$H$226,Summary!$H$228:$H$229,Summary!$H$231,Summary!$H$233:$H$235,Summary!$H$237</definedName>
    <definedName name="OSRRefH25x_0" localSheetId="42">'202'!$H$69:$H$71</definedName>
    <definedName name="OSRRefH25x_0" localSheetId="48">'300'!$H$202:$H$205</definedName>
    <definedName name="OSRRefH25x_0" localSheetId="49">'300 &amp; 317'!$H$224:$H$228</definedName>
    <definedName name="OSRRefH25x_0" localSheetId="50">'301'!$H$93:$H$94</definedName>
    <definedName name="OSRRefH25x_0" localSheetId="53">'308'!$H$104:$H$106</definedName>
    <definedName name="OSRRefH25x_0" localSheetId="71">'310 &amp; 491'!$H$116:$H$119</definedName>
    <definedName name="OSRRefH25x_0" localSheetId="54">'311'!$H$103:$H$105</definedName>
    <definedName name="OSRRefH25x_0" localSheetId="57">'315'!$H$135:$H$137</definedName>
    <definedName name="OSRRefH25x_0" localSheetId="60">'316'!$H$77</definedName>
    <definedName name="OSRRefH25x_0" localSheetId="62">'317'!$H$95:$H$96</definedName>
    <definedName name="OSRRefH25x_0" localSheetId="56">'331'!$H$153:$H$155</definedName>
    <definedName name="OSRRefH25x_0" localSheetId="59">'332'!$H$77</definedName>
    <definedName name="OSRRefH25x_0" localSheetId="77">'411'!$H$77:$H$78</definedName>
    <definedName name="OSRRefH25x_0" localSheetId="83">'418'!$H$82</definedName>
    <definedName name="OSRRefH25x_0" localSheetId="84">'423'!$H$52:$H$53</definedName>
    <definedName name="OSRRefH25x_0" localSheetId="87">'455'!$H$21:$H$22</definedName>
    <definedName name="OSRRefH25x_0" localSheetId="72">'491'!$H$112:$H$115</definedName>
    <definedName name="OSRRefH25x_0" localSheetId="95">'501'!$H$68</definedName>
    <definedName name="OSRRefH25x_0" localSheetId="39">'Div 2'!$H$98:$H$100</definedName>
    <definedName name="OSRRefH25x_0" localSheetId="47">'Div 3'!$H$209:$H$212</definedName>
    <definedName name="OSRRefH25x_0" localSheetId="70">'Div 4'!$H$119:$H$122</definedName>
    <definedName name="OSRRefH25x_0" localSheetId="94">'Div 5'!$H$68</definedName>
    <definedName name="OSRRefH25x_0" localSheetId="61">'Div 6'!$H$95:$H$96</definedName>
    <definedName name="OSRRefH25x_0" localSheetId="2">Summary!$H$240:$H$246</definedName>
    <definedName name="OSRRefP13x_0" localSheetId="41">'201'!$P$13</definedName>
    <definedName name="OSRRefP13x_0" localSheetId="42">'202'!$P$13</definedName>
    <definedName name="OSRRefP13x_0" localSheetId="48">'300'!$P$13:$P$72</definedName>
    <definedName name="OSRRefP13x_0" localSheetId="49">'300 &amp; 317'!$P$13:$P$86</definedName>
    <definedName name="OSRRefP13x_0" localSheetId="52">'307'!$P$13:$P$23</definedName>
    <definedName name="OSRRefP13x_0" localSheetId="53">'308'!$P$13:$P$32</definedName>
    <definedName name="OSRRefP13x_0" localSheetId="64">'309'!$P$13</definedName>
    <definedName name="OSRRefP13x_0" localSheetId="63">'310'!$P$13:$P$17</definedName>
    <definedName name="OSRRefP13x_0" localSheetId="71">'310 &amp; 491'!$P$13:$P$20</definedName>
    <definedName name="OSRRefP13x_0" localSheetId="54">'311'!$P$13:$P$31</definedName>
    <definedName name="OSRRefP13x_0" localSheetId="65">'313'!$P$13</definedName>
    <definedName name="OSRRefP13x_0" localSheetId="57">'315'!$P$13:$P$48</definedName>
    <definedName name="OSRRefP13x_0" localSheetId="60">'316'!$P$13:$P$22</definedName>
    <definedName name="OSRRefP13x_0" localSheetId="62">'317'!$P$13:$P$30</definedName>
    <definedName name="OSRRefP13x_0" localSheetId="66">'321'!$P$13:$P$15</definedName>
    <definedName name="OSRRefP13x_0" localSheetId="67">'322'!$P$13</definedName>
    <definedName name="OSRRefP13x_0" localSheetId="55">'324'!$P$13:$P$16</definedName>
    <definedName name="OSRRefP13x_0" localSheetId="68">'325'!$P$13:$P$14</definedName>
    <definedName name="OSRRefP13x_0" localSheetId="58">'326'!$P$13:$P$31</definedName>
    <definedName name="OSRRefP13x_0" localSheetId="69">'327'!$P$13:$P$14</definedName>
    <definedName name="OSRRefP13x_0" localSheetId="51">'330'!$P$13:$P$23</definedName>
    <definedName name="OSRRefP13x_0" localSheetId="56">'331'!$P$13:$P$48</definedName>
    <definedName name="OSRRefP13x_0" localSheetId="59">'332'!$P$13:$P$22</definedName>
    <definedName name="OSRRefP13x_0" localSheetId="73">'405'!$P$13:$P$14</definedName>
    <definedName name="OSRRefP13x_0" localSheetId="78">'412'!$P$13</definedName>
    <definedName name="OSRRefP13x_0" localSheetId="80">'413'!$P$13:$P$14</definedName>
    <definedName name="OSRRefP13x_0" localSheetId="81">'414'!$P$13:$P$15</definedName>
    <definedName name="OSRRefP13x_0" localSheetId="82">'415'!$P$13:$P$16</definedName>
    <definedName name="OSRRefP13x_0" localSheetId="83">'418'!$P$13:$P$14</definedName>
    <definedName name="OSRRefP13x_0" localSheetId="90">'433'!$P$13:$P$16</definedName>
    <definedName name="OSRRefP13x_0" localSheetId="92">'444'!$P$13:$P$16</definedName>
    <definedName name="OSRRefP13x_0" localSheetId="93">'450'!$P$13:$P$14</definedName>
    <definedName name="OSRRefP13x_0" localSheetId="72">'491'!$P$13:$P$17</definedName>
    <definedName name="OSRRefP13x_0" localSheetId="88">'492'!$P$13:$P$16</definedName>
    <definedName name="OSRRefP13x_0" localSheetId="95">'501'!$P$13</definedName>
    <definedName name="OSRRefP13x_0" localSheetId="39">'Div 2'!$P$13</definedName>
    <definedName name="OSRRefP13x_0" localSheetId="47">'Div 3'!$P$13:$P$74</definedName>
    <definedName name="OSRRefP13x_0" localSheetId="70">'Div 4'!$P$13:$P$19</definedName>
    <definedName name="OSRRefP13x_0" localSheetId="94">'Div 5'!$P$13</definedName>
    <definedName name="OSRRefP13x_0" localSheetId="61">'Div 6'!$P$13:$P$30</definedName>
    <definedName name="OSRRefP13x_0" localSheetId="2">Summary!$P$13:$P$92</definedName>
    <definedName name="OSRRefP16x_0" localSheetId="48">'300'!$P$75:$P$100</definedName>
    <definedName name="OSRRefP16x_0" localSheetId="49">'300 &amp; 317'!$P$89:$P$122</definedName>
    <definedName name="OSRRefP16x_0" localSheetId="52">'307'!$P$26:$P$30</definedName>
    <definedName name="OSRRefP16x_0" localSheetId="53">'308'!$P$35:$P$46</definedName>
    <definedName name="OSRRefP16x_0" localSheetId="64">'309'!$P$16</definedName>
    <definedName name="OSRRefP16x_0" localSheetId="63">'310'!$P$20:$P$22</definedName>
    <definedName name="OSRRefP16x_0" localSheetId="71">'310 &amp; 491'!$P$23:$P$25</definedName>
    <definedName name="OSRRefP16x_0" localSheetId="54">'311'!$P$34:$P$45</definedName>
    <definedName name="OSRRefP16x_0" localSheetId="65">'313'!$P$16:$P$17</definedName>
    <definedName name="OSRRefP16x_0" localSheetId="57">'315'!$P$51:$P$66</definedName>
    <definedName name="OSRRefP16x_0" localSheetId="62">'317'!$P$33:$P$43</definedName>
    <definedName name="OSRRefP16x_0" localSheetId="66">'321'!$P$18:$P$19</definedName>
    <definedName name="OSRRefP16x_0" localSheetId="67">'322'!$P$16:$P$17</definedName>
    <definedName name="OSRRefP16x_0" localSheetId="55">'324'!$P$19:$P$21</definedName>
    <definedName name="OSRRefP16x_0" localSheetId="68">'325'!$P$17:$P$18</definedName>
    <definedName name="OSRRefP16x_0" localSheetId="58">'326'!$P$34:$P$35</definedName>
    <definedName name="OSRRefP16x_0" localSheetId="69">'327'!$P$17:$P$18</definedName>
    <definedName name="OSRRefP16x_0" localSheetId="51">'330'!$P$26:$P$30</definedName>
    <definedName name="OSRRefP16x_0" localSheetId="56">'331'!$P$51:$P$66</definedName>
    <definedName name="OSRRefP16x_0" localSheetId="73">'405'!$P$17</definedName>
    <definedName name="OSRRefP16x_0" localSheetId="78">'412'!$P$16</definedName>
    <definedName name="OSRRefP16x_0" localSheetId="80">'413'!$P$17</definedName>
    <definedName name="OSRRefP16x_0" localSheetId="81">'414'!$P$18</definedName>
    <definedName name="OSRRefP16x_0" localSheetId="82">'415'!$P$19:$P$21</definedName>
    <definedName name="OSRRefP16x_0" localSheetId="83">'418'!$P$17</definedName>
    <definedName name="OSRRefP16x_0" localSheetId="90">'433'!$P$19:$P$21</definedName>
    <definedName name="OSRRefP16x_0" localSheetId="92">'444'!$P$19:$P$21</definedName>
    <definedName name="OSRRefP16x_0" localSheetId="93">'450'!$P$17</definedName>
    <definedName name="OSRRefP16x_0" localSheetId="72">'491'!$P$20:$P$22</definedName>
    <definedName name="OSRRefP16x_0" localSheetId="88">'492'!$P$19:$P$21</definedName>
    <definedName name="OSRRefP16x_0" localSheetId="47">'Div 3'!$P$77:$P$104</definedName>
    <definedName name="OSRRefP16x_0" localSheetId="70">'Div 4'!$P$22:$P$24</definedName>
    <definedName name="OSRRefP16x_0" localSheetId="61">'Div 6'!$P$33:$P$43</definedName>
    <definedName name="OSRRefP16x_0" localSheetId="2">Summary!$P$95:$P$130</definedName>
    <definedName name="OSRRefP22_0x_0" localSheetId="40">'200'!$P$20</definedName>
    <definedName name="OSRRefP22_0x_0" localSheetId="41">'201'!$P$21:$P$29</definedName>
    <definedName name="OSRRefP22_0x_0" localSheetId="42">'202'!$P$21:$P$29</definedName>
    <definedName name="OSRRefP22_0x_0" localSheetId="43">'203'!$P$20:$P$29</definedName>
    <definedName name="OSRRefP22_0x_0" localSheetId="44">'204'!$P$20:$P$29</definedName>
    <definedName name="OSRRefP22_0x_0" localSheetId="45">'205'!$P$20:$P$28</definedName>
    <definedName name="OSRRefP22_0x_0" localSheetId="46">'206'!$P$20:$P$28</definedName>
    <definedName name="OSRRefP22_0x_0" localSheetId="48">'300'!$P$106:$P$115</definedName>
    <definedName name="OSRRefP22_0x_0" localSheetId="49">'300 &amp; 317'!$P$128:$P$137</definedName>
    <definedName name="OSRRefP22_0x_0" localSheetId="50">'301'!$P$20:$P$28</definedName>
    <definedName name="OSRRefP22_0x_0" localSheetId="52">'307'!$P$36:$P$43</definedName>
    <definedName name="OSRRefP22_0x_0" localSheetId="53">'308'!$P$52:$P$61</definedName>
    <definedName name="OSRRefP22_0x_0" localSheetId="64">'309'!$P$22:$P$29</definedName>
    <definedName name="OSRRefP22_0x_0" localSheetId="63">'310'!$P$28:$P$36</definedName>
    <definedName name="OSRRefP22_0x_0" localSheetId="71">'310 &amp; 491'!$P$31:$P$39</definedName>
    <definedName name="OSRRefP22_0x_0" localSheetId="54">'311'!$P$51:$P$60</definedName>
    <definedName name="OSRRefP22_0x_0" localSheetId="65">'313'!$P$23:$P$31</definedName>
    <definedName name="OSRRefP22_0x_0" localSheetId="57">'315'!$P$72:$P$80</definedName>
    <definedName name="OSRRefP22_0x_0" localSheetId="60">'316'!$P$30:$P$38</definedName>
    <definedName name="OSRRefP22_0x_0" localSheetId="62">'317'!$P$49:$P$58</definedName>
    <definedName name="OSRRefP22_0x_0" localSheetId="66">'321'!$P$25:$P$33</definedName>
    <definedName name="OSRRefP22_0x_0" localSheetId="67">'322'!$P$23:$P$30</definedName>
    <definedName name="OSRRefP22_0x_0" localSheetId="55">'324'!$P$27:$P$34</definedName>
    <definedName name="OSRRefP22_0x_0" localSheetId="68">'325'!$P$24:$P$31</definedName>
    <definedName name="OSRRefP22_0x_0" localSheetId="58">'326'!$P$41:$P$49</definedName>
    <definedName name="OSRRefP22_0x_0" localSheetId="69">'327'!$P$24</definedName>
    <definedName name="OSRRefP22_0x_0" localSheetId="51">'330'!$P$36:$P$43</definedName>
    <definedName name="OSRRefP22_0x_0" localSheetId="56">'331'!$P$72:$P$80</definedName>
    <definedName name="OSRRefP22_0x_0" localSheetId="59">'332'!$P$30:$P$38</definedName>
    <definedName name="OSRRefP22_0x_0" localSheetId="73">'405'!$P$23:$P$30</definedName>
    <definedName name="OSRRefP22_0x_0" localSheetId="74">'406'!$P$20</definedName>
    <definedName name="OSRRefP22_0x_0" localSheetId="77">'411'!$P$20:$P$28</definedName>
    <definedName name="OSRRefP22_0x_0" localSheetId="78">'412'!$P$22:$P$29</definedName>
    <definedName name="OSRRefP22_0x_0" localSheetId="80">'413'!$P$23:$P$31</definedName>
    <definedName name="OSRRefP22_0x_0" localSheetId="81">'414'!$P$24:$P$32</definedName>
    <definedName name="OSRRefP22_0x_0" localSheetId="82">'415'!$P$27:$P$35</definedName>
    <definedName name="OSRRefP22_0x_0" localSheetId="83">'418'!$P$23:$P$30</definedName>
    <definedName name="OSRRefP22_0x_0" localSheetId="84">'423'!$P$20:$P$27</definedName>
    <definedName name="OSRRefP22_0x_0" localSheetId="85">'424'!$P$20</definedName>
    <definedName name="OSRRefP22_0x_0" localSheetId="86">'425'!$P$20:$P$24</definedName>
    <definedName name="OSRRefP22_0x_0" localSheetId="89">'430'!$P$20:$P$28</definedName>
    <definedName name="OSRRefP22_0x_0" localSheetId="90">'433'!$P$27:$P$36</definedName>
    <definedName name="OSRRefP22_0x_0" localSheetId="91">'435'!$P$20</definedName>
    <definedName name="OSRRefP22_0x_0" localSheetId="92">'444'!$P$27:$P$36</definedName>
    <definedName name="OSRRefP22_0x_0" localSheetId="93">'450'!$P$23:$P$32</definedName>
    <definedName name="OSRRefP22_0x_0" localSheetId="72">'491'!$P$28:$P$36</definedName>
    <definedName name="OSRRefP22_0x_0" localSheetId="88">'492'!$P$27:$P$36</definedName>
    <definedName name="OSRRefP22_0x_0" localSheetId="95">'501'!$P$21:$P$30</definedName>
    <definedName name="OSRRefP22_0x_0" localSheetId="39">'Div 2'!$P$21:$P$31</definedName>
    <definedName name="OSRRefP22_0x_0" localSheetId="47">'Div 3'!$P$110:$P$119</definedName>
    <definedName name="OSRRefP22_0x_0" localSheetId="70">'Div 4'!$P$30:$P$39</definedName>
    <definedName name="OSRRefP22_0x_0" localSheetId="94">'Div 5'!$P$21:$P$30</definedName>
    <definedName name="OSRRefP22_0x_0" localSheetId="61">'Div 6'!$P$49:$P$58</definedName>
    <definedName name="OSRRefP22_0x_0" localSheetId="2">Summary!$P$136:$P$145</definedName>
    <definedName name="OSRRefP22_10x_0" localSheetId="41">'201'!$P$58:$P$59</definedName>
    <definedName name="OSRRefP22_10x_0" localSheetId="42">'202'!$P$62</definedName>
    <definedName name="OSRRefP22_10x_0" localSheetId="43">'203'!$P$61</definedName>
    <definedName name="OSRRefP22_10x_0" localSheetId="44">'204'!$P$63</definedName>
    <definedName name="OSRRefP22_10x_0" localSheetId="48">'300'!$P$147:$P$148</definedName>
    <definedName name="OSRRefP22_10x_0" localSheetId="49">'300 &amp; 317'!$P$169:$P$170</definedName>
    <definedName name="OSRRefP22_10x_0" localSheetId="50">'301'!$P$59</definedName>
    <definedName name="OSRRefP22_10x_0" localSheetId="52">'307'!$P$73:$P$74</definedName>
    <definedName name="OSRRefP22_10x_0" localSheetId="53">'308'!$P$92</definedName>
    <definedName name="OSRRefP22_10x_0" localSheetId="63">'310'!$P$66</definedName>
    <definedName name="OSRRefP22_10x_0" localSheetId="71">'310 &amp; 491'!$P$71</definedName>
    <definedName name="OSRRefP22_10x_0" localSheetId="54">'311'!$P$91</definedName>
    <definedName name="OSRRefP22_10x_0" localSheetId="65">'313'!$P$64</definedName>
    <definedName name="OSRRefP22_10x_0" localSheetId="57">'315'!$P$110</definedName>
    <definedName name="OSRRefP22_10x_0" localSheetId="60">'316'!$P$72</definedName>
    <definedName name="OSRRefP22_10x_0" localSheetId="62">'317'!$P$88:$P$90</definedName>
    <definedName name="OSRRefP22_10x_0" localSheetId="66">'321'!$P$64:$P$66</definedName>
    <definedName name="OSRRefP22_10x_0" localSheetId="67">'322'!$P$64</definedName>
    <definedName name="OSRRefP22_10x_0" localSheetId="68">'325'!$P$64:$P$66</definedName>
    <definedName name="OSRRefP22_10x_0" localSheetId="58">'326'!$P$79</definedName>
    <definedName name="OSRRefP22_10x_0" localSheetId="51">'330'!$P$73:$P$74</definedName>
    <definedName name="OSRRefP22_10x_0" localSheetId="56">'331'!$P$111</definedName>
    <definedName name="OSRRefP22_10x_0" localSheetId="59">'332'!$P$72</definedName>
    <definedName name="OSRRefP22_10x_0" localSheetId="73">'405'!$P$61:$P$64</definedName>
    <definedName name="OSRRefP22_10x_0" localSheetId="77">'411'!$P$62:$P$68</definedName>
    <definedName name="OSRRefP22_10x_0" localSheetId="78">'412'!$P$60:$P$63</definedName>
    <definedName name="OSRRefP22_10x_0" localSheetId="80">'413'!$P$70:$P$71</definedName>
    <definedName name="OSRRefP22_10x_0" localSheetId="81">'414'!$P$62</definedName>
    <definedName name="OSRRefP22_10x_0" localSheetId="82">'415'!$P$65:$P$66</definedName>
    <definedName name="OSRRefP22_10x_0" localSheetId="83">'418'!$P$63</definedName>
    <definedName name="OSRRefP22_10x_0" localSheetId="90">'433'!$P$65</definedName>
    <definedName name="OSRRefP22_10x_0" localSheetId="92">'444'!$P$65</definedName>
    <definedName name="OSRRefP22_10x_0" localSheetId="93">'450'!$P$61</definedName>
    <definedName name="OSRRefP22_10x_0" localSheetId="72">'491'!$P$67</definedName>
    <definedName name="OSRRefP22_10x_0" localSheetId="88">'492'!$P$65</definedName>
    <definedName name="OSRRefP22_10x_0" localSheetId="95">'501'!$P$62:$P$63</definedName>
    <definedName name="OSRRefP22_10x_0" localSheetId="39">'Div 2'!$P$62</definedName>
    <definedName name="OSRRefP22_10x_0" localSheetId="47">'Div 3'!$P$151:$P$152</definedName>
    <definedName name="OSRRefP22_10x_0" localSheetId="70">'Div 4'!$P$70</definedName>
    <definedName name="OSRRefP22_10x_0" localSheetId="94">'Div 5'!$P$62:$P$63</definedName>
    <definedName name="OSRRefP22_10x_0" localSheetId="61">'Div 6'!$P$88:$P$90</definedName>
    <definedName name="OSRRefP22_10x_0" localSheetId="2">Summary!$P$178:$P$179</definedName>
    <definedName name="OSRRefP22_11x_0" localSheetId="41">'201'!$P$61</definedName>
    <definedName name="OSRRefP22_11x_0" localSheetId="42">'202'!$P$64</definedName>
    <definedName name="OSRRefP22_11x_0" localSheetId="43">'203'!$P$63:$P$65</definedName>
    <definedName name="OSRRefP22_11x_0" localSheetId="48">'300'!$P$150:$P$152</definedName>
    <definedName name="OSRRefP22_11x_0" localSheetId="49">'300 &amp; 317'!$P$172:$P$174</definedName>
    <definedName name="OSRRefP22_11x_0" localSheetId="50">'301'!$P$61</definedName>
    <definedName name="OSRRefP22_11x_0" localSheetId="52">'307'!$P$76:$P$79</definedName>
    <definedName name="OSRRefP22_11x_0" localSheetId="53">'308'!$P$94:$P$96</definedName>
    <definedName name="OSRRefP22_11x_0" localSheetId="63">'310'!$P$68:$P$71</definedName>
    <definedName name="OSRRefP22_11x_0" localSheetId="71">'310 &amp; 491'!$P$73</definedName>
    <definedName name="OSRRefP22_11x_0" localSheetId="54">'311'!$P$93:$P$95</definedName>
    <definedName name="OSRRefP22_11x_0" localSheetId="57">'315'!$P$112</definedName>
    <definedName name="OSRRefP22_11x_0" localSheetId="60">'316'!$P$74</definedName>
    <definedName name="OSRRefP22_11x_0" localSheetId="62">'317'!$P$92</definedName>
    <definedName name="OSRRefP22_11x_0" localSheetId="66">'321'!$P$68:$P$69</definedName>
    <definedName name="OSRRefP22_11x_0" localSheetId="67">'322'!$P$66</definedName>
    <definedName name="OSRRefP22_11x_0" localSheetId="68">'325'!$P$68</definedName>
    <definedName name="OSRRefP22_11x_0" localSheetId="58">'326'!$P$81</definedName>
    <definedName name="OSRRefP22_11x_0" localSheetId="51">'330'!$P$76:$P$79</definedName>
    <definedName name="OSRRefP22_11x_0" localSheetId="56">'331'!$P$113</definedName>
    <definedName name="OSRRefP22_11x_0" localSheetId="59">'332'!$P$74</definedName>
    <definedName name="OSRRefP22_11x_0" localSheetId="73">'405'!$P$66</definedName>
    <definedName name="OSRRefP22_11x_0" localSheetId="77">'411'!$P$70</definedName>
    <definedName name="OSRRefP22_11x_0" localSheetId="78">'412'!$P$65:$P$69</definedName>
    <definedName name="OSRRefP22_11x_0" localSheetId="80">'413'!$P$73</definedName>
    <definedName name="OSRRefP22_11x_0" localSheetId="81">'414'!$P$64</definedName>
    <definedName name="OSRRefP22_11x_0" localSheetId="82">'415'!$P$68:$P$72</definedName>
    <definedName name="OSRRefP22_11x_0" localSheetId="83">'418'!$P$65:$P$74</definedName>
    <definedName name="OSRRefP22_11x_0" localSheetId="90">'433'!$P$67:$P$68</definedName>
    <definedName name="OSRRefP22_11x_0" localSheetId="92">'444'!$P$67:$P$69</definedName>
    <definedName name="OSRRefP22_11x_0" localSheetId="93">'450'!$P$63</definedName>
    <definedName name="OSRRefP22_11x_0" localSheetId="72">'491'!$P$69</definedName>
    <definedName name="OSRRefP22_11x_0" localSheetId="88">'492'!$P$67</definedName>
    <definedName name="OSRRefP22_11x_0" localSheetId="95">'501'!$P$65</definedName>
    <definedName name="OSRRefP22_11x_0" localSheetId="39">'Div 2'!$P$64:$P$65</definedName>
    <definedName name="OSRRefP22_11x_0" localSheetId="47">'Div 3'!$P$154:$P$156</definedName>
    <definedName name="OSRRefP22_11x_0" localSheetId="70">'Div 4'!$P$72</definedName>
    <definedName name="OSRRefP22_11x_0" localSheetId="94">'Div 5'!$P$65</definedName>
    <definedName name="OSRRefP22_11x_0" localSheetId="61">'Div 6'!$P$92</definedName>
    <definedName name="OSRRefP22_11x_0" localSheetId="2">Summary!$P$181:$P$183</definedName>
    <definedName name="OSRRefP22_12x_0" localSheetId="41">'201'!$P$63</definedName>
    <definedName name="OSRRefP22_12x_0" localSheetId="42">'202'!$P$66</definedName>
    <definedName name="OSRRefP22_12x_0" localSheetId="43">'203'!$P$67</definedName>
    <definedName name="OSRRefP22_12x_0" localSheetId="48">'300'!$P$154</definedName>
    <definedName name="OSRRefP22_12x_0" localSheetId="49">'300 &amp; 317'!$P$176</definedName>
    <definedName name="OSRRefP22_12x_0" localSheetId="50">'301'!$P$63</definedName>
    <definedName name="OSRRefP22_12x_0" localSheetId="52">'307'!$P$81:$P$82</definedName>
    <definedName name="OSRRefP22_12x_0" localSheetId="53">'308'!$P$98:$P$99</definedName>
    <definedName name="OSRRefP22_12x_0" localSheetId="63">'310'!$P$73</definedName>
    <definedName name="OSRRefP22_12x_0" localSheetId="71">'310 &amp; 491'!$P$75</definedName>
    <definedName name="OSRRefP22_12x_0" localSheetId="54">'311'!$P$97:$P$98</definedName>
    <definedName name="OSRRefP22_12x_0" localSheetId="57">'315'!$P$114:$P$116</definedName>
    <definedName name="OSRRefP22_12x_0" localSheetId="66">'321'!$P$71</definedName>
    <definedName name="OSRRefP22_12x_0" localSheetId="68">'325'!$P$70:$P$74</definedName>
    <definedName name="OSRRefP22_12x_0" localSheetId="58">'326'!$P$83</definedName>
    <definedName name="OSRRefP22_12x_0" localSheetId="51">'330'!$P$81:$P$82</definedName>
    <definedName name="OSRRefP22_12x_0" localSheetId="56">'331'!$P$115</definedName>
    <definedName name="OSRRefP22_12x_0" localSheetId="73">'405'!$P$68:$P$76</definedName>
    <definedName name="OSRRefP22_12x_0" localSheetId="77">'411'!$P$72</definedName>
    <definedName name="OSRRefP22_12x_0" localSheetId="78">'412'!$P$71:$P$72</definedName>
    <definedName name="OSRRefP22_12x_0" localSheetId="81">'414'!$P$66:$P$68</definedName>
    <definedName name="OSRRefP22_12x_0" localSheetId="82">'415'!$P$74</definedName>
    <definedName name="OSRRefP22_12x_0" localSheetId="83">'418'!$P$76:$P$77</definedName>
    <definedName name="OSRRefP22_12x_0" localSheetId="90">'433'!$P$70:$P$73</definedName>
    <definedName name="OSRRefP22_12x_0" localSheetId="92">'444'!$P$71:$P$73</definedName>
    <definedName name="OSRRefP22_12x_0" localSheetId="93">'450'!$P$65</definedName>
    <definedName name="OSRRefP22_12x_0" localSheetId="72">'491'!$P$71</definedName>
    <definedName name="OSRRefP22_12x_0" localSheetId="88">'492'!$P$69:$P$71</definedName>
    <definedName name="OSRRefP22_12x_0" localSheetId="39">'Div 2'!$P$67:$P$70</definedName>
    <definedName name="OSRRefP22_12x_0" localSheetId="47">'Div 3'!$P$158</definedName>
    <definedName name="OSRRefP22_12x_0" localSheetId="70">'Div 4'!$P$74</definedName>
    <definedName name="OSRRefP22_12x_0" localSheetId="2">Summary!$P$185</definedName>
    <definedName name="OSRRefP22_13x_0" localSheetId="41">'201'!$P$65:$P$67</definedName>
    <definedName name="OSRRefP22_13x_0" localSheetId="43">'203'!$P$69</definedName>
    <definedName name="OSRRefP22_13x_0" localSheetId="48">'300'!$P$156</definedName>
    <definedName name="OSRRefP22_13x_0" localSheetId="49">'300 &amp; 317'!$P$178</definedName>
    <definedName name="OSRRefP22_13x_0" localSheetId="50">'301'!$P$65:$P$68</definedName>
    <definedName name="OSRRefP22_13x_0" localSheetId="52">'307'!$P$84</definedName>
    <definedName name="OSRRefP22_13x_0" localSheetId="53">'308'!$P$101</definedName>
    <definedName name="OSRRefP22_13x_0" localSheetId="63">'310'!$P$75:$P$78</definedName>
    <definedName name="OSRRefP22_13x_0" localSheetId="71">'310 &amp; 491'!$P$77:$P$80</definedName>
    <definedName name="OSRRefP22_13x_0" localSheetId="54">'311'!$P$100</definedName>
    <definedName name="OSRRefP22_13x_0" localSheetId="57">'315'!$P$118:$P$119</definedName>
    <definedName name="OSRRefP22_13x_0" localSheetId="66">'321'!$P$73</definedName>
    <definedName name="OSRRefP22_13x_0" localSheetId="68">'325'!$P$76:$P$77</definedName>
    <definedName name="OSRRefP22_13x_0" localSheetId="58">'326'!$P$85:$P$86</definedName>
    <definedName name="OSRRefP22_13x_0" localSheetId="51">'330'!$P$84</definedName>
    <definedName name="OSRRefP22_13x_0" localSheetId="56">'331'!$P$117</definedName>
    <definedName name="OSRRefP22_13x_0" localSheetId="73">'405'!$P$78</definedName>
    <definedName name="OSRRefP22_13x_0" localSheetId="77">'411'!$P$74</definedName>
    <definedName name="OSRRefP22_13x_0" localSheetId="78">'412'!$P$74</definedName>
    <definedName name="OSRRefP22_13x_0" localSheetId="81">'414'!$P$70</definedName>
    <definedName name="OSRRefP22_13x_0" localSheetId="82">'415'!$P$76:$P$82</definedName>
    <definedName name="OSRRefP22_13x_0" localSheetId="83">'418'!$P$79</definedName>
    <definedName name="OSRRefP22_13x_0" localSheetId="90">'433'!$P$75:$P$82</definedName>
    <definedName name="OSRRefP22_13x_0" localSheetId="92">'444'!$P$75:$P$83</definedName>
    <definedName name="OSRRefP22_13x_0" localSheetId="93">'450'!$P$67:$P$69</definedName>
    <definedName name="OSRRefP22_13x_0" localSheetId="72">'491'!$P$73:$P$76</definedName>
    <definedName name="OSRRefP22_13x_0" localSheetId="88">'492'!$P$73:$P$76</definedName>
    <definedName name="OSRRefP22_13x_0" localSheetId="39">'Div 2'!$P$72:$P$75</definedName>
    <definedName name="OSRRefP22_13x_0" localSheetId="47">'Div 3'!$P$160</definedName>
    <definedName name="OSRRefP22_13x_0" localSheetId="70">'Div 4'!$P$76</definedName>
    <definedName name="OSRRefP22_13x_0" localSheetId="2">Summary!$P$187</definedName>
    <definedName name="OSRRefP22_14x_0" localSheetId="41">'201'!$P$69</definedName>
    <definedName name="OSRRefP22_14x_0" localSheetId="48">'300'!$P$158</definedName>
    <definedName name="OSRRefP22_14x_0" localSheetId="49">'300 &amp; 317'!$P$180</definedName>
    <definedName name="OSRRefP22_14x_0" localSheetId="50">'301'!$P$70:$P$72</definedName>
    <definedName name="OSRRefP22_14x_0" localSheetId="63">'310'!$P$80</definedName>
    <definedName name="OSRRefP22_14x_0" localSheetId="71">'310 &amp; 491'!$P$82:$P$83</definedName>
    <definedName name="OSRRefP22_14x_0" localSheetId="57">'315'!$P$121:$P$127</definedName>
    <definedName name="OSRRefP22_14x_0" localSheetId="68">'325'!$P$79</definedName>
    <definedName name="OSRRefP22_14x_0" localSheetId="58">'326'!$P$88:$P$90</definedName>
    <definedName name="OSRRefP22_14x_0" localSheetId="56">'331'!$P$119:$P$120</definedName>
    <definedName name="OSRRefP22_14x_0" localSheetId="73">'405'!$P$80</definedName>
    <definedName name="OSRRefP22_14x_0" localSheetId="81">'414'!$P$72</definedName>
    <definedName name="OSRRefP22_14x_0" localSheetId="82">'415'!$P$84:$P$85</definedName>
    <definedName name="OSRRefP22_14x_0" localSheetId="90">'433'!$P$84</definedName>
    <definedName name="OSRRefP22_14x_0" localSheetId="92">'444'!$P$85:$P$86</definedName>
    <definedName name="OSRRefP22_14x_0" localSheetId="93">'450'!$P$71:$P$77</definedName>
    <definedName name="OSRRefP22_14x_0" localSheetId="72">'491'!$P$78:$P$79</definedName>
    <definedName name="OSRRefP22_14x_0" localSheetId="88">'492'!$P$78:$P$87</definedName>
    <definedName name="OSRRefP22_14x_0" localSheetId="39">'Div 2'!$P$77:$P$78</definedName>
    <definedName name="OSRRefP22_14x_0" localSheetId="47">'Div 3'!$P$162</definedName>
    <definedName name="OSRRefP22_14x_0" localSheetId="70">'Div 4'!$P$78</definedName>
    <definedName name="OSRRefP22_14x_0" localSheetId="2">Summary!$P$189</definedName>
    <definedName name="OSRRefP22_15x_0" localSheetId="41">'201'!$P$71</definedName>
    <definedName name="OSRRefP22_15x_0" localSheetId="48">'300'!$P$160</definedName>
    <definedName name="OSRRefP22_15x_0" localSheetId="49">'300 &amp; 317'!$P$182</definedName>
    <definedName name="OSRRefP22_15x_0" localSheetId="50">'301'!$P$74</definedName>
    <definedName name="OSRRefP22_15x_0" localSheetId="63">'310'!$P$82:$P$88</definedName>
    <definedName name="OSRRefP22_15x_0" localSheetId="71">'310 &amp; 491'!$P$85:$P$89</definedName>
    <definedName name="OSRRefP22_15x_0" localSheetId="57">'315'!$P$129</definedName>
    <definedName name="OSRRefP22_15x_0" localSheetId="58">'326'!$P$92:$P$93</definedName>
    <definedName name="OSRRefP22_15x_0" localSheetId="56">'331'!$P$122:$P$124</definedName>
    <definedName name="OSRRefP22_15x_0" localSheetId="73">'405'!$P$82</definedName>
    <definedName name="OSRRefP22_15x_0" localSheetId="81">'414'!$P$74</definedName>
    <definedName name="OSRRefP22_15x_0" localSheetId="82">'415'!$P$87</definedName>
    <definedName name="OSRRefP22_15x_0" localSheetId="92">'444'!$P$88</definedName>
    <definedName name="OSRRefP22_15x_0" localSheetId="93">'450'!$P$79:$P$80</definedName>
    <definedName name="OSRRefP22_15x_0" localSheetId="72">'491'!$P$81:$P$85</definedName>
    <definedName name="OSRRefP22_15x_0" localSheetId="88">'492'!$P$89:$P$90</definedName>
    <definedName name="OSRRefP22_15x_0" localSheetId="39">'Div 2'!$P$80:$P$81</definedName>
    <definedName name="OSRRefP22_15x_0" localSheetId="47">'Div 3'!$P$164</definedName>
    <definedName name="OSRRefP22_15x_0" localSheetId="70">'Div 4'!$P$80:$P$83</definedName>
    <definedName name="OSRRefP22_15x_0" localSheetId="2">Summary!$P$191</definedName>
    <definedName name="OSRRefP22_16x_0" localSheetId="48">'300'!$P$162:$P$165</definedName>
    <definedName name="OSRRefP22_16x_0" localSheetId="49">'300 &amp; 317'!$P$184:$P$187</definedName>
    <definedName name="OSRRefP22_16x_0" localSheetId="50">'301'!$P$76:$P$82</definedName>
    <definedName name="OSRRefP22_16x_0" localSheetId="63">'310'!$P$90:$P$91</definedName>
    <definedName name="OSRRefP22_16x_0" localSheetId="71">'310 &amp; 491'!$P$91</definedName>
    <definedName name="OSRRefP22_16x_0" localSheetId="57">'315'!$P$131:$P$132</definedName>
    <definedName name="OSRRefP22_16x_0" localSheetId="58">'326'!$P$95:$P$100</definedName>
    <definedName name="OSRRefP22_16x_0" localSheetId="56">'331'!$P$126:$P$128</definedName>
    <definedName name="OSRRefP22_16x_0" localSheetId="93">'450'!$P$82</definedName>
    <definedName name="OSRRefP22_16x_0" localSheetId="72">'491'!$P$87</definedName>
    <definedName name="OSRRefP22_16x_0" localSheetId="88">'492'!$P$92</definedName>
    <definedName name="OSRRefP22_16x_0" localSheetId="39">'Div 2'!$P$83:$P$87</definedName>
    <definedName name="OSRRefP22_16x_0" localSheetId="47">'Div 3'!$P$166</definedName>
    <definedName name="OSRRefP22_16x_0" localSheetId="70">'Div 4'!$P$85:$P$86</definedName>
    <definedName name="OSRRefP22_16x_0" localSheetId="2">Summary!$P$193</definedName>
    <definedName name="OSRRefP22_17x_0" localSheetId="48">'300'!$P$167:$P$170</definedName>
    <definedName name="OSRRefP22_17x_0" localSheetId="49">'300 &amp; 317'!$P$189:$P$192</definedName>
    <definedName name="OSRRefP22_17x_0" localSheetId="50">'301'!$P$84</definedName>
    <definedName name="OSRRefP22_17x_0" localSheetId="63">'310'!$P$93</definedName>
    <definedName name="OSRRefP22_17x_0" localSheetId="71">'310 &amp; 491'!$P$93:$P$103</definedName>
    <definedName name="OSRRefP22_17x_0" localSheetId="58">'326'!$P$102:$P$103</definedName>
    <definedName name="OSRRefP22_17x_0" localSheetId="56">'331'!$P$130:$P$131</definedName>
    <definedName name="OSRRefP22_17x_0" localSheetId="72">'491'!$P$89:$P$99</definedName>
    <definedName name="OSRRefP22_17x_0" localSheetId="88">'492'!$P$94</definedName>
    <definedName name="OSRRefP22_17x_0" localSheetId="39">'Div 2'!$P$89:$P$90</definedName>
    <definedName name="OSRRefP22_17x_0" localSheetId="47">'Div 3'!$P$168:$P$171</definedName>
    <definedName name="OSRRefP22_17x_0" localSheetId="70">'Div 4'!$P$88:$P$92</definedName>
    <definedName name="OSRRefP22_17x_0" localSheetId="2">Summary!$P$195</definedName>
    <definedName name="OSRRefP22_18x_0" localSheetId="48">'300'!$P$172:$P$175</definedName>
    <definedName name="OSRRefP22_18x_0" localSheetId="49">'300 &amp; 317'!$P$194:$P$197</definedName>
    <definedName name="OSRRefP22_18x_0" localSheetId="50">'301'!$P$86</definedName>
    <definedName name="OSRRefP22_18x_0" localSheetId="63">'310'!$P$95</definedName>
    <definedName name="OSRRefP22_18x_0" localSheetId="71">'310 &amp; 491'!$P$105:$P$106</definedName>
    <definedName name="OSRRefP22_18x_0" localSheetId="58">'326'!$P$105</definedName>
    <definedName name="OSRRefP22_18x_0" localSheetId="56">'331'!$P$133:$P$140</definedName>
    <definedName name="OSRRefP22_18x_0" localSheetId="72">'491'!$P$101:$P$102</definedName>
    <definedName name="OSRRefP22_18x_0" localSheetId="39">'Div 2'!$P$92</definedName>
    <definedName name="OSRRefP22_18x_0" localSheetId="47">'Div 3'!$P$173:$P$176</definedName>
    <definedName name="OSRRefP22_18x_0" localSheetId="70">'Div 4'!$P$94</definedName>
    <definedName name="OSRRefP22_18x_0" localSheetId="2">Summary!$P$197:$P$200</definedName>
    <definedName name="OSRRefP22_19x_0" localSheetId="48">'300'!$P$177:$P$178</definedName>
    <definedName name="OSRRefP22_19x_0" localSheetId="49">'300 &amp; 317'!$P$199:$P$200</definedName>
    <definedName name="OSRRefP22_19x_0" localSheetId="50">'301'!$P$88</definedName>
    <definedName name="OSRRefP22_19x_0" localSheetId="71">'310 &amp; 491'!$P$108</definedName>
    <definedName name="OSRRefP22_19x_0" localSheetId="58">'326'!$P$107:$P$108</definedName>
    <definedName name="OSRRefP22_19x_0" localSheetId="56">'331'!$P$142:$P$143</definedName>
    <definedName name="OSRRefP22_19x_0" localSheetId="72">'491'!$P$104</definedName>
    <definedName name="OSRRefP22_19x_0" localSheetId="39">'Div 2'!$P$94:$P$95</definedName>
    <definedName name="OSRRefP22_19x_0" localSheetId="47">'Div 3'!$P$178:$P$182</definedName>
    <definedName name="OSRRefP22_19x_0" localSheetId="70">'Div 4'!$P$96:$P$106</definedName>
    <definedName name="OSRRefP22_19x_0" localSheetId="2">Summary!$P$202:$P$205</definedName>
    <definedName name="OSRRefP22_1x_0" localSheetId="40">'200'!$P$22</definedName>
    <definedName name="OSRRefP22_1x_0" localSheetId="41">'201'!$P$31:$P$40</definedName>
    <definedName name="OSRRefP22_1x_0" localSheetId="42">'202'!$P$31:$P$40</definedName>
    <definedName name="OSRRefP22_1x_0" localSheetId="43">'203'!$P$31:$P$40</definedName>
    <definedName name="OSRRefP22_1x_0" localSheetId="44">'204'!$P$31:$P$40</definedName>
    <definedName name="OSRRefP22_1x_0" localSheetId="45">'205'!$P$30:$P$39</definedName>
    <definedName name="OSRRefP22_1x_0" localSheetId="46">'206'!$P$30:$P$39</definedName>
    <definedName name="OSRRefP22_1x_0" localSheetId="48">'300'!$P$117:$P$126</definedName>
    <definedName name="OSRRefP22_1x_0" localSheetId="49">'300 &amp; 317'!$P$139:$P$148</definedName>
    <definedName name="OSRRefP22_1x_0" localSheetId="50">'301'!$P$30:$P$39</definedName>
    <definedName name="OSRRefP22_1x_0" localSheetId="52">'307'!$P$45:$P$54</definedName>
    <definedName name="OSRRefP22_1x_0" localSheetId="53">'308'!$P$63:$P$72</definedName>
    <definedName name="OSRRefP22_1x_0" localSheetId="64">'309'!$P$31:$P$40</definedName>
    <definedName name="OSRRefP22_1x_0" localSheetId="63">'310'!$P$38:$P$47</definedName>
    <definedName name="OSRRefP22_1x_0" localSheetId="71">'310 &amp; 491'!$P$41:$P$50</definedName>
    <definedName name="OSRRefP22_1x_0" localSheetId="54">'311'!$P$62:$P$71</definedName>
    <definedName name="OSRRefP22_1x_0" localSheetId="65">'313'!$P$33:$P$42</definedName>
    <definedName name="OSRRefP22_1x_0" localSheetId="57">'315'!$P$82:$P$91</definedName>
    <definedName name="OSRRefP22_1x_0" localSheetId="60">'316'!$P$40:$P$49</definedName>
    <definedName name="OSRRefP22_1x_0" localSheetId="62">'317'!$P$60:$P$69</definedName>
    <definedName name="OSRRefP22_1x_0" localSheetId="66">'321'!$P$35:$P$44</definedName>
    <definedName name="OSRRefP22_1x_0" localSheetId="67">'322'!$P$32:$P$41</definedName>
    <definedName name="OSRRefP22_1x_0" localSheetId="55">'324'!$P$36:$P$45</definedName>
    <definedName name="OSRRefP22_1x_0" localSheetId="68">'325'!$P$33:$P$42</definedName>
    <definedName name="OSRRefP22_1x_0" localSheetId="58">'326'!$P$51:$P$60</definedName>
    <definedName name="OSRRefP22_1x_0" localSheetId="51">'330'!$P$45:$P$54</definedName>
    <definedName name="OSRRefP22_1x_0" localSheetId="56">'331'!$P$82:$P$91</definedName>
    <definedName name="OSRRefP22_1x_0" localSheetId="59">'332'!$P$40:$P$49</definedName>
    <definedName name="OSRRefP22_1x_0" localSheetId="73">'405'!$P$32:$P$41</definedName>
    <definedName name="OSRRefP22_1x_0" localSheetId="74">'406'!$P$22</definedName>
    <definedName name="OSRRefP22_1x_0" localSheetId="77">'411'!$P$30:$P$39</definedName>
    <definedName name="OSRRefP22_1x_0" localSheetId="78">'412'!$P$31:$P$40</definedName>
    <definedName name="OSRRefP22_1x_0" localSheetId="80">'413'!$P$33:$P$42</definedName>
    <definedName name="OSRRefP22_1x_0" localSheetId="81">'414'!$P$34:$P$43</definedName>
    <definedName name="OSRRefP22_1x_0" localSheetId="82">'415'!$P$37:$P$46</definedName>
    <definedName name="OSRRefP22_1x_0" localSheetId="83">'418'!$P$32:$P$41</definedName>
    <definedName name="OSRRefP22_1x_0" localSheetId="84">'423'!$P$29:$P$38</definedName>
    <definedName name="OSRRefP22_1x_0" localSheetId="85">'424'!$P$22</definedName>
    <definedName name="OSRRefP22_1x_0" localSheetId="86">'425'!$P$26</definedName>
    <definedName name="OSRRefP22_1x_0" localSheetId="89">'430'!$P$30:$P$39</definedName>
    <definedName name="OSRRefP22_1x_0" localSheetId="90">'433'!$P$38:$P$47</definedName>
    <definedName name="OSRRefP22_1x_0" localSheetId="92">'444'!$P$38:$P$47</definedName>
    <definedName name="OSRRefP22_1x_0" localSheetId="93">'450'!$P$34:$P$43</definedName>
    <definedName name="OSRRefP22_1x_0" localSheetId="72">'491'!$P$38:$P$47</definedName>
    <definedName name="OSRRefP22_1x_0" localSheetId="88">'492'!$P$38:$P$47</definedName>
    <definedName name="OSRRefP22_1x_0" localSheetId="95">'501'!$P$32:$P$41</definedName>
    <definedName name="OSRRefP22_1x_0" localSheetId="39">'Div 2'!$P$33:$P$42</definedName>
    <definedName name="OSRRefP22_1x_0" localSheetId="47">'Div 3'!$P$121:$P$130</definedName>
    <definedName name="OSRRefP22_1x_0" localSheetId="70">'Div 4'!$P$41:$P$50</definedName>
    <definedName name="OSRRefP22_1x_0" localSheetId="94">'Div 5'!$P$32:$P$41</definedName>
    <definedName name="OSRRefP22_1x_0" localSheetId="61">'Div 6'!$P$60:$P$69</definedName>
    <definedName name="OSRRefP22_1x_0" localSheetId="2">Summary!$P$147:$P$156</definedName>
    <definedName name="OSRRefP22_20x_0" localSheetId="48">'300'!$P$180:$P$188</definedName>
    <definedName name="OSRRefP22_20x_0" localSheetId="49">'300 &amp; 317'!$P$202:$P$210</definedName>
    <definedName name="OSRRefP22_20x_0" localSheetId="50">'301'!$P$90</definedName>
    <definedName name="OSRRefP22_20x_0" localSheetId="71">'310 &amp; 491'!$P$110:$P$111</definedName>
    <definedName name="OSRRefP22_20x_0" localSheetId="58">'326'!$P$110</definedName>
    <definedName name="OSRRefP22_20x_0" localSheetId="56">'331'!$P$145</definedName>
    <definedName name="OSRRefP22_20x_0" localSheetId="72">'491'!$P$106:$P$107</definedName>
    <definedName name="OSRRefP22_20x_0" localSheetId="47">'Div 3'!$P$184:$P$185</definedName>
    <definedName name="OSRRefP22_20x_0" localSheetId="70">'Div 4'!$P$108:$P$109</definedName>
    <definedName name="OSRRefP22_20x_0" localSheetId="2">Summary!$P$207:$P$211</definedName>
    <definedName name="OSRRefP22_21x_0" localSheetId="48">'300'!$P$190:$P$191</definedName>
    <definedName name="OSRRefP22_21x_0" localSheetId="49">'300 &amp; 317'!$P$212:$P$213</definedName>
    <definedName name="OSRRefP22_21x_0" localSheetId="71">'310 &amp; 491'!$P$113</definedName>
    <definedName name="OSRRefP22_21x_0" localSheetId="56">'331'!$P$147:$P$148</definedName>
    <definedName name="OSRRefP22_21x_0" localSheetId="72">'491'!$P$109</definedName>
    <definedName name="OSRRefP22_21x_0" localSheetId="47">'Div 3'!$P$187:$P$195</definedName>
    <definedName name="OSRRefP22_21x_0" localSheetId="70">'Div 4'!$P$111</definedName>
    <definedName name="OSRRefP22_21x_0" localSheetId="2">Summary!$P$213:$P$214</definedName>
    <definedName name="OSRRefP22_22x_0" localSheetId="48">'300'!$P$193</definedName>
    <definedName name="OSRRefP22_22x_0" localSheetId="49">'300 &amp; 317'!$P$215</definedName>
    <definedName name="OSRRefP22_22x_0" localSheetId="56">'331'!$P$150</definedName>
    <definedName name="OSRRefP22_22x_0" localSheetId="47">'Div 3'!$P$197:$P$198</definedName>
    <definedName name="OSRRefP22_22x_0" localSheetId="70">'Div 4'!$P$113:$P$114</definedName>
    <definedName name="OSRRefP22_22x_0" localSheetId="2">Summary!$P$216:$P$226</definedName>
    <definedName name="OSRRefP22_23x_0" localSheetId="48">'300'!$P$195:$P$197</definedName>
    <definedName name="OSRRefP22_23x_0" localSheetId="49">'300 &amp; 317'!$P$217:$P$219</definedName>
    <definedName name="OSRRefP22_23x_0" localSheetId="47">'Div 3'!$P$200</definedName>
    <definedName name="OSRRefP22_23x_0" localSheetId="70">'Div 4'!$P$116</definedName>
    <definedName name="OSRRefP22_23x_0" localSheetId="2">Summary!$P$228:$P$229</definedName>
    <definedName name="OSRRefP22_24x_0" localSheetId="48">'300'!$P$199</definedName>
    <definedName name="OSRRefP22_24x_0" localSheetId="49">'300 &amp; 317'!$P$221</definedName>
    <definedName name="OSRRefP22_24x_0" localSheetId="47">'Div 3'!$P$202:$P$204</definedName>
    <definedName name="OSRRefP22_24x_0" localSheetId="2">Summary!$P$231</definedName>
    <definedName name="OSRRefP22_25x_0" localSheetId="47">'Div 3'!$P$206</definedName>
    <definedName name="OSRRefP22_25x_0" localSheetId="2">Summary!$P$233:$P$235</definedName>
    <definedName name="OSRRefP22_26x_0" localSheetId="2">Summary!$P$237</definedName>
    <definedName name="OSRRefP22_2x_0" localSheetId="40">'200'!$P$24</definedName>
    <definedName name="OSRRefP22_2x_0" localSheetId="41">'201'!$P$42</definedName>
    <definedName name="OSRRefP22_2x_0" localSheetId="42">'202'!$P$42</definedName>
    <definedName name="OSRRefP22_2x_0" localSheetId="43">'203'!$P$42</definedName>
    <definedName name="OSRRefP22_2x_0" localSheetId="44">'204'!$P$42</definedName>
    <definedName name="OSRRefP22_2x_0" localSheetId="45">'205'!$P$41</definedName>
    <definedName name="OSRRefP22_2x_0" localSheetId="46">'206'!$P$41</definedName>
    <definedName name="OSRRefP22_2x_0" localSheetId="48">'300'!$P$128</definedName>
    <definedName name="OSRRefP22_2x_0" localSheetId="49">'300 &amp; 317'!$P$150</definedName>
    <definedName name="OSRRefP22_2x_0" localSheetId="50">'301'!$P$41:$P$42</definedName>
    <definedName name="OSRRefP22_2x_0" localSheetId="52">'307'!$P$56</definedName>
    <definedName name="OSRRefP22_2x_0" localSheetId="53">'308'!$P$74</definedName>
    <definedName name="OSRRefP22_2x_0" localSheetId="64">'309'!$P$42</definedName>
    <definedName name="OSRRefP22_2x_0" localSheetId="63">'310'!$P$49</definedName>
    <definedName name="OSRRefP22_2x_0" localSheetId="71">'310 &amp; 491'!$P$52</definedName>
    <definedName name="OSRRefP22_2x_0" localSheetId="54">'311'!$P$73</definedName>
    <definedName name="OSRRefP22_2x_0" localSheetId="65">'313'!$P$44</definedName>
    <definedName name="OSRRefP22_2x_0" localSheetId="57">'315'!$P$93</definedName>
    <definedName name="OSRRefP22_2x_0" localSheetId="60">'316'!$P$51</definedName>
    <definedName name="OSRRefP22_2x_0" localSheetId="62">'317'!$P$71</definedName>
    <definedName name="OSRRefP22_2x_0" localSheetId="66">'321'!$P$46</definedName>
    <definedName name="OSRRefP22_2x_0" localSheetId="67">'322'!$P$43</definedName>
    <definedName name="OSRRefP22_2x_0" localSheetId="68">'325'!$P$44</definedName>
    <definedName name="OSRRefP22_2x_0" localSheetId="58">'326'!$P$62</definedName>
    <definedName name="OSRRefP22_2x_0" localSheetId="51">'330'!$P$56</definedName>
    <definedName name="OSRRefP22_2x_0" localSheetId="56">'331'!$P$93</definedName>
    <definedName name="OSRRefP22_2x_0" localSheetId="59">'332'!$P$51</definedName>
    <definedName name="OSRRefP22_2x_0" localSheetId="73">'405'!$P$43</definedName>
    <definedName name="OSRRefP22_2x_0" localSheetId="74">'406'!$P$24</definedName>
    <definedName name="OSRRefP22_2x_0" localSheetId="77">'411'!$P$41</definedName>
    <definedName name="OSRRefP22_2x_0" localSheetId="78">'412'!$P$42</definedName>
    <definedName name="OSRRefP22_2x_0" localSheetId="80">'413'!$P$44</definedName>
    <definedName name="OSRRefP22_2x_0" localSheetId="81">'414'!$P$45</definedName>
    <definedName name="OSRRefP22_2x_0" localSheetId="82">'415'!$P$48</definedName>
    <definedName name="OSRRefP22_2x_0" localSheetId="83">'418'!$P$43</definedName>
    <definedName name="OSRRefP22_2x_0" localSheetId="84">'423'!$P$40</definedName>
    <definedName name="OSRRefP22_2x_0" localSheetId="85">'424'!$P$24</definedName>
    <definedName name="OSRRefP22_2x_0" localSheetId="86">'425'!$P$28</definedName>
    <definedName name="OSRRefP22_2x_0" localSheetId="89">'430'!$P$41</definedName>
    <definedName name="OSRRefP22_2x_0" localSheetId="90">'433'!$P$49</definedName>
    <definedName name="OSRRefP22_2x_0" localSheetId="92">'444'!$P$49</definedName>
    <definedName name="OSRRefP22_2x_0" localSheetId="93">'450'!$P$45</definedName>
    <definedName name="OSRRefP22_2x_0" localSheetId="72">'491'!$P$49</definedName>
    <definedName name="OSRRefP22_2x_0" localSheetId="88">'492'!$P$49</definedName>
    <definedName name="OSRRefP22_2x_0" localSheetId="95">'501'!$P$43</definedName>
    <definedName name="OSRRefP22_2x_0" localSheetId="39">'Div 2'!$P$44</definedName>
    <definedName name="OSRRefP22_2x_0" localSheetId="47">'Div 3'!$P$132</definedName>
    <definedName name="OSRRefP22_2x_0" localSheetId="70">'Div 4'!$P$52</definedName>
    <definedName name="OSRRefP22_2x_0" localSheetId="94">'Div 5'!$P$43</definedName>
    <definedName name="OSRRefP22_2x_0" localSheetId="61">'Div 6'!$P$71</definedName>
    <definedName name="OSRRefP22_2x_0" localSheetId="2">Summary!$P$158</definedName>
    <definedName name="OSRRefP22_3x_0" localSheetId="40">'200'!$P$26:$P$27</definedName>
    <definedName name="OSRRefP22_3x_0" localSheetId="41">'201'!$P$44</definedName>
    <definedName name="OSRRefP22_3x_0" localSheetId="42">'202'!$P$44</definedName>
    <definedName name="OSRRefP22_3x_0" localSheetId="43">'203'!$P$44</definedName>
    <definedName name="OSRRefP22_3x_0" localSheetId="44">'204'!$P$44:$P$45</definedName>
    <definedName name="OSRRefP22_3x_0" localSheetId="45">'205'!$P$43</definedName>
    <definedName name="OSRRefP22_3x_0" localSheetId="46">'206'!$P$43</definedName>
    <definedName name="OSRRefP22_3x_0" localSheetId="48">'300'!$P$130:$P$131</definedName>
    <definedName name="OSRRefP22_3x_0" localSheetId="49">'300 &amp; 317'!$P$152:$P$153</definedName>
    <definedName name="OSRRefP22_3x_0" localSheetId="50">'301'!$P$44</definedName>
    <definedName name="OSRRefP22_3x_0" localSheetId="52">'307'!$P$58</definedName>
    <definedName name="OSRRefP22_3x_0" localSheetId="53">'308'!$P$76</definedName>
    <definedName name="OSRRefP22_3x_0" localSheetId="64">'309'!$P$44</definedName>
    <definedName name="OSRRefP22_3x_0" localSheetId="63">'310'!$P$51</definedName>
    <definedName name="OSRRefP22_3x_0" localSheetId="71">'310 &amp; 491'!$P$54</definedName>
    <definedName name="OSRRefP22_3x_0" localSheetId="54">'311'!$P$75</definedName>
    <definedName name="OSRRefP22_3x_0" localSheetId="65">'313'!$P$46</definedName>
    <definedName name="OSRRefP22_3x_0" localSheetId="57">'315'!$P$95</definedName>
    <definedName name="OSRRefP22_3x_0" localSheetId="60">'316'!$P$53</definedName>
    <definedName name="OSRRefP22_3x_0" localSheetId="62">'317'!$P$73</definedName>
    <definedName name="OSRRefP22_3x_0" localSheetId="66">'321'!$P$48</definedName>
    <definedName name="OSRRefP22_3x_0" localSheetId="67">'322'!$P$45</definedName>
    <definedName name="OSRRefP22_3x_0" localSheetId="68">'325'!$P$46</definedName>
    <definedName name="OSRRefP22_3x_0" localSheetId="58">'326'!$P$64</definedName>
    <definedName name="OSRRefP22_3x_0" localSheetId="51">'330'!$P$58</definedName>
    <definedName name="OSRRefP22_3x_0" localSheetId="56">'331'!$P$95</definedName>
    <definedName name="OSRRefP22_3x_0" localSheetId="59">'332'!$P$53</definedName>
    <definedName name="OSRRefP22_3x_0" localSheetId="73">'405'!$P$45</definedName>
    <definedName name="OSRRefP22_3x_0" localSheetId="74">'406'!$P$26</definedName>
    <definedName name="OSRRefP22_3x_0" localSheetId="77">'411'!$P$43</definedName>
    <definedName name="OSRRefP22_3x_0" localSheetId="78">'412'!$P$44</definedName>
    <definedName name="OSRRefP22_3x_0" localSheetId="80">'413'!$P$46</definedName>
    <definedName name="OSRRefP22_3x_0" localSheetId="81">'414'!$P$47</definedName>
    <definedName name="OSRRefP22_3x_0" localSheetId="82">'415'!$P$50</definedName>
    <definedName name="OSRRefP22_3x_0" localSheetId="83">'418'!$P$45</definedName>
    <definedName name="OSRRefP22_3x_0" localSheetId="84">'423'!$P$42:$P$43</definedName>
    <definedName name="OSRRefP22_3x_0" localSheetId="85">'424'!$P$26</definedName>
    <definedName name="OSRRefP22_3x_0" localSheetId="86">'425'!$P$30</definedName>
    <definedName name="OSRRefP22_3x_0" localSheetId="89">'430'!$P$43:$P$45</definedName>
    <definedName name="OSRRefP22_3x_0" localSheetId="90">'433'!$P$51</definedName>
    <definedName name="OSRRefP22_3x_0" localSheetId="92">'444'!$P$51</definedName>
    <definedName name="OSRRefP22_3x_0" localSheetId="93">'450'!$P$47</definedName>
    <definedName name="OSRRefP22_3x_0" localSheetId="72">'491'!$P$51</definedName>
    <definedName name="OSRRefP22_3x_0" localSheetId="88">'492'!$P$51</definedName>
    <definedName name="OSRRefP22_3x_0" localSheetId="95">'501'!$P$45</definedName>
    <definedName name="OSRRefP22_3x_0" localSheetId="39">'Div 2'!$P$46</definedName>
    <definedName name="OSRRefP22_3x_0" localSheetId="47">'Div 3'!$P$134:$P$135</definedName>
    <definedName name="OSRRefP22_3x_0" localSheetId="70">'Div 4'!$P$54</definedName>
    <definedName name="OSRRefP22_3x_0" localSheetId="94">'Div 5'!$P$45</definedName>
    <definedName name="OSRRefP22_3x_0" localSheetId="61">'Div 6'!$P$73</definedName>
    <definedName name="OSRRefP22_3x_0" localSheetId="2">Summary!$P$160:$P$161</definedName>
    <definedName name="OSRRefP22_4x_0" localSheetId="41">'201'!$P$46</definedName>
    <definedName name="OSRRefP22_4x_0" localSheetId="42">'202'!$P$46:$P$47</definedName>
    <definedName name="OSRRefP22_4x_0" localSheetId="43">'203'!$P$46</definedName>
    <definedName name="OSRRefP22_4x_0" localSheetId="44">'204'!$P$47</definedName>
    <definedName name="OSRRefP22_4x_0" localSheetId="45">'205'!$P$45:$P$46</definedName>
    <definedName name="OSRRefP22_4x_0" localSheetId="46">'206'!$P$45</definedName>
    <definedName name="OSRRefP22_4x_0" localSheetId="48">'300'!$P$133</definedName>
    <definedName name="OSRRefP22_4x_0" localSheetId="49">'300 &amp; 317'!$P$155</definedName>
    <definedName name="OSRRefP22_4x_0" localSheetId="50">'301'!$P$46:$P$47</definedName>
    <definedName name="OSRRefP22_4x_0" localSheetId="52">'307'!$P$60</definedName>
    <definedName name="OSRRefP22_4x_0" localSheetId="53">'308'!$P$78</definedName>
    <definedName name="OSRRefP22_4x_0" localSheetId="64">'309'!$P$46</definedName>
    <definedName name="OSRRefP22_4x_0" localSheetId="63">'310'!$P$53</definedName>
    <definedName name="OSRRefP22_4x_0" localSheetId="71">'310 &amp; 491'!$P$56</definedName>
    <definedName name="OSRRefP22_4x_0" localSheetId="54">'311'!$P$77</definedName>
    <definedName name="OSRRefP22_4x_0" localSheetId="65">'313'!$P$48</definedName>
    <definedName name="OSRRefP22_4x_0" localSheetId="57">'315'!$P$97</definedName>
    <definedName name="OSRRefP22_4x_0" localSheetId="60">'316'!$P$55</definedName>
    <definedName name="OSRRefP22_4x_0" localSheetId="62">'317'!$P$75</definedName>
    <definedName name="OSRRefP22_4x_0" localSheetId="66">'321'!$P$50</definedName>
    <definedName name="OSRRefP22_4x_0" localSheetId="67">'322'!$P$47</definedName>
    <definedName name="OSRRefP22_4x_0" localSheetId="68">'325'!$P$48</definedName>
    <definedName name="OSRRefP22_4x_0" localSheetId="58">'326'!$P$66</definedName>
    <definedName name="OSRRefP22_4x_0" localSheetId="51">'330'!$P$60</definedName>
    <definedName name="OSRRefP22_4x_0" localSheetId="56">'331'!$P$97</definedName>
    <definedName name="OSRRefP22_4x_0" localSheetId="59">'332'!$P$55</definedName>
    <definedName name="OSRRefP22_4x_0" localSheetId="73">'405'!$P$47:$P$48</definedName>
    <definedName name="OSRRefP22_4x_0" localSheetId="74">'406'!$P$28</definedName>
    <definedName name="OSRRefP22_4x_0" localSheetId="77">'411'!$P$45:$P$46</definedName>
    <definedName name="OSRRefP22_4x_0" localSheetId="78">'412'!$P$46:$P$47</definedName>
    <definedName name="OSRRefP22_4x_0" localSheetId="80">'413'!$P$48</definedName>
    <definedName name="OSRRefP22_4x_0" localSheetId="81">'414'!$P$49</definedName>
    <definedName name="OSRRefP22_4x_0" localSheetId="82">'415'!$P$52</definedName>
    <definedName name="OSRRefP22_4x_0" localSheetId="83">'418'!$P$47:$P$48</definedName>
    <definedName name="OSRRefP22_4x_0" localSheetId="84">'423'!$P$45</definedName>
    <definedName name="OSRRefP22_4x_0" localSheetId="86">'425'!$P$32</definedName>
    <definedName name="OSRRefP22_4x_0" localSheetId="89">'430'!$P$47:$P$48</definedName>
    <definedName name="OSRRefP22_4x_0" localSheetId="90">'433'!$P$53</definedName>
    <definedName name="OSRRefP22_4x_0" localSheetId="92">'444'!$P$53</definedName>
    <definedName name="OSRRefP22_4x_0" localSheetId="93">'450'!$P$49</definedName>
    <definedName name="OSRRefP22_4x_0" localSheetId="72">'491'!$P$53</definedName>
    <definedName name="OSRRefP22_4x_0" localSheetId="88">'492'!$P$53</definedName>
    <definedName name="OSRRefP22_4x_0" localSheetId="95">'501'!$P$47</definedName>
    <definedName name="OSRRefP22_4x_0" localSheetId="39">'Div 2'!$P$48</definedName>
    <definedName name="OSRRefP22_4x_0" localSheetId="47">'Div 3'!$P$137</definedName>
    <definedName name="OSRRefP22_4x_0" localSheetId="70">'Div 4'!$P$56</definedName>
    <definedName name="OSRRefP22_4x_0" localSheetId="94">'Div 5'!$P$47</definedName>
    <definedName name="OSRRefP22_4x_0" localSheetId="61">'Div 6'!$P$75</definedName>
    <definedName name="OSRRefP22_4x_0" localSheetId="2">Summary!$P$163</definedName>
    <definedName name="OSRRefP22_5x_0" localSheetId="41">'201'!$P$48</definedName>
    <definedName name="OSRRefP22_5x_0" localSheetId="42">'202'!$P$49</definedName>
    <definedName name="OSRRefP22_5x_0" localSheetId="43">'203'!$P$48</definedName>
    <definedName name="OSRRefP22_5x_0" localSheetId="44">'204'!$P$49</definedName>
    <definedName name="OSRRefP22_5x_0" localSheetId="45">'205'!$P$48</definedName>
    <definedName name="OSRRefP22_5x_0" localSheetId="46">'206'!$P$47</definedName>
    <definedName name="OSRRefP22_5x_0" localSheetId="48">'300'!$P$135:$P$136</definedName>
    <definedName name="OSRRefP22_5x_0" localSheetId="49">'300 &amp; 317'!$P$157:$P$158</definedName>
    <definedName name="OSRRefP22_5x_0" localSheetId="50">'301'!$P$49</definedName>
    <definedName name="OSRRefP22_5x_0" localSheetId="52">'307'!$P$62</definedName>
    <definedName name="OSRRefP22_5x_0" localSheetId="53">'308'!$P$80</definedName>
    <definedName name="OSRRefP22_5x_0" localSheetId="64">'309'!$P$48</definedName>
    <definedName name="OSRRefP22_5x_0" localSheetId="63">'310'!$P$55:$P$56</definedName>
    <definedName name="OSRRefP22_5x_0" localSheetId="71">'310 &amp; 491'!$P$58:$P$60</definedName>
    <definedName name="OSRRefP22_5x_0" localSheetId="54">'311'!$P$79</definedName>
    <definedName name="OSRRefP22_5x_0" localSheetId="65">'313'!$P$50</definedName>
    <definedName name="OSRRefP22_5x_0" localSheetId="57">'315'!$P$99</definedName>
    <definedName name="OSRRefP22_5x_0" localSheetId="60">'316'!$P$57</definedName>
    <definedName name="OSRRefP22_5x_0" localSheetId="62">'317'!$P$77</definedName>
    <definedName name="OSRRefP22_5x_0" localSheetId="66">'321'!$P$52</definedName>
    <definedName name="OSRRefP22_5x_0" localSheetId="67">'322'!$P$49</definedName>
    <definedName name="OSRRefP22_5x_0" localSheetId="68">'325'!$P$50:$P$51</definedName>
    <definedName name="OSRRefP22_5x_0" localSheetId="58">'326'!$P$68</definedName>
    <definedName name="OSRRefP22_5x_0" localSheetId="51">'330'!$P$62</definedName>
    <definedName name="OSRRefP22_5x_0" localSheetId="56">'331'!$P$99</definedName>
    <definedName name="OSRRefP22_5x_0" localSheetId="59">'332'!$P$57</definedName>
    <definedName name="OSRRefP22_5x_0" localSheetId="73">'405'!$P$50</definedName>
    <definedName name="OSRRefP22_5x_0" localSheetId="77">'411'!$P$48</definedName>
    <definedName name="OSRRefP22_5x_0" localSheetId="78">'412'!$P$49</definedName>
    <definedName name="OSRRefP22_5x_0" localSheetId="80">'413'!$P$50</definedName>
    <definedName name="OSRRefP22_5x_0" localSheetId="81">'414'!$P$51</definedName>
    <definedName name="OSRRefP22_5x_0" localSheetId="82">'415'!$P$54:$P$55</definedName>
    <definedName name="OSRRefP22_5x_0" localSheetId="83">'418'!$P$50</definedName>
    <definedName name="OSRRefP22_5x_0" localSheetId="84">'423'!$P$47</definedName>
    <definedName name="OSRRefP22_5x_0" localSheetId="89">'430'!$P$50</definedName>
    <definedName name="OSRRefP22_5x_0" localSheetId="90">'433'!$P$55</definedName>
    <definedName name="OSRRefP22_5x_0" localSheetId="92">'444'!$P$55</definedName>
    <definedName name="OSRRefP22_5x_0" localSheetId="93">'450'!$P$51</definedName>
    <definedName name="OSRRefP22_5x_0" localSheetId="72">'491'!$P$55:$P$57</definedName>
    <definedName name="OSRRefP22_5x_0" localSheetId="88">'492'!$P$55</definedName>
    <definedName name="OSRRefP22_5x_0" localSheetId="95">'501'!$P$49:$P$50</definedName>
    <definedName name="OSRRefP22_5x_0" localSheetId="39">'Div 2'!$P$50:$P$51</definedName>
    <definedName name="OSRRefP22_5x_0" localSheetId="47">'Div 3'!$P$139:$P$140</definedName>
    <definedName name="OSRRefP22_5x_0" localSheetId="70">'Div 4'!$P$58:$P$60</definedName>
    <definedName name="OSRRefP22_5x_0" localSheetId="94">'Div 5'!$P$49:$P$50</definedName>
    <definedName name="OSRRefP22_5x_0" localSheetId="61">'Div 6'!$P$77</definedName>
    <definedName name="OSRRefP22_5x_0" localSheetId="2">Summary!$P$165:$P$167</definedName>
    <definedName name="OSRRefP22_6x_0" localSheetId="41">'201'!$P$50</definedName>
    <definedName name="OSRRefP22_6x_0" localSheetId="42">'202'!$P$51</definedName>
    <definedName name="OSRRefP22_6x_0" localSheetId="43">'203'!$P$50</definedName>
    <definedName name="OSRRefP22_6x_0" localSheetId="44">'204'!$P$51:$P$53</definedName>
    <definedName name="OSRRefP22_6x_0" localSheetId="45">'205'!$P$50:$P$51</definedName>
    <definedName name="OSRRefP22_6x_0" localSheetId="46">'206'!$P$49</definedName>
    <definedName name="OSRRefP22_6x_0" localSheetId="48">'300'!$P$138</definedName>
    <definedName name="OSRRefP22_6x_0" localSheetId="49">'300 &amp; 317'!$P$160</definedName>
    <definedName name="OSRRefP22_6x_0" localSheetId="50">'301'!$P$51</definedName>
    <definedName name="OSRRefP22_6x_0" localSheetId="52">'307'!$P$64</definedName>
    <definedName name="OSRRefP22_6x_0" localSheetId="53">'308'!$P$82</definedName>
    <definedName name="OSRRefP22_6x_0" localSheetId="64">'309'!$P$50:$P$51</definedName>
    <definedName name="OSRRefP22_6x_0" localSheetId="63">'310'!$P$58</definedName>
    <definedName name="OSRRefP22_6x_0" localSheetId="71">'310 &amp; 491'!$P$62</definedName>
    <definedName name="OSRRefP22_6x_0" localSheetId="54">'311'!$P$81</definedName>
    <definedName name="OSRRefP22_6x_0" localSheetId="65">'313'!$P$52:$P$53</definedName>
    <definedName name="OSRRefP22_6x_0" localSheetId="57">'315'!$P$101</definedName>
    <definedName name="OSRRefP22_6x_0" localSheetId="60">'316'!$P$59:$P$60</definedName>
    <definedName name="OSRRefP22_6x_0" localSheetId="62">'317'!$P$79:$P$80</definedName>
    <definedName name="OSRRefP22_6x_0" localSheetId="66">'321'!$P$54</definedName>
    <definedName name="OSRRefP22_6x_0" localSheetId="67">'322'!$P$51</definedName>
    <definedName name="OSRRefP22_6x_0" localSheetId="68">'325'!$P$53</definedName>
    <definedName name="OSRRefP22_6x_0" localSheetId="58">'326'!$P$70</definedName>
    <definedName name="OSRRefP22_6x_0" localSheetId="51">'330'!$P$64</definedName>
    <definedName name="OSRRefP22_6x_0" localSheetId="56">'331'!$P$101</definedName>
    <definedName name="OSRRefP22_6x_0" localSheetId="59">'332'!$P$59:$P$60</definedName>
    <definedName name="OSRRefP22_6x_0" localSheetId="73">'405'!$P$52</definedName>
    <definedName name="OSRRefP22_6x_0" localSheetId="77">'411'!$P$50</definedName>
    <definedName name="OSRRefP22_6x_0" localSheetId="78">'412'!$P$51</definedName>
    <definedName name="OSRRefP22_6x_0" localSheetId="80">'413'!$P$52</definedName>
    <definedName name="OSRRefP22_6x_0" localSheetId="81">'414'!$P$53</definedName>
    <definedName name="OSRRefP22_6x_0" localSheetId="82">'415'!$P$57</definedName>
    <definedName name="OSRRefP22_6x_0" localSheetId="83">'418'!$P$52</definedName>
    <definedName name="OSRRefP22_6x_0" localSheetId="84">'423'!$P$49</definedName>
    <definedName name="OSRRefP22_6x_0" localSheetId="89">'430'!$P$52</definedName>
    <definedName name="OSRRefP22_6x_0" localSheetId="90">'433'!$P$57</definedName>
    <definedName name="OSRRefP22_6x_0" localSheetId="92">'444'!$P$57</definedName>
    <definedName name="OSRRefP22_6x_0" localSheetId="93">'450'!$P$53</definedName>
    <definedName name="OSRRefP22_6x_0" localSheetId="72">'491'!$P$59</definedName>
    <definedName name="OSRRefP22_6x_0" localSheetId="88">'492'!$P$57</definedName>
    <definedName name="OSRRefP22_6x_0" localSheetId="95">'501'!$P$52</definedName>
    <definedName name="OSRRefP22_6x_0" localSheetId="39">'Div 2'!$P$53</definedName>
    <definedName name="OSRRefP22_6x_0" localSheetId="47">'Div 3'!$P$142</definedName>
    <definedName name="OSRRefP22_6x_0" localSheetId="70">'Div 4'!$P$62</definedName>
    <definedName name="OSRRefP22_6x_0" localSheetId="94">'Div 5'!$P$52</definedName>
    <definedName name="OSRRefP22_6x_0" localSheetId="61">'Div 6'!$P$79:$P$80</definedName>
    <definedName name="OSRRefP22_6x_0" localSheetId="2">Summary!$P$169</definedName>
    <definedName name="OSRRefP22_7x_0" localSheetId="41">'201'!$P$52</definedName>
    <definedName name="OSRRefP22_7x_0" localSheetId="42">'202'!$P$53:$P$54</definedName>
    <definedName name="OSRRefP22_7x_0" localSheetId="43">'203'!$P$52:$P$53</definedName>
    <definedName name="OSRRefP22_7x_0" localSheetId="44">'204'!$P$55:$P$56</definedName>
    <definedName name="OSRRefP22_7x_0" localSheetId="45">'205'!$P$53</definedName>
    <definedName name="OSRRefP22_7x_0" localSheetId="46">'206'!$P$51</definedName>
    <definedName name="OSRRefP22_7x_0" localSheetId="48">'300'!$P$140:$P$141</definedName>
    <definedName name="OSRRefP22_7x_0" localSheetId="49">'300 &amp; 317'!$P$162:$P$163</definedName>
    <definedName name="OSRRefP22_7x_0" localSheetId="50">'301'!$P$53</definedName>
    <definedName name="OSRRefP22_7x_0" localSheetId="52">'307'!$P$66</definedName>
    <definedName name="OSRRefP22_7x_0" localSheetId="53">'308'!$P$84:$P$85</definedName>
    <definedName name="OSRRefP22_7x_0" localSheetId="64">'309'!$P$53:$P$54</definedName>
    <definedName name="OSRRefP22_7x_0" localSheetId="63">'310'!$P$60</definedName>
    <definedName name="OSRRefP22_7x_0" localSheetId="71">'310 &amp; 491'!$P$64</definedName>
    <definedName name="OSRRefP22_7x_0" localSheetId="54">'311'!$P$83:$P$84</definedName>
    <definedName name="OSRRefP22_7x_0" localSheetId="65">'313'!$P$55</definedName>
    <definedName name="OSRRefP22_7x_0" localSheetId="57">'315'!$P$103:$P$104</definedName>
    <definedName name="OSRRefP22_7x_0" localSheetId="60">'316'!$P$62</definedName>
    <definedName name="OSRRefP22_7x_0" localSheetId="62">'317'!$P$82</definedName>
    <definedName name="OSRRefP22_7x_0" localSheetId="66">'321'!$P$56:$P$57</definedName>
    <definedName name="OSRRefP22_7x_0" localSheetId="67">'322'!$P$53:$P$54</definedName>
    <definedName name="OSRRefP22_7x_0" localSheetId="68">'325'!$P$55</definedName>
    <definedName name="OSRRefP22_7x_0" localSheetId="58">'326'!$P$72</definedName>
    <definedName name="OSRRefP22_7x_0" localSheetId="51">'330'!$P$66</definedName>
    <definedName name="OSRRefP22_7x_0" localSheetId="56">'331'!$P$103</definedName>
    <definedName name="OSRRefP22_7x_0" localSheetId="59">'332'!$P$62</definedName>
    <definedName name="OSRRefP22_7x_0" localSheetId="73">'405'!$P$54</definedName>
    <definedName name="OSRRefP22_7x_0" localSheetId="77">'411'!$P$52</definedName>
    <definedName name="OSRRefP22_7x_0" localSheetId="78">'412'!$P$53</definedName>
    <definedName name="OSRRefP22_7x_0" localSheetId="80">'413'!$P$54:$P$56</definedName>
    <definedName name="OSRRefP22_7x_0" localSheetId="81">'414'!$P$55</definedName>
    <definedName name="OSRRefP22_7x_0" localSheetId="82">'415'!$P$59</definedName>
    <definedName name="OSRRefP22_7x_0" localSheetId="83">'418'!$P$54</definedName>
    <definedName name="OSRRefP22_7x_0" localSheetId="90">'433'!$P$59</definedName>
    <definedName name="OSRRefP22_7x_0" localSheetId="92">'444'!$P$59</definedName>
    <definedName name="OSRRefP22_7x_0" localSheetId="93">'450'!$P$55</definedName>
    <definedName name="OSRRefP22_7x_0" localSheetId="72">'491'!$P$61</definedName>
    <definedName name="OSRRefP22_7x_0" localSheetId="88">'492'!$P$59</definedName>
    <definedName name="OSRRefP22_7x_0" localSheetId="95">'501'!$P$54</definedName>
    <definedName name="OSRRefP22_7x_0" localSheetId="39">'Div 2'!$P$55</definedName>
    <definedName name="OSRRefP22_7x_0" localSheetId="47">'Div 3'!$P$144:$P$145</definedName>
    <definedName name="OSRRefP22_7x_0" localSheetId="70">'Div 4'!$P$64</definedName>
    <definedName name="OSRRefP22_7x_0" localSheetId="94">'Div 5'!$P$54</definedName>
    <definedName name="OSRRefP22_7x_0" localSheetId="61">'Div 6'!$P$82</definedName>
    <definedName name="OSRRefP22_7x_0" localSheetId="2">Summary!$P$171:$P$172</definedName>
    <definedName name="OSRRefP22_8x_0" localSheetId="41">'201'!$P$54</definedName>
    <definedName name="OSRRefP22_8x_0" localSheetId="42">'202'!$P$56</definedName>
    <definedName name="OSRRefP22_8x_0" localSheetId="43">'203'!$P$55:$P$57</definedName>
    <definedName name="OSRRefP22_8x_0" localSheetId="44">'204'!$P$58</definedName>
    <definedName name="OSRRefP22_8x_0" localSheetId="46">'206'!$P$53:$P$54</definedName>
    <definedName name="OSRRefP22_8x_0" localSheetId="48">'300'!$P$143</definedName>
    <definedName name="OSRRefP22_8x_0" localSheetId="49">'300 &amp; 317'!$P$165</definedName>
    <definedName name="OSRRefP22_8x_0" localSheetId="50">'301'!$P$55</definedName>
    <definedName name="OSRRefP22_8x_0" localSheetId="52">'307'!$P$68</definedName>
    <definedName name="OSRRefP22_8x_0" localSheetId="53">'308'!$P$87</definedName>
    <definedName name="OSRRefP22_8x_0" localSheetId="64">'309'!$P$56:$P$57</definedName>
    <definedName name="OSRRefP22_8x_0" localSheetId="63">'310'!$P$62</definedName>
    <definedName name="OSRRefP22_8x_0" localSheetId="71">'310 &amp; 491'!$P$66:$P$67</definedName>
    <definedName name="OSRRefP22_8x_0" localSheetId="54">'311'!$P$86</definedName>
    <definedName name="OSRRefP22_8x_0" localSheetId="65">'313'!$P$57:$P$59</definedName>
    <definedName name="OSRRefP22_8x_0" localSheetId="57">'315'!$P$106</definedName>
    <definedName name="OSRRefP22_8x_0" localSheetId="60">'316'!$P$64</definedName>
    <definedName name="OSRRefP22_8x_0" localSheetId="62">'317'!$P$84</definedName>
    <definedName name="OSRRefP22_8x_0" localSheetId="66">'321'!$P$59</definedName>
    <definedName name="OSRRefP22_8x_0" localSheetId="67">'322'!$P$56:$P$57</definedName>
    <definedName name="OSRRefP22_8x_0" localSheetId="68">'325'!$P$57</definedName>
    <definedName name="OSRRefP22_8x_0" localSheetId="58">'326'!$P$74:$P$75</definedName>
    <definedName name="OSRRefP22_8x_0" localSheetId="51">'330'!$P$68</definedName>
    <definedName name="OSRRefP22_8x_0" localSheetId="56">'331'!$P$105:$P$106</definedName>
    <definedName name="OSRRefP22_8x_0" localSheetId="59">'332'!$P$64</definedName>
    <definedName name="OSRRefP22_8x_0" localSheetId="73">'405'!$P$56:$P$57</definedName>
    <definedName name="OSRRefP22_8x_0" localSheetId="77">'411'!$P$54:$P$55</definedName>
    <definedName name="OSRRefP22_8x_0" localSheetId="78">'412'!$P$55:$P$56</definedName>
    <definedName name="OSRRefP22_8x_0" localSheetId="80">'413'!$P$58:$P$59</definedName>
    <definedName name="OSRRefP22_8x_0" localSheetId="81">'414'!$P$57:$P$58</definedName>
    <definedName name="OSRRefP22_8x_0" localSheetId="82">'415'!$P$61</definedName>
    <definedName name="OSRRefP22_8x_0" localSheetId="83">'418'!$P$56:$P$58</definedName>
    <definedName name="OSRRefP22_8x_0" localSheetId="90">'433'!$P$61</definedName>
    <definedName name="OSRRefP22_8x_0" localSheetId="92">'444'!$P$61</definedName>
    <definedName name="OSRRefP22_8x_0" localSheetId="93">'450'!$P$57</definedName>
    <definedName name="OSRRefP22_8x_0" localSheetId="72">'491'!$P$63</definedName>
    <definedName name="OSRRefP22_8x_0" localSheetId="88">'492'!$P$61</definedName>
    <definedName name="OSRRefP22_8x_0" localSheetId="95">'501'!$P$56</definedName>
    <definedName name="OSRRefP22_8x_0" localSheetId="39">'Div 2'!$P$57</definedName>
    <definedName name="OSRRefP22_8x_0" localSheetId="47">'Div 3'!$P$147</definedName>
    <definedName name="OSRRefP22_8x_0" localSheetId="70">'Div 4'!$P$66</definedName>
    <definedName name="OSRRefP22_8x_0" localSheetId="94">'Div 5'!$P$56</definedName>
    <definedName name="OSRRefP22_8x_0" localSheetId="61">'Div 6'!$P$84</definedName>
    <definedName name="OSRRefP22_8x_0" localSheetId="2">Summary!$P$174</definedName>
    <definedName name="OSRRefP22_9x_0" localSheetId="41">'201'!$P$56</definedName>
    <definedName name="OSRRefP22_9x_0" localSheetId="42">'202'!$P$58:$P$60</definedName>
    <definedName name="OSRRefP22_9x_0" localSheetId="43">'203'!$P$59</definedName>
    <definedName name="OSRRefP22_9x_0" localSheetId="44">'204'!$P$60:$P$61</definedName>
    <definedName name="OSRRefP22_9x_0" localSheetId="46">'206'!$P$56</definedName>
    <definedName name="OSRRefP22_9x_0" localSheetId="48">'300'!$P$145</definedName>
    <definedName name="OSRRefP22_9x_0" localSheetId="49">'300 &amp; 317'!$P$167</definedName>
    <definedName name="OSRRefP22_9x_0" localSheetId="50">'301'!$P$57</definedName>
    <definedName name="OSRRefP22_9x_0" localSheetId="52">'307'!$P$70:$P$71</definedName>
    <definedName name="OSRRefP22_9x_0" localSheetId="53">'308'!$P$89:$P$90</definedName>
    <definedName name="OSRRefP22_9x_0" localSheetId="64">'309'!$P$59</definedName>
    <definedName name="OSRRefP22_9x_0" localSheetId="63">'310'!$P$64</definedName>
    <definedName name="OSRRefP22_9x_0" localSheetId="71">'310 &amp; 491'!$P$69</definedName>
    <definedName name="OSRRefP22_9x_0" localSheetId="54">'311'!$P$88:$P$89</definedName>
    <definedName name="OSRRefP22_9x_0" localSheetId="65">'313'!$P$61:$P$62</definedName>
    <definedName name="OSRRefP22_9x_0" localSheetId="57">'315'!$P$108</definedName>
    <definedName name="OSRRefP22_9x_0" localSheetId="60">'316'!$P$66:$P$70</definedName>
    <definedName name="OSRRefP22_9x_0" localSheetId="62">'317'!$P$86</definedName>
    <definedName name="OSRRefP22_9x_0" localSheetId="66">'321'!$P$61:$P$62</definedName>
    <definedName name="OSRRefP22_9x_0" localSheetId="67">'322'!$P$59:$P$62</definedName>
    <definedName name="OSRRefP22_9x_0" localSheetId="68">'325'!$P$59:$P$62</definedName>
    <definedName name="OSRRefP22_9x_0" localSheetId="58">'326'!$P$77</definedName>
    <definedName name="OSRRefP22_9x_0" localSheetId="51">'330'!$P$70:$P$71</definedName>
    <definedName name="OSRRefP22_9x_0" localSheetId="56">'331'!$P$108:$P$109</definedName>
    <definedName name="OSRRefP22_9x_0" localSheetId="59">'332'!$P$66:$P$70</definedName>
    <definedName name="OSRRefP22_9x_0" localSheetId="73">'405'!$P$59</definedName>
    <definedName name="OSRRefP22_9x_0" localSheetId="77">'411'!$P$57:$P$60</definedName>
    <definedName name="OSRRefP22_9x_0" localSheetId="78">'412'!$P$58</definedName>
    <definedName name="OSRRefP22_9x_0" localSheetId="80">'413'!$P$61:$P$68</definedName>
    <definedName name="OSRRefP22_9x_0" localSheetId="81">'414'!$P$60</definedName>
    <definedName name="OSRRefP22_9x_0" localSheetId="82">'415'!$P$63</definedName>
    <definedName name="OSRRefP22_9x_0" localSheetId="83">'418'!$P$60:$P$61</definedName>
    <definedName name="OSRRefP22_9x_0" localSheetId="90">'433'!$P$63</definedName>
    <definedName name="OSRRefP22_9x_0" localSheetId="92">'444'!$P$63</definedName>
    <definedName name="OSRRefP22_9x_0" localSheetId="93">'450'!$P$59</definedName>
    <definedName name="OSRRefP22_9x_0" localSheetId="72">'491'!$P$65</definedName>
    <definedName name="OSRRefP22_9x_0" localSheetId="88">'492'!$P$63</definedName>
    <definedName name="OSRRefP22_9x_0" localSheetId="95">'501'!$P$58:$P$60</definedName>
    <definedName name="OSRRefP22_9x_0" localSheetId="39">'Div 2'!$P$59:$P$60</definedName>
    <definedName name="OSRRefP22_9x_0" localSheetId="47">'Div 3'!$P$149</definedName>
    <definedName name="OSRRefP22_9x_0" localSheetId="70">'Div 4'!$P$68</definedName>
    <definedName name="OSRRefP22_9x_0" localSheetId="94">'Div 5'!$P$58:$P$60</definedName>
    <definedName name="OSRRefP22_9x_0" localSheetId="61">'Div 6'!$P$86</definedName>
    <definedName name="OSRRefP22_9x_0" localSheetId="2">Summary!$P$176</definedName>
    <definedName name="OSRRefP22x_0" localSheetId="40">'200'!$P$20,'200'!$P$22,'200'!$P$24,'200'!$P$26:$P$27</definedName>
    <definedName name="OSRRefP22x_0" localSheetId="41">'201'!$P$21:$P$29,'201'!$P$31:$P$40,'201'!$P$42,'201'!$P$44,'201'!$P$46,'201'!$P$48,'201'!$P$50,'201'!$P$52,'201'!$P$54,'201'!$P$56,'201'!$P$58:$P$59,'201'!$P$61,'201'!$P$63,'201'!$P$65:$P$67,'201'!$P$69,'201'!$P$71</definedName>
    <definedName name="OSRRefP22x_0" localSheetId="42">'202'!$P$21:$P$29,'202'!$P$31:$P$40,'202'!$P$42,'202'!$P$44,'202'!$P$46:$P$47,'202'!$P$49,'202'!$P$51,'202'!$P$53:$P$54,'202'!$P$56,'202'!$P$58:$P$60,'202'!$P$62,'202'!$P$64,'202'!$P$66</definedName>
    <definedName name="OSRRefP22x_0" localSheetId="43">'203'!$P$20:$P$29,'203'!$P$31:$P$40,'203'!$P$42,'203'!$P$44,'203'!$P$46,'203'!$P$48,'203'!$P$50,'203'!$P$52:$P$53,'203'!$P$55:$P$57,'203'!$P$59,'203'!$P$61,'203'!$P$63:$P$65,'203'!$P$67,'203'!$P$69</definedName>
    <definedName name="OSRRefP22x_0" localSheetId="44">'204'!$P$20:$P$29,'204'!$P$31:$P$40,'204'!$P$42,'204'!$P$44:$P$45,'204'!$P$47,'204'!$P$49,'204'!$P$51:$P$53,'204'!$P$55:$P$56,'204'!$P$58,'204'!$P$60:$P$61,'204'!$P$63</definedName>
    <definedName name="OSRRefP22x_0" localSheetId="45">'205'!$P$20:$P$28,'205'!$P$30:$P$39,'205'!$P$41,'205'!$P$43,'205'!$P$45:$P$46,'205'!$P$48,'205'!$P$50:$P$51,'205'!$P$53</definedName>
    <definedName name="OSRRefP22x_0" localSheetId="46">'206'!$P$20:$P$28,'206'!$P$30:$P$39,'206'!$P$41,'206'!$P$43,'206'!$P$45,'206'!$P$47,'206'!$P$49,'206'!$P$51,'206'!$P$53:$P$54,'206'!$P$56</definedName>
    <definedName name="OSRRefP22x_0" localSheetId="48">'300'!$P$106:$P$115,'300'!$P$117:$P$126,'300'!$P$128,'300'!$P$130:$P$131,'300'!$P$133,'300'!$P$135:$P$136,'300'!$P$138,'300'!$P$140:$P$141,'300'!$P$143,'300'!$P$145,'300'!$P$147:$P$148,'300'!$P$150:$P$152,'300'!$P$154,'300'!$P$156,'300'!$P$158,'300'!$P$160,'300'!$P$162:$P$165,'300'!$P$167:$P$170,'300'!$P$172:$P$175,'300'!$P$177:$P$178,'300'!$P$180:$P$188,'300'!$P$190:$P$191,'300'!$P$193,'300'!$P$195:$P$197,'300'!$P$199</definedName>
    <definedName name="OSRRefP22x_0" localSheetId="49">'300 &amp; 317'!$P$128:$P$137,'300 &amp; 317'!$P$139:$P$148,'300 &amp; 317'!$P$150,'300 &amp; 317'!$P$152:$P$153,'300 &amp; 317'!$P$155,'300 &amp; 317'!$P$157:$P$158,'300 &amp; 317'!$P$160,'300 &amp; 317'!$P$162:$P$163,'300 &amp; 317'!$P$165,'300 &amp; 317'!$P$167,'300 &amp; 317'!$P$169:$P$170,'300 &amp; 317'!$P$172:$P$174,'300 &amp; 317'!$P$176,'300 &amp; 317'!$P$178,'300 &amp; 317'!$P$180,'300 &amp; 317'!$P$182,'300 &amp; 317'!$P$184:$P$187,'300 &amp; 317'!$P$189:$P$192,'300 &amp; 317'!$P$194:$P$197,'300 &amp; 317'!$P$199:$P$200,'300 &amp; 317'!$P$202:$P$210,'300 &amp; 317'!$P$212:$P$213,'300 &amp; 317'!$P$215,'300 &amp; 317'!$P$217:$P$219,'300 &amp; 317'!$P$221</definedName>
    <definedName name="OSRRefP22x_0" localSheetId="50">'301'!$P$20:$P$28,'301'!$P$30:$P$39,'301'!$P$41:$P$42,'301'!$P$44,'301'!$P$46:$P$47,'301'!$P$49,'301'!$P$51,'301'!$P$53,'301'!$P$55,'301'!$P$57,'301'!$P$59,'301'!$P$61,'301'!$P$63,'301'!$P$65:$P$68,'301'!$P$70:$P$72,'301'!$P$74,'301'!$P$76:$P$82,'301'!$P$84,'301'!$P$86,'301'!$P$88,'301'!$P$90</definedName>
    <definedName name="OSRRefP22x_0" localSheetId="52">'307'!$P$36:$P$43,'307'!$P$45:$P$54,'307'!$P$56,'307'!$P$58,'307'!$P$60,'307'!$P$62,'307'!$P$64,'307'!$P$66,'307'!$P$68,'307'!$P$70:$P$71,'307'!$P$73:$P$74,'307'!$P$76:$P$79,'307'!$P$81:$P$82,'307'!$P$84</definedName>
    <definedName name="OSRRefP22x_0" localSheetId="53">'308'!$P$52:$P$61,'308'!$P$63:$P$72,'308'!$P$74,'308'!$P$76,'308'!$P$78,'308'!$P$80,'308'!$P$82,'308'!$P$84:$P$85,'308'!$P$87,'308'!$P$89:$P$90,'308'!$P$92,'308'!$P$94:$P$96,'308'!$P$98:$P$99,'308'!$P$101</definedName>
    <definedName name="OSRRefP22x_0" localSheetId="64">'309'!$P$22:$P$29,'309'!$P$31:$P$40,'309'!$P$42,'309'!$P$44,'309'!$P$46,'309'!$P$48,'309'!$P$50:$P$51,'309'!$P$53:$P$54,'309'!$P$56:$P$57,'309'!$P$59</definedName>
    <definedName name="OSRRefP22x_0" localSheetId="63">'310'!$P$28:$P$36,'310'!$P$38:$P$47,'310'!$P$49,'310'!$P$51,'310'!$P$53,'310'!$P$55:$P$56,'310'!$P$58,'310'!$P$60,'310'!$P$62,'310'!$P$64,'310'!$P$66,'310'!$P$68:$P$71,'310'!$P$73,'310'!$P$75:$P$78,'310'!$P$80,'310'!$P$82:$P$88,'310'!$P$90:$P$91,'310'!$P$93,'310'!$P$95</definedName>
    <definedName name="OSRRefP22x_0" localSheetId="71">'310 &amp; 491'!$P$31:$P$39,'310 &amp; 491'!$P$41:$P$50,'310 &amp; 491'!$P$52,'310 &amp; 491'!$P$54,'310 &amp; 491'!$P$56,'310 &amp; 491'!$P$58:$P$60,'310 &amp; 491'!$P$62,'310 &amp; 491'!$P$64,'310 &amp; 491'!$P$66:$P$67,'310 &amp; 491'!$P$69,'310 &amp; 491'!$P$71,'310 &amp; 491'!$P$73,'310 &amp; 491'!$P$75,'310 &amp; 491'!$P$77:$P$80,'310 &amp; 491'!$P$82:$P$83,'310 &amp; 491'!$P$85:$P$89,'310 &amp; 491'!$P$91,'310 &amp; 491'!$P$93:$P$103,'310 &amp; 491'!$P$105:$P$106,'310 &amp; 491'!$P$108,'310 &amp; 491'!$P$110:$P$111,'310 &amp; 491'!$P$113</definedName>
    <definedName name="OSRRefP22x_0" localSheetId="54">'311'!$P$51:$P$60,'311'!$P$62:$P$71,'311'!$P$73,'311'!$P$75,'311'!$P$77,'311'!$P$79,'311'!$P$81,'311'!$P$83:$P$84,'311'!$P$86,'311'!$P$88:$P$89,'311'!$P$91,'311'!$P$93:$P$95,'311'!$P$97:$P$98,'311'!$P$100</definedName>
    <definedName name="OSRRefP22x_0" localSheetId="65">'313'!$P$23:$P$31,'313'!$P$33:$P$42,'313'!$P$44,'313'!$P$46,'313'!$P$48,'313'!$P$50,'313'!$P$52:$P$53,'313'!$P$55,'313'!$P$57:$P$59,'313'!$P$61:$P$62,'313'!$P$64</definedName>
    <definedName name="OSRRefP22x_0" localSheetId="57">'315'!$P$72:$P$80,'315'!$P$82:$P$91,'315'!$P$93,'315'!$P$95,'315'!$P$97,'315'!$P$99,'315'!$P$101,'315'!$P$103:$P$104,'315'!$P$106,'315'!$P$108,'315'!$P$110,'315'!$P$112,'315'!$P$114:$P$116,'315'!$P$118:$P$119,'315'!$P$121:$P$127,'315'!$P$129,'315'!$P$131:$P$132</definedName>
    <definedName name="OSRRefP22x_0" localSheetId="60">'316'!$P$30:$P$38,'316'!$P$40:$P$49,'316'!$P$51,'316'!$P$53,'316'!$P$55,'316'!$P$57,'316'!$P$59:$P$60,'316'!$P$62,'316'!$P$64,'316'!$P$66:$P$70,'316'!$P$72,'316'!$P$74</definedName>
    <definedName name="OSRRefP22x_0" localSheetId="62">'317'!$P$49:$P$58,'317'!$P$60:$P$69,'317'!$P$71,'317'!$P$73,'317'!$P$75,'317'!$P$77,'317'!$P$79:$P$80,'317'!$P$82,'317'!$P$84,'317'!$P$86,'317'!$P$88:$P$90,'317'!$P$92</definedName>
    <definedName name="OSRRefP22x_0" localSheetId="66">'321'!$P$25:$P$33,'321'!$P$35:$P$44,'321'!$P$46,'321'!$P$48,'321'!$P$50,'321'!$P$52,'321'!$P$54,'321'!$P$56:$P$57,'321'!$P$59,'321'!$P$61:$P$62,'321'!$P$64:$P$66,'321'!$P$68:$P$69,'321'!$P$71,'321'!$P$73</definedName>
    <definedName name="OSRRefP22x_0" localSheetId="67">'322'!$P$23:$P$30,'322'!$P$32:$P$41,'322'!$P$43,'322'!$P$45,'322'!$P$47,'322'!$P$49,'322'!$P$51,'322'!$P$53:$P$54,'322'!$P$56:$P$57,'322'!$P$59:$P$62,'322'!$P$64,'322'!$P$66</definedName>
    <definedName name="OSRRefP22x_0" localSheetId="55">'324'!$P$27:$P$34,'324'!$P$36:$P$45</definedName>
    <definedName name="OSRRefP22x_0" localSheetId="68">'325'!$P$24:$P$31,'325'!$P$33:$P$42,'325'!$P$44,'325'!$P$46,'325'!$P$48,'325'!$P$50:$P$51,'325'!$P$53,'325'!$P$55,'325'!$P$57,'325'!$P$59:$P$62,'325'!$P$64:$P$66,'325'!$P$68,'325'!$P$70:$P$74,'325'!$P$76:$P$77,'325'!$P$79</definedName>
    <definedName name="OSRRefP22x_0" localSheetId="58">'326'!$P$41:$P$49,'326'!$P$51:$P$60,'326'!$P$62,'326'!$P$64,'326'!$P$66,'326'!$P$68,'326'!$P$70,'326'!$P$72,'326'!$P$74:$P$75,'326'!$P$77,'326'!$P$79,'326'!$P$81,'326'!$P$83,'326'!$P$85:$P$86,'326'!$P$88:$P$90,'326'!$P$92:$P$93,'326'!$P$95:$P$100,'326'!$P$102:$P$103,'326'!$P$105,'326'!$P$107:$P$108,'326'!$P$110</definedName>
    <definedName name="OSRRefP22x_0" localSheetId="69">'327'!$P$24</definedName>
    <definedName name="OSRRefP22x_0" localSheetId="51">'330'!$P$36:$P$43,'330'!$P$45:$P$54,'330'!$P$56,'330'!$P$58,'330'!$P$60,'330'!$P$62,'330'!$P$64,'330'!$P$66,'330'!$P$68,'330'!$P$70:$P$71,'330'!$P$73:$P$74,'330'!$P$76:$P$79,'330'!$P$81:$P$82,'330'!$P$84</definedName>
    <definedName name="OSRRefP22x_0" localSheetId="56">'331'!$P$72:$P$80,'331'!$P$82:$P$91,'331'!$P$93,'331'!$P$95,'331'!$P$97,'331'!$P$99,'331'!$P$101,'331'!$P$103,'331'!$P$105:$P$106,'331'!$P$108:$P$109,'331'!$P$111,'331'!$P$113,'331'!$P$115,'331'!$P$117,'331'!$P$119:$P$120,'331'!$P$122:$P$124,'331'!$P$126:$P$128,'331'!$P$130:$P$131,'331'!$P$133:$P$140,'331'!$P$142:$P$143,'331'!$P$145,'331'!$P$147:$P$148,'331'!$P$150</definedName>
    <definedName name="OSRRefP22x_0" localSheetId="59">'332'!$P$30:$P$38,'332'!$P$40:$P$49,'332'!$P$51,'332'!$P$53,'332'!$P$55,'332'!$P$57,'332'!$P$59:$P$60,'332'!$P$62,'332'!$P$64,'332'!$P$66:$P$70,'332'!$P$72,'332'!$P$74</definedName>
    <definedName name="OSRRefP22x_0" localSheetId="73">'405'!$P$23:$P$30,'405'!$P$32:$P$41,'405'!$P$43,'405'!$P$45,'405'!$P$47:$P$48,'405'!$P$50,'405'!$P$52,'405'!$P$54,'405'!$P$56:$P$57,'405'!$P$59,'405'!$P$61:$P$64,'405'!$P$66,'405'!$P$68:$P$76,'405'!$P$78,'405'!$P$80,'405'!$P$82</definedName>
    <definedName name="OSRRefP22x_0" localSheetId="74">'406'!$P$20,'406'!$P$22,'406'!$P$24,'406'!$P$26,'406'!$P$28</definedName>
    <definedName name="OSRRefP22x_0" localSheetId="77">'411'!$P$20:$P$28,'411'!$P$30:$P$39,'411'!$P$41,'411'!$P$43,'411'!$P$45:$P$46,'411'!$P$48,'411'!$P$50,'411'!$P$52,'411'!$P$54:$P$55,'411'!$P$57:$P$60,'411'!$P$62:$P$68,'411'!$P$70,'411'!$P$72,'411'!$P$74</definedName>
    <definedName name="OSRRefP22x_0" localSheetId="78">'412'!$P$22:$P$29,'412'!$P$31:$P$40,'412'!$P$42,'412'!$P$44,'412'!$P$46:$P$47,'412'!$P$49,'412'!$P$51,'412'!$P$53,'412'!$P$55:$P$56,'412'!$P$58,'412'!$P$60:$P$63,'412'!$P$65:$P$69,'412'!$P$71:$P$72,'412'!$P$74</definedName>
    <definedName name="OSRRefP22x_0" localSheetId="80">'413'!$P$23:$P$31,'413'!$P$33:$P$42,'413'!$P$44,'413'!$P$46,'413'!$P$48,'413'!$P$50,'413'!$P$52,'413'!$P$54:$P$56,'413'!$P$58:$P$59,'413'!$P$61:$P$68,'413'!$P$70:$P$71,'413'!$P$73</definedName>
    <definedName name="OSRRefP22x_0" localSheetId="81">'414'!$P$24:$P$32,'414'!$P$34:$P$43,'414'!$P$45,'414'!$P$47,'414'!$P$49,'414'!$P$51,'414'!$P$53,'414'!$P$55,'414'!$P$57:$P$58,'414'!$P$60,'414'!$P$62,'414'!$P$64,'414'!$P$66:$P$68,'414'!$P$70,'414'!$P$72,'414'!$P$74</definedName>
    <definedName name="OSRRefP22x_0" localSheetId="82">'415'!$P$27:$P$35,'415'!$P$37:$P$46,'415'!$P$48,'415'!$P$50,'415'!$P$52,'415'!$P$54:$P$55,'415'!$P$57,'415'!$P$59,'415'!$P$61,'415'!$P$63,'415'!$P$65:$P$66,'415'!$P$68:$P$72,'415'!$P$74,'415'!$P$76:$P$82,'415'!$P$84:$P$85,'415'!$P$87</definedName>
    <definedName name="OSRRefP22x_0" localSheetId="83">'418'!$P$23:$P$30,'418'!$P$32:$P$41,'418'!$P$43,'418'!$P$45,'418'!$P$47:$P$48,'418'!$P$50,'418'!$P$52,'418'!$P$54,'418'!$P$56:$P$58,'418'!$P$60:$P$61,'418'!$P$63,'418'!$P$65:$P$74,'418'!$P$76:$P$77,'418'!$P$79</definedName>
    <definedName name="OSRRefP22x_0" localSheetId="84">'423'!$P$20:$P$27,'423'!$P$29:$P$38,'423'!$P$40,'423'!$P$42:$P$43,'423'!$P$45,'423'!$P$47,'423'!$P$49</definedName>
    <definedName name="OSRRefP22x_0" localSheetId="85">'424'!$P$20,'424'!$P$22,'424'!$P$24,'424'!$P$26</definedName>
    <definedName name="OSRRefP22x_0" localSheetId="86">'425'!$P$20:$P$24,'425'!$P$26,'425'!$P$28,'425'!$P$30,'425'!$P$32</definedName>
    <definedName name="OSRRefP22x_0" localSheetId="89">'430'!$P$20:$P$28,'430'!$P$30:$P$39,'430'!$P$41,'430'!$P$43:$P$45,'430'!$P$47:$P$48,'430'!$P$50,'430'!$P$52</definedName>
    <definedName name="OSRRefP22x_0" localSheetId="90">'433'!$P$27:$P$36,'433'!$P$38:$P$47,'433'!$P$49,'433'!$P$51,'433'!$P$53,'433'!$P$55,'433'!$P$57,'433'!$P$59,'433'!$P$61,'433'!$P$63,'433'!$P$65,'433'!$P$67:$P$68,'433'!$P$70:$P$73,'433'!$P$75:$P$82,'433'!$P$84</definedName>
    <definedName name="OSRRefP22x_0" localSheetId="91">'435'!$P$20</definedName>
    <definedName name="OSRRefP22x_0" localSheetId="92">'444'!$P$27:$P$36,'444'!$P$38:$P$47,'444'!$P$49,'444'!$P$51,'444'!$P$53,'444'!$P$55,'444'!$P$57,'444'!$P$59,'444'!$P$61,'444'!$P$63,'444'!$P$65,'444'!$P$67:$P$69,'444'!$P$71:$P$73,'444'!$P$75:$P$83,'444'!$P$85:$P$86,'444'!$P$88</definedName>
    <definedName name="OSRRefP22x_0" localSheetId="93">'450'!$P$23:$P$32,'450'!$P$34:$P$43,'450'!$P$45,'450'!$P$47,'450'!$P$49,'450'!$P$51,'450'!$P$53,'450'!$P$55,'450'!$P$57,'450'!$P$59,'450'!$P$61,'450'!$P$63,'450'!$P$65,'450'!$P$67:$P$69,'450'!$P$71:$P$77,'450'!$P$79:$P$80,'450'!$P$82</definedName>
    <definedName name="OSRRefP22x_0" localSheetId="72">'491'!$P$28:$P$36,'491'!$P$38:$P$47,'491'!$P$49,'491'!$P$51,'491'!$P$53,'491'!$P$55:$P$57,'491'!$P$59,'491'!$P$61,'491'!$P$63,'491'!$P$65,'491'!$P$67,'491'!$P$69,'491'!$P$71,'491'!$P$73:$P$76,'491'!$P$78:$P$79,'491'!$P$81:$P$85,'491'!$P$87,'491'!$P$89:$P$99,'491'!$P$101:$P$102,'491'!$P$104,'491'!$P$106:$P$107,'491'!$P$109</definedName>
    <definedName name="OSRRefP22x_0" localSheetId="88">'492'!$P$27:$P$36,'492'!$P$38:$P$47,'492'!$P$49,'492'!$P$51,'492'!$P$53,'492'!$P$55,'492'!$P$57,'492'!$P$59,'492'!$P$61,'492'!$P$63,'492'!$P$65,'492'!$P$67,'492'!$P$69:$P$71,'492'!$P$73:$P$76,'492'!$P$78:$P$87,'492'!$P$89:$P$90,'492'!$P$92,'492'!$P$94</definedName>
    <definedName name="OSRRefP22x_0" localSheetId="95">'501'!$P$21:$P$30,'501'!$P$32:$P$41,'501'!$P$43,'501'!$P$45,'501'!$P$47,'501'!$P$49:$P$50,'501'!$P$52,'501'!$P$54,'501'!$P$56,'501'!$P$58:$P$60,'501'!$P$62:$P$63,'501'!$P$65</definedName>
    <definedName name="OSRRefP22x_0" localSheetId="39">'Div 2'!$P$21:$P$31,'Div 2'!$P$33:$P$42,'Div 2'!$P$44,'Div 2'!$P$46,'Div 2'!$P$48,'Div 2'!$P$50:$P$51,'Div 2'!$P$53,'Div 2'!$P$55,'Div 2'!$P$57,'Div 2'!$P$59:$P$60,'Div 2'!$P$62,'Div 2'!$P$64:$P$65,'Div 2'!$P$67:$P$70,'Div 2'!$P$72:$P$75,'Div 2'!$P$77:$P$78,'Div 2'!$P$80:$P$81,'Div 2'!$P$83:$P$87,'Div 2'!$P$89:$P$90,'Div 2'!$P$92,'Div 2'!$P$94:$P$95</definedName>
    <definedName name="OSRRefP22x_0" localSheetId="47">'Div 3'!$P$110:$P$119,'Div 3'!$P$121:$P$130,'Div 3'!$P$132,'Div 3'!$P$134:$P$135,'Div 3'!$P$137,'Div 3'!$P$139:$P$140,'Div 3'!$P$142,'Div 3'!$P$144:$P$145,'Div 3'!$P$147,'Div 3'!$P$149,'Div 3'!$P$151:$P$152,'Div 3'!$P$154:$P$156,'Div 3'!$P$158,'Div 3'!$P$160,'Div 3'!$P$162,'Div 3'!$P$164,'Div 3'!$P$166,'Div 3'!$P$168:$P$171,'Div 3'!$P$173:$P$176,'Div 3'!$P$178:$P$182,'Div 3'!$P$184:$P$185,'Div 3'!$P$187:$P$195,'Div 3'!$P$197:$P$198,'Div 3'!$P$200,'Div 3'!$P$202:$P$204,'Div 3'!$P$206</definedName>
    <definedName name="OSRRefP22x_0" localSheetId="70">'Div 4'!$P$30:$P$39,'Div 4'!$P$41:$P$50,'Div 4'!$P$52,'Div 4'!$P$54,'Div 4'!$P$56,'Div 4'!$P$58:$P$60,'Div 4'!$P$62,'Div 4'!$P$64,'Div 4'!$P$66,'Div 4'!$P$68,'Div 4'!$P$70,'Div 4'!$P$72,'Div 4'!$P$74,'Div 4'!$P$76,'Div 4'!$P$78,'Div 4'!$P$80:$P$83,'Div 4'!$P$85:$P$86,'Div 4'!$P$88:$P$92,'Div 4'!$P$94,'Div 4'!$P$96:$P$106,'Div 4'!$P$108:$P$109,'Div 4'!$P$111,'Div 4'!$P$113:$P$114,'Div 4'!$P$116</definedName>
    <definedName name="OSRRefP22x_0" localSheetId="94">'Div 5'!$P$21:$P$30,'Div 5'!$P$32:$P$41,'Div 5'!$P$43,'Div 5'!$P$45,'Div 5'!$P$47,'Div 5'!$P$49:$P$50,'Div 5'!$P$52,'Div 5'!$P$54,'Div 5'!$P$56,'Div 5'!$P$58:$P$60,'Div 5'!$P$62:$P$63,'Div 5'!$P$65</definedName>
    <definedName name="OSRRefP22x_0" localSheetId="61">'Div 6'!$P$49:$P$58,'Div 6'!$P$60:$P$69,'Div 6'!$P$71,'Div 6'!$P$73,'Div 6'!$P$75,'Div 6'!$P$77,'Div 6'!$P$79:$P$80,'Div 6'!$P$82,'Div 6'!$P$84,'Div 6'!$P$86,'Div 6'!$P$88:$P$90,'Div 6'!$P$92</definedName>
    <definedName name="OSRRefP22x_0" localSheetId="2">Summary!$P$136:$P$145,Summary!$P$147:$P$156,Summary!$P$158,Summary!$P$160:$P$161,Summary!$P$163,Summary!$P$165:$P$167,Summary!$P$169,Summary!$P$171:$P$172,Summary!$P$174,Summary!$P$176,Summary!$P$178:$P$179,Summary!$P$181:$P$183,Summary!$P$185,Summary!$P$187,Summary!$P$189,Summary!$P$191,Summary!$P$193,Summary!$P$195,Summary!$P$197:$P$200,Summary!$P$202:$P$205,Summary!$P$207:$P$211,Summary!$P$213:$P$214,Summary!$P$216:$P$226,Summary!$P$228:$P$229,Summary!$P$231,Summary!$P$233:$P$235,Summary!$P$237</definedName>
    <definedName name="OSRRefP25x_0" localSheetId="42">'202'!$P$69:$P$71</definedName>
    <definedName name="OSRRefP25x_0" localSheetId="48">'300'!$P$202:$P$205</definedName>
    <definedName name="OSRRefP25x_0" localSheetId="49">'300 &amp; 317'!$P$224:$P$228</definedName>
    <definedName name="OSRRefP25x_0" localSheetId="50">'301'!$P$93:$P$94</definedName>
    <definedName name="OSRRefP25x_0" localSheetId="53">'308'!$P$104:$P$106</definedName>
    <definedName name="OSRRefP25x_0" localSheetId="71">'310 &amp; 491'!$P$116:$P$119</definedName>
    <definedName name="OSRRefP25x_0" localSheetId="54">'311'!$P$103:$P$105</definedName>
    <definedName name="OSRRefP25x_0" localSheetId="57">'315'!$P$135:$P$137</definedName>
    <definedName name="OSRRefP25x_0" localSheetId="60">'316'!$P$77</definedName>
    <definedName name="OSRRefP25x_0" localSheetId="62">'317'!$P$95:$P$96</definedName>
    <definedName name="OSRRefP25x_0" localSheetId="56">'331'!$P$153:$P$155</definedName>
    <definedName name="OSRRefP25x_0" localSheetId="59">'332'!$P$77</definedName>
    <definedName name="OSRRefP25x_0" localSheetId="77">'411'!$P$77:$P$78</definedName>
    <definedName name="OSRRefP25x_0" localSheetId="83">'418'!$P$82</definedName>
    <definedName name="OSRRefP25x_0" localSheetId="84">'423'!$P$52:$P$53</definedName>
    <definedName name="OSRRefP25x_0" localSheetId="87">'455'!$P$21:$P$22</definedName>
    <definedName name="OSRRefP25x_0" localSheetId="72">'491'!$P$112:$P$115</definedName>
    <definedName name="OSRRefP25x_0" localSheetId="95">'501'!$P$68</definedName>
    <definedName name="OSRRefP25x_0" localSheetId="39">'Div 2'!$P$98:$P$100</definedName>
    <definedName name="OSRRefP25x_0" localSheetId="47">'Div 3'!$P$209:$P$212</definedName>
    <definedName name="OSRRefP25x_0" localSheetId="70">'Div 4'!$P$119:$P$122</definedName>
    <definedName name="OSRRefP25x_0" localSheetId="94">'Div 5'!$P$68</definedName>
    <definedName name="OSRRefP25x_0" localSheetId="61">'Div 6'!$P$95:$P$96</definedName>
    <definedName name="OSRRefP25x_0" localSheetId="2">Summary!$P$240:$P$246</definedName>
    <definedName name="OSRRefT13x_0" localSheetId="41">'201'!$T$13</definedName>
    <definedName name="OSRRefT13x_0" localSheetId="42">'202'!$T$13</definedName>
    <definedName name="OSRRefT13x_0" localSheetId="48">'300'!$T$13:$T$72</definedName>
    <definedName name="OSRRefT13x_0" localSheetId="49">'300 &amp; 317'!$T$13:$T$86</definedName>
    <definedName name="OSRRefT13x_0" localSheetId="52">'307'!$T$13:$T$23</definedName>
    <definedName name="OSRRefT13x_0" localSheetId="53">'308'!$T$13:$T$32</definedName>
    <definedName name="OSRRefT13x_0" localSheetId="64">'309'!$T$13</definedName>
    <definedName name="OSRRefT13x_0" localSheetId="63">'310'!$T$13:$T$17</definedName>
    <definedName name="OSRRefT13x_0" localSheetId="71">'310 &amp; 491'!$T$13:$T$20</definedName>
    <definedName name="OSRRefT13x_0" localSheetId="54">'311'!$T$13:$T$31</definedName>
    <definedName name="OSRRefT13x_0" localSheetId="65">'313'!$T$13</definedName>
    <definedName name="OSRRefT13x_0" localSheetId="57">'315'!$T$13:$T$48</definedName>
    <definedName name="OSRRefT13x_0" localSheetId="60">'316'!$T$13:$T$22</definedName>
    <definedName name="OSRRefT13x_0" localSheetId="62">'317'!$T$13:$T$30</definedName>
    <definedName name="OSRRefT13x_0" localSheetId="66">'321'!$T$13:$T$15</definedName>
    <definedName name="OSRRefT13x_0" localSheetId="67">'322'!$T$13</definedName>
    <definedName name="OSRRefT13x_0" localSheetId="55">'324'!$T$13:$T$16</definedName>
    <definedName name="OSRRefT13x_0" localSheetId="68">'325'!$T$13:$T$14</definedName>
    <definedName name="OSRRefT13x_0" localSheetId="58">'326'!$T$13:$T$31</definedName>
    <definedName name="OSRRefT13x_0" localSheetId="69">'327'!$T$13:$T$14</definedName>
    <definedName name="OSRRefT13x_0" localSheetId="51">'330'!$T$13:$T$23</definedName>
    <definedName name="OSRRefT13x_0" localSheetId="56">'331'!$T$13:$T$48</definedName>
    <definedName name="OSRRefT13x_0" localSheetId="59">'332'!$T$13:$T$22</definedName>
    <definedName name="OSRRefT13x_0" localSheetId="73">'405'!$T$13:$T$14</definedName>
    <definedName name="OSRRefT13x_0" localSheetId="78">'412'!$T$13</definedName>
    <definedName name="OSRRefT13x_0" localSheetId="80">'413'!$T$13:$T$14</definedName>
    <definedName name="OSRRefT13x_0" localSheetId="81">'414'!$T$13:$T$15</definedName>
    <definedName name="OSRRefT13x_0" localSheetId="82">'415'!$T$13:$T$16</definedName>
    <definedName name="OSRRefT13x_0" localSheetId="83">'418'!$T$13:$T$14</definedName>
    <definedName name="OSRRefT13x_0" localSheetId="90">'433'!$T$13:$T$16</definedName>
    <definedName name="OSRRefT13x_0" localSheetId="92">'444'!$T$13:$T$16</definedName>
    <definedName name="OSRRefT13x_0" localSheetId="93">'450'!$T$13:$T$14</definedName>
    <definedName name="OSRRefT13x_0" localSheetId="72">'491'!$T$13:$T$17</definedName>
    <definedName name="OSRRefT13x_0" localSheetId="88">'492'!$T$13:$T$16</definedName>
    <definedName name="OSRRefT13x_0" localSheetId="95">'501'!$T$13</definedName>
    <definedName name="OSRRefT13x_0" localSheetId="39">'Div 2'!$T$13</definedName>
    <definedName name="OSRRefT13x_0" localSheetId="47">'Div 3'!$T$13:$T$74</definedName>
    <definedName name="OSRRefT13x_0" localSheetId="70">'Div 4'!$T$13:$T$19</definedName>
    <definedName name="OSRRefT13x_0" localSheetId="94">'Div 5'!$T$13</definedName>
    <definedName name="OSRRefT13x_0" localSheetId="61">'Div 6'!$T$13:$T$30</definedName>
    <definedName name="OSRRefT13x_0" localSheetId="2">Summary!$T$13:$T$92</definedName>
    <definedName name="OSRRefT16x_0" localSheetId="48">'300'!$T$75:$T$100</definedName>
    <definedName name="OSRRefT16x_0" localSheetId="49">'300 &amp; 317'!$T$89:$T$122</definedName>
    <definedName name="OSRRefT16x_0" localSheetId="52">'307'!$T$26:$T$30</definedName>
    <definedName name="OSRRefT16x_0" localSheetId="53">'308'!$T$35:$T$46</definedName>
    <definedName name="OSRRefT16x_0" localSheetId="64">'309'!$T$16</definedName>
    <definedName name="OSRRefT16x_0" localSheetId="63">'310'!$T$20:$T$22</definedName>
    <definedName name="OSRRefT16x_0" localSheetId="71">'310 &amp; 491'!$T$23:$T$25</definedName>
    <definedName name="OSRRefT16x_0" localSheetId="54">'311'!$T$34:$T$45</definedName>
    <definedName name="OSRRefT16x_0" localSheetId="65">'313'!$T$16:$T$17</definedName>
    <definedName name="OSRRefT16x_0" localSheetId="57">'315'!$T$51:$T$66</definedName>
    <definedName name="OSRRefT16x_0" localSheetId="62">'317'!$T$33:$T$43</definedName>
    <definedName name="OSRRefT16x_0" localSheetId="66">'321'!$T$18:$T$19</definedName>
    <definedName name="OSRRefT16x_0" localSheetId="67">'322'!$T$16:$T$17</definedName>
    <definedName name="OSRRefT16x_0" localSheetId="55">'324'!$T$19:$T$21</definedName>
    <definedName name="OSRRefT16x_0" localSheetId="68">'325'!$T$17:$T$18</definedName>
    <definedName name="OSRRefT16x_0" localSheetId="58">'326'!$T$34:$T$35</definedName>
    <definedName name="OSRRefT16x_0" localSheetId="69">'327'!$T$17:$T$18</definedName>
    <definedName name="OSRRefT16x_0" localSheetId="51">'330'!$T$26:$T$30</definedName>
    <definedName name="OSRRefT16x_0" localSheetId="56">'331'!$T$51:$T$66</definedName>
    <definedName name="OSRRefT16x_0" localSheetId="73">'405'!$T$17</definedName>
    <definedName name="OSRRefT16x_0" localSheetId="78">'412'!$T$16</definedName>
    <definedName name="OSRRefT16x_0" localSheetId="80">'413'!$T$17</definedName>
    <definedName name="OSRRefT16x_0" localSheetId="81">'414'!$T$18</definedName>
    <definedName name="OSRRefT16x_0" localSheetId="82">'415'!$T$19:$T$21</definedName>
    <definedName name="OSRRefT16x_0" localSheetId="83">'418'!$T$17</definedName>
    <definedName name="OSRRefT16x_0" localSheetId="90">'433'!$T$19:$T$21</definedName>
    <definedName name="OSRRefT16x_0" localSheetId="92">'444'!$T$19:$T$21</definedName>
    <definedName name="OSRRefT16x_0" localSheetId="93">'450'!$T$17</definedName>
    <definedName name="OSRRefT16x_0" localSheetId="72">'491'!$T$20:$T$22</definedName>
    <definedName name="OSRRefT16x_0" localSheetId="88">'492'!$T$19:$T$21</definedName>
    <definedName name="OSRRefT16x_0" localSheetId="47">'Div 3'!$T$77:$T$104</definedName>
    <definedName name="OSRRefT16x_0" localSheetId="70">'Div 4'!$T$22:$T$24</definedName>
    <definedName name="OSRRefT16x_0" localSheetId="61">'Div 6'!$T$33:$T$43</definedName>
    <definedName name="OSRRefT16x_0" localSheetId="2">Summary!$T$95:$T$130</definedName>
    <definedName name="OSRRefT22_0x_0" localSheetId="40">'200'!$T$20</definedName>
    <definedName name="OSRRefT22_0x_0" localSheetId="41">'201'!$T$21:$T$29</definedName>
    <definedName name="OSRRefT22_0x_0" localSheetId="42">'202'!$T$21:$T$29</definedName>
    <definedName name="OSRRefT22_0x_0" localSheetId="43">'203'!$T$20:$T$29</definedName>
    <definedName name="OSRRefT22_0x_0" localSheetId="44">'204'!$T$20:$T$29</definedName>
    <definedName name="OSRRefT22_0x_0" localSheetId="45">'205'!$T$20:$T$28</definedName>
    <definedName name="OSRRefT22_0x_0" localSheetId="46">'206'!$T$20:$T$28</definedName>
    <definedName name="OSRRefT22_0x_0" localSheetId="48">'300'!$T$106:$T$115</definedName>
    <definedName name="OSRRefT22_0x_0" localSheetId="49">'300 &amp; 317'!$T$128:$T$137</definedName>
    <definedName name="OSRRefT22_0x_0" localSheetId="50">'301'!$T$20:$T$28</definedName>
    <definedName name="OSRRefT22_0x_0" localSheetId="52">'307'!$T$36:$T$43</definedName>
    <definedName name="OSRRefT22_0x_0" localSheetId="53">'308'!$T$52:$T$61</definedName>
    <definedName name="OSRRefT22_0x_0" localSheetId="64">'309'!$T$22:$T$29</definedName>
    <definedName name="OSRRefT22_0x_0" localSheetId="63">'310'!$T$28:$T$36</definedName>
    <definedName name="OSRRefT22_0x_0" localSheetId="71">'310 &amp; 491'!$T$31:$T$39</definedName>
    <definedName name="OSRRefT22_0x_0" localSheetId="54">'311'!$T$51:$T$60</definedName>
    <definedName name="OSRRefT22_0x_0" localSheetId="65">'313'!$T$23:$T$31</definedName>
    <definedName name="OSRRefT22_0x_0" localSheetId="57">'315'!$T$72:$T$80</definedName>
    <definedName name="OSRRefT22_0x_0" localSheetId="60">'316'!$T$30:$T$38</definedName>
    <definedName name="OSRRefT22_0x_0" localSheetId="62">'317'!$T$49:$T$58</definedName>
    <definedName name="OSRRefT22_0x_0" localSheetId="66">'321'!$T$25:$T$33</definedName>
    <definedName name="OSRRefT22_0x_0" localSheetId="67">'322'!$T$23:$T$30</definedName>
    <definedName name="OSRRefT22_0x_0" localSheetId="55">'324'!$T$27:$T$34</definedName>
    <definedName name="OSRRefT22_0x_0" localSheetId="68">'325'!$T$24:$T$31</definedName>
    <definedName name="OSRRefT22_0x_0" localSheetId="58">'326'!$T$41:$T$49</definedName>
    <definedName name="OSRRefT22_0x_0" localSheetId="69">'327'!$T$24</definedName>
    <definedName name="OSRRefT22_0x_0" localSheetId="51">'330'!$T$36:$T$43</definedName>
    <definedName name="OSRRefT22_0x_0" localSheetId="56">'331'!$T$72:$T$80</definedName>
    <definedName name="OSRRefT22_0x_0" localSheetId="59">'332'!$T$30:$T$38</definedName>
    <definedName name="OSRRefT22_0x_0" localSheetId="73">'405'!$T$23:$T$30</definedName>
    <definedName name="OSRRefT22_0x_0" localSheetId="74">'406'!$T$20</definedName>
    <definedName name="OSRRefT22_0x_0" localSheetId="77">'411'!$T$20:$T$28</definedName>
    <definedName name="OSRRefT22_0x_0" localSheetId="78">'412'!$T$22:$T$29</definedName>
    <definedName name="OSRRefT22_0x_0" localSheetId="80">'413'!$T$23:$T$31</definedName>
    <definedName name="OSRRefT22_0x_0" localSheetId="81">'414'!$T$24:$T$32</definedName>
    <definedName name="OSRRefT22_0x_0" localSheetId="82">'415'!$T$27:$T$35</definedName>
    <definedName name="OSRRefT22_0x_0" localSheetId="83">'418'!$T$23:$T$30</definedName>
    <definedName name="OSRRefT22_0x_0" localSheetId="84">'423'!$T$20:$T$27</definedName>
    <definedName name="OSRRefT22_0x_0" localSheetId="85">'424'!$T$20</definedName>
    <definedName name="OSRRefT22_0x_0" localSheetId="86">'425'!$T$20:$T$24</definedName>
    <definedName name="OSRRefT22_0x_0" localSheetId="89">'430'!$T$20:$T$28</definedName>
    <definedName name="OSRRefT22_0x_0" localSheetId="90">'433'!$T$27:$T$36</definedName>
    <definedName name="OSRRefT22_0x_0" localSheetId="91">'435'!$T$20</definedName>
    <definedName name="OSRRefT22_0x_0" localSheetId="92">'444'!$T$27:$T$36</definedName>
    <definedName name="OSRRefT22_0x_0" localSheetId="93">'450'!$T$23:$T$32</definedName>
    <definedName name="OSRRefT22_0x_0" localSheetId="72">'491'!$T$28:$T$36</definedName>
    <definedName name="OSRRefT22_0x_0" localSheetId="88">'492'!$T$27:$T$36</definedName>
    <definedName name="OSRRefT22_0x_0" localSheetId="95">'501'!$T$21:$T$30</definedName>
    <definedName name="OSRRefT22_0x_0" localSheetId="39">'Div 2'!$T$21:$T$31</definedName>
    <definedName name="OSRRefT22_0x_0" localSheetId="47">'Div 3'!$T$110:$T$119</definedName>
    <definedName name="OSRRefT22_0x_0" localSheetId="70">'Div 4'!$T$30:$T$39</definedName>
    <definedName name="OSRRefT22_0x_0" localSheetId="94">'Div 5'!$T$21:$T$30</definedName>
    <definedName name="OSRRefT22_0x_0" localSheetId="61">'Div 6'!$T$49:$T$58</definedName>
    <definedName name="OSRRefT22_0x_0" localSheetId="2">Summary!$T$136:$T$145</definedName>
    <definedName name="OSRRefT22_10x_0" localSheetId="41">'201'!$T$58:$T$59</definedName>
    <definedName name="OSRRefT22_10x_0" localSheetId="42">'202'!$T$62</definedName>
    <definedName name="OSRRefT22_10x_0" localSheetId="43">'203'!$T$61</definedName>
    <definedName name="OSRRefT22_10x_0" localSheetId="44">'204'!$T$63</definedName>
    <definedName name="OSRRefT22_10x_0" localSheetId="48">'300'!$T$147:$T$148</definedName>
    <definedName name="OSRRefT22_10x_0" localSheetId="49">'300 &amp; 317'!$T$169:$T$170</definedName>
    <definedName name="OSRRefT22_10x_0" localSheetId="50">'301'!$T$59</definedName>
    <definedName name="OSRRefT22_10x_0" localSheetId="52">'307'!$T$73:$T$74</definedName>
    <definedName name="OSRRefT22_10x_0" localSheetId="53">'308'!$T$92</definedName>
    <definedName name="OSRRefT22_10x_0" localSheetId="63">'310'!$T$66</definedName>
    <definedName name="OSRRefT22_10x_0" localSheetId="71">'310 &amp; 491'!$T$71</definedName>
    <definedName name="OSRRefT22_10x_0" localSheetId="54">'311'!$T$91</definedName>
    <definedName name="OSRRefT22_10x_0" localSheetId="65">'313'!$T$64</definedName>
    <definedName name="OSRRefT22_10x_0" localSheetId="57">'315'!$T$110</definedName>
    <definedName name="OSRRefT22_10x_0" localSheetId="60">'316'!$T$72</definedName>
    <definedName name="OSRRefT22_10x_0" localSheetId="62">'317'!$T$88:$T$90</definedName>
    <definedName name="OSRRefT22_10x_0" localSheetId="66">'321'!$T$64:$T$66</definedName>
    <definedName name="OSRRefT22_10x_0" localSheetId="67">'322'!$T$64</definedName>
    <definedName name="OSRRefT22_10x_0" localSheetId="68">'325'!$T$64:$T$66</definedName>
    <definedName name="OSRRefT22_10x_0" localSheetId="58">'326'!$T$79</definedName>
    <definedName name="OSRRefT22_10x_0" localSheetId="51">'330'!$T$73:$T$74</definedName>
    <definedName name="OSRRefT22_10x_0" localSheetId="56">'331'!$T$111</definedName>
    <definedName name="OSRRefT22_10x_0" localSheetId="59">'332'!$T$72</definedName>
    <definedName name="OSRRefT22_10x_0" localSheetId="73">'405'!$T$61:$T$64</definedName>
    <definedName name="OSRRefT22_10x_0" localSheetId="77">'411'!$T$62:$T$68</definedName>
    <definedName name="OSRRefT22_10x_0" localSheetId="78">'412'!$T$60:$T$63</definedName>
    <definedName name="OSRRefT22_10x_0" localSheetId="80">'413'!$T$70:$T$71</definedName>
    <definedName name="OSRRefT22_10x_0" localSheetId="81">'414'!$T$62</definedName>
    <definedName name="OSRRefT22_10x_0" localSheetId="82">'415'!$T$65:$T$66</definedName>
    <definedName name="OSRRefT22_10x_0" localSheetId="83">'418'!$T$63</definedName>
    <definedName name="OSRRefT22_10x_0" localSheetId="90">'433'!$T$65</definedName>
    <definedName name="OSRRefT22_10x_0" localSheetId="92">'444'!$T$65</definedName>
    <definedName name="OSRRefT22_10x_0" localSheetId="93">'450'!$T$61</definedName>
    <definedName name="OSRRefT22_10x_0" localSheetId="72">'491'!$T$67</definedName>
    <definedName name="OSRRefT22_10x_0" localSheetId="88">'492'!$T$65</definedName>
    <definedName name="OSRRefT22_10x_0" localSheetId="95">'501'!$T$62:$T$63</definedName>
    <definedName name="OSRRefT22_10x_0" localSheetId="39">'Div 2'!$T$62</definedName>
    <definedName name="OSRRefT22_10x_0" localSheetId="47">'Div 3'!$T$151:$T$152</definedName>
    <definedName name="OSRRefT22_10x_0" localSheetId="70">'Div 4'!$T$70</definedName>
    <definedName name="OSRRefT22_10x_0" localSheetId="94">'Div 5'!$T$62:$T$63</definedName>
    <definedName name="OSRRefT22_10x_0" localSheetId="61">'Div 6'!$T$88:$T$90</definedName>
    <definedName name="OSRRefT22_10x_0" localSheetId="2">Summary!$T$178:$T$179</definedName>
    <definedName name="OSRRefT22_11x_0" localSheetId="41">'201'!$T$61</definedName>
    <definedName name="OSRRefT22_11x_0" localSheetId="42">'202'!$T$64</definedName>
    <definedName name="OSRRefT22_11x_0" localSheetId="43">'203'!$T$63:$T$65</definedName>
    <definedName name="OSRRefT22_11x_0" localSheetId="48">'300'!$T$150:$T$152</definedName>
    <definedName name="OSRRefT22_11x_0" localSheetId="49">'300 &amp; 317'!$T$172:$T$174</definedName>
    <definedName name="OSRRefT22_11x_0" localSheetId="50">'301'!$T$61</definedName>
    <definedName name="OSRRefT22_11x_0" localSheetId="52">'307'!$T$76:$T$79</definedName>
    <definedName name="OSRRefT22_11x_0" localSheetId="53">'308'!$T$94:$T$96</definedName>
    <definedName name="OSRRefT22_11x_0" localSheetId="63">'310'!$T$68:$T$71</definedName>
    <definedName name="OSRRefT22_11x_0" localSheetId="71">'310 &amp; 491'!$T$73</definedName>
    <definedName name="OSRRefT22_11x_0" localSheetId="54">'311'!$T$93:$T$95</definedName>
    <definedName name="OSRRefT22_11x_0" localSheetId="57">'315'!$T$112</definedName>
    <definedName name="OSRRefT22_11x_0" localSheetId="60">'316'!$T$74</definedName>
    <definedName name="OSRRefT22_11x_0" localSheetId="62">'317'!$T$92</definedName>
    <definedName name="OSRRefT22_11x_0" localSheetId="66">'321'!$T$68:$T$69</definedName>
    <definedName name="OSRRefT22_11x_0" localSheetId="67">'322'!$T$66</definedName>
    <definedName name="OSRRefT22_11x_0" localSheetId="68">'325'!$T$68</definedName>
    <definedName name="OSRRefT22_11x_0" localSheetId="58">'326'!$T$81</definedName>
    <definedName name="OSRRefT22_11x_0" localSheetId="51">'330'!$T$76:$T$79</definedName>
    <definedName name="OSRRefT22_11x_0" localSheetId="56">'331'!$T$113</definedName>
    <definedName name="OSRRefT22_11x_0" localSheetId="59">'332'!$T$74</definedName>
    <definedName name="OSRRefT22_11x_0" localSheetId="73">'405'!$T$66</definedName>
    <definedName name="OSRRefT22_11x_0" localSheetId="77">'411'!$T$70</definedName>
    <definedName name="OSRRefT22_11x_0" localSheetId="78">'412'!$T$65:$T$69</definedName>
    <definedName name="OSRRefT22_11x_0" localSheetId="80">'413'!$T$73</definedName>
    <definedName name="OSRRefT22_11x_0" localSheetId="81">'414'!$T$64</definedName>
    <definedName name="OSRRefT22_11x_0" localSheetId="82">'415'!$T$68:$T$72</definedName>
    <definedName name="OSRRefT22_11x_0" localSheetId="83">'418'!$T$65:$T$74</definedName>
    <definedName name="OSRRefT22_11x_0" localSheetId="90">'433'!$T$67:$T$68</definedName>
    <definedName name="OSRRefT22_11x_0" localSheetId="92">'444'!$T$67:$T$69</definedName>
    <definedName name="OSRRefT22_11x_0" localSheetId="93">'450'!$T$63</definedName>
    <definedName name="OSRRefT22_11x_0" localSheetId="72">'491'!$T$69</definedName>
    <definedName name="OSRRefT22_11x_0" localSheetId="88">'492'!$T$67</definedName>
    <definedName name="OSRRefT22_11x_0" localSheetId="95">'501'!$T$65</definedName>
    <definedName name="OSRRefT22_11x_0" localSheetId="39">'Div 2'!$T$64:$T$65</definedName>
    <definedName name="OSRRefT22_11x_0" localSheetId="47">'Div 3'!$T$154:$T$156</definedName>
    <definedName name="OSRRefT22_11x_0" localSheetId="70">'Div 4'!$T$72</definedName>
    <definedName name="OSRRefT22_11x_0" localSheetId="94">'Div 5'!$T$65</definedName>
    <definedName name="OSRRefT22_11x_0" localSheetId="61">'Div 6'!$T$92</definedName>
    <definedName name="OSRRefT22_11x_0" localSheetId="2">Summary!$T$181:$T$183</definedName>
    <definedName name="OSRRefT22_12x_0" localSheetId="41">'201'!$T$63</definedName>
    <definedName name="OSRRefT22_12x_0" localSheetId="42">'202'!$T$66</definedName>
    <definedName name="OSRRefT22_12x_0" localSheetId="43">'203'!$T$67</definedName>
    <definedName name="OSRRefT22_12x_0" localSheetId="48">'300'!$T$154</definedName>
    <definedName name="OSRRefT22_12x_0" localSheetId="49">'300 &amp; 317'!$T$176</definedName>
    <definedName name="OSRRefT22_12x_0" localSheetId="50">'301'!$T$63</definedName>
    <definedName name="OSRRefT22_12x_0" localSheetId="52">'307'!$T$81:$T$82</definedName>
    <definedName name="OSRRefT22_12x_0" localSheetId="53">'308'!$T$98:$T$99</definedName>
    <definedName name="OSRRefT22_12x_0" localSheetId="63">'310'!$T$73</definedName>
    <definedName name="OSRRefT22_12x_0" localSheetId="71">'310 &amp; 491'!$T$75</definedName>
    <definedName name="OSRRefT22_12x_0" localSheetId="54">'311'!$T$97:$T$98</definedName>
    <definedName name="OSRRefT22_12x_0" localSheetId="57">'315'!$T$114:$T$116</definedName>
    <definedName name="OSRRefT22_12x_0" localSheetId="66">'321'!$T$71</definedName>
    <definedName name="OSRRefT22_12x_0" localSheetId="68">'325'!$T$70:$T$74</definedName>
    <definedName name="OSRRefT22_12x_0" localSheetId="58">'326'!$T$83</definedName>
    <definedName name="OSRRefT22_12x_0" localSheetId="51">'330'!$T$81:$T$82</definedName>
    <definedName name="OSRRefT22_12x_0" localSheetId="56">'331'!$T$115</definedName>
    <definedName name="OSRRefT22_12x_0" localSheetId="73">'405'!$T$68:$T$76</definedName>
    <definedName name="OSRRefT22_12x_0" localSheetId="77">'411'!$T$72</definedName>
    <definedName name="OSRRefT22_12x_0" localSheetId="78">'412'!$T$71:$T$72</definedName>
    <definedName name="OSRRefT22_12x_0" localSheetId="81">'414'!$T$66:$T$68</definedName>
    <definedName name="OSRRefT22_12x_0" localSheetId="82">'415'!$T$74</definedName>
    <definedName name="OSRRefT22_12x_0" localSheetId="83">'418'!$T$76:$T$77</definedName>
    <definedName name="OSRRefT22_12x_0" localSheetId="90">'433'!$T$70:$T$73</definedName>
    <definedName name="OSRRefT22_12x_0" localSheetId="92">'444'!$T$71:$T$73</definedName>
    <definedName name="OSRRefT22_12x_0" localSheetId="93">'450'!$T$65</definedName>
    <definedName name="OSRRefT22_12x_0" localSheetId="72">'491'!$T$71</definedName>
    <definedName name="OSRRefT22_12x_0" localSheetId="88">'492'!$T$69:$T$71</definedName>
    <definedName name="OSRRefT22_12x_0" localSheetId="39">'Div 2'!$T$67:$T$70</definedName>
    <definedName name="OSRRefT22_12x_0" localSheetId="47">'Div 3'!$T$158</definedName>
    <definedName name="OSRRefT22_12x_0" localSheetId="70">'Div 4'!$T$74</definedName>
    <definedName name="OSRRefT22_12x_0" localSheetId="2">Summary!$T$185</definedName>
    <definedName name="OSRRefT22_13x_0" localSheetId="41">'201'!$T$65:$T$67</definedName>
    <definedName name="OSRRefT22_13x_0" localSheetId="43">'203'!$T$69</definedName>
    <definedName name="OSRRefT22_13x_0" localSheetId="48">'300'!$T$156</definedName>
    <definedName name="OSRRefT22_13x_0" localSheetId="49">'300 &amp; 317'!$T$178</definedName>
    <definedName name="OSRRefT22_13x_0" localSheetId="50">'301'!$T$65:$T$68</definedName>
    <definedName name="OSRRefT22_13x_0" localSheetId="52">'307'!$T$84</definedName>
    <definedName name="OSRRefT22_13x_0" localSheetId="53">'308'!$T$101</definedName>
    <definedName name="OSRRefT22_13x_0" localSheetId="63">'310'!$T$75:$T$78</definedName>
    <definedName name="OSRRefT22_13x_0" localSheetId="71">'310 &amp; 491'!$T$77:$T$80</definedName>
    <definedName name="OSRRefT22_13x_0" localSheetId="54">'311'!$T$100</definedName>
    <definedName name="OSRRefT22_13x_0" localSheetId="57">'315'!$T$118:$T$119</definedName>
    <definedName name="OSRRefT22_13x_0" localSheetId="66">'321'!$T$73</definedName>
    <definedName name="OSRRefT22_13x_0" localSheetId="68">'325'!$T$76:$T$77</definedName>
    <definedName name="OSRRefT22_13x_0" localSheetId="58">'326'!$T$85:$T$86</definedName>
    <definedName name="OSRRefT22_13x_0" localSheetId="51">'330'!$T$84</definedName>
    <definedName name="OSRRefT22_13x_0" localSheetId="56">'331'!$T$117</definedName>
    <definedName name="OSRRefT22_13x_0" localSheetId="73">'405'!$T$78</definedName>
    <definedName name="OSRRefT22_13x_0" localSheetId="77">'411'!$T$74</definedName>
    <definedName name="OSRRefT22_13x_0" localSheetId="78">'412'!$T$74</definedName>
    <definedName name="OSRRefT22_13x_0" localSheetId="81">'414'!$T$70</definedName>
    <definedName name="OSRRefT22_13x_0" localSheetId="82">'415'!$T$76:$T$82</definedName>
    <definedName name="OSRRefT22_13x_0" localSheetId="83">'418'!$T$79</definedName>
    <definedName name="OSRRefT22_13x_0" localSheetId="90">'433'!$T$75:$T$82</definedName>
    <definedName name="OSRRefT22_13x_0" localSheetId="92">'444'!$T$75:$T$83</definedName>
    <definedName name="OSRRefT22_13x_0" localSheetId="93">'450'!$T$67:$T$69</definedName>
    <definedName name="OSRRefT22_13x_0" localSheetId="72">'491'!$T$73:$T$76</definedName>
    <definedName name="OSRRefT22_13x_0" localSheetId="88">'492'!$T$73:$T$76</definedName>
    <definedName name="OSRRefT22_13x_0" localSheetId="39">'Div 2'!$T$72:$T$75</definedName>
    <definedName name="OSRRefT22_13x_0" localSheetId="47">'Div 3'!$T$160</definedName>
    <definedName name="OSRRefT22_13x_0" localSheetId="70">'Div 4'!$T$76</definedName>
    <definedName name="OSRRefT22_13x_0" localSheetId="2">Summary!$T$187</definedName>
    <definedName name="OSRRefT22_14x_0" localSheetId="41">'201'!$T$69</definedName>
    <definedName name="OSRRefT22_14x_0" localSheetId="48">'300'!$T$158</definedName>
    <definedName name="OSRRefT22_14x_0" localSheetId="49">'300 &amp; 317'!$T$180</definedName>
    <definedName name="OSRRefT22_14x_0" localSheetId="50">'301'!$T$70:$T$72</definedName>
    <definedName name="OSRRefT22_14x_0" localSheetId="63">'310'!$T$80</definedName>
    <definedName name="OSRRefT22_14x_0" localSheetId="71">'310 &amp; 491'!$T$82:$T$83</definedName>
    <definedName name="OSRRefT22_14x_0" localSheetId="57">'315'!$T$121:$T$127</definedName>
    <definedName name="OSRRefT22_14x_0" localSheetId="68">'325'!$T$79</definedName>
    <definedName name="OSRRefT22_14x_0" localSheetId="58">'326'!$T$88:$T$90</definedName>
    <definedName name="OSRRefT22_14x_0" localSheetId="56">'331'!$T$119:$T$120</definedName>
    <definedName name="OSRRefT22_14x_0" localSheetId="73">'405'!$T$80</definedName>
    <definedName name="OSRRefT22_14x_0" localSheetId="81">'414'!$T$72</definedName>
    <definedName name="OSRRefT22_14x_0" localSheetId="82">'415'!$T$84:$T$85</definedName>
    <definedName name="OSRRefT22_14x_0" localSheetId="90">'433'!$T$84</definedName>
    <definedName name="OSRRefT22_14x_0" localSheetId="92">'444'!$T$85:$T$86</definedName>
    <definedName name="OSRRefT22_14x_0" localSheetId="93">'450'!$T$71:$T$77</definedName>
    <definedName name="OSRRefT22_14x_0" localSheetId="72">'491'!$T$78:$T$79</definedName>
    <definedName name="OSRRefT22_14x_0" localSheetId="88">'492'!$T$78:$T$87</definedName>
    <definedName name="OSRRefT22_14x_0" localSheetId="39">'Div 2'!$T$77:$T$78</definedName>
    <definedName name="OSRRefT22_14x_0" localSheetId="47">'Div 3'!$T$162</definedName>
    <definedName name="OSRRefT22_14x_0" localSheetId="70">'Div 4'!$T$78</definedName>
    <definedName name="OSRRefT22_14x_0" localSheetId="2">Summary!$T$189</definedName>
    <definedName name="OSRRefT22_15x_0" localSheetId="41">'201'!$T$71</definedName>
    <definedName name="OSRRefT22_15x_0" localSheetId="48">'300'!$T$160</definedName>
    <definedName name="OSRRefT22_15x_0" localSheetId="49">'300 &amp; 317'!$T$182</definedName>
    <definedName name="OSRRefT22_15x_0" localSheetId="50">'301'!$T$74</definedName>
    <definedName name="OSRRefT22_15x_0" localSheetId="63">'310'!$T$82:$T$88</definedName>
    <definedName name="OSRRefT22_15x_0" localSheetId="71">'310 &amp; 491'!$T$85:$T$89</definedName>
    <definedName name="OSRRefT22_15x_0" localSheetId="57">'315'!$T$129</definedName>
    <definedName name="OSRRefT22_15x_0" localSheetId="58">'326'!$T$92:$T$93</definedName>
    <definedName name="OSRRefT22_15x_0" localSheetId="56">'331'!$T$122:$T$124</definedName>
    <definedName name="OSRRefT22_15x_0" localSheetId="73">'405'!$T$82</definedName>
    <definedName name="OSRRefT22_15x_0" localSheetId="81">'414'!$T$74</definedName>
    <definedName name="OSRRefT22_15x_0" localSheetId="82">'415'!$T$87</definedName>
    <definedName name="OSRRefT22_15x_0" localSheetId="92">'444'!$T$88</definedName>
    <definedName name="OSRRefT22_15x_0" localSheetId="93">'450'!$T$79:$T$80</definedName>
    <definedName name="OSRRefT22_15x_0" localSheetId="72">'491'!$T$81:$T$85</definedName>
    <definedName name="OSRRefT22_15x_0" localSheetId="88">'492'!$T$89:$T$90</definedName>
    <definedName name="OSRRefT22_15x_0" localSheetId="39">'Div 2'!$T$80:$T$81</definedName>
    <definedName name="OSRRefT22_15x_0" localSheetId="47">'Div 3'!$T$164</definedName>
    <definedName name="OSRRefT22_15x_0" localSheetId="70">'Div 4'!$T$80:$T$83</definedName>
    <definedName name="OSRRefT22_15x_0" localSheetId="2">Summary!$T$191</definedName>
    <definedName name="OSRRefT22_16x_0" localSheetId="48">'300'!$T$162:$T$165</definedName>
    <definedName name="OSRRefT22_16x_0" localSheetId="49">'300 &amp; 317'!$T$184:$T$187</definedName>
    <definedName name="OSRRefT22_16x_0" localSheetId="50">'301'!$T$76:$T$82</definedName>
    <definedName name="OSRRefT22_16x_0" localSheetId="63">'310'!$T$90:$T$91</definedName>
    <definedName name="OSRRefT22_16x_0" localSheetId="71">'310 &amp; 491'!$T$91</definedName>
    <definedName name="OSRRefT22_16x_0" localSheetId="57">'315'!$T$131:$T$132</definedName>
    <definedName name="OSRRefT22_16x_0" localSheetId="58">'326'!$T$95:$T$100</definedName>
    <definedName name="OSRRefT22_16x_0" localSheetId="56">'331'!$T$126:$T$128</definedName>
    <definedName name="OSRRefT22_16x_0" localSheetId="93">'450'!$T$82</definedName>
    <definedName name="OSRRefT22_16x_0" localSheetId="72">'491'!$T$87</definedName>
    <definedName name="OSRRefT22_16x_0" localSheetId="88">'492'!$T$92</definedName>
    <definedName name="OSRRefT22_16x_0" localSheetId="39">'Div 2'!$T$83:$T$87</definedName>
    <definedName name="OSRRefT22_16x_0" localSheetId="47">'Div 3'!$T$166</definedName>
    <definedName name="OSRRefT22_16x_0" localSheetId="70">'Div 4'!$T$85:$T$86</definedName>
    <definedName name="OSRRefT22_16x_0" localSheetId="2">Summary!$T$193</definedName>
    <definedName name="OSRRefT22_17x_0" localSheetId="48">'300'!$T$167:$T$170</definedName>
    <definedName name="OSRRefT22_17x_0" localSheetId="49">'300 &amp; 317'!$T$189:$T$192</definedName>
    <definedName name="OSRRefT22_17x_0" localSheetId="50">'301'!$T$84</definedName>
    <definedName name="OSRRefT22_17x_0" localSheetId="63">'310'!$T$93</definedName>
    <definedName name="OSRRefT22_17x_0" localSheetId="71">'310 &amp; 491'!$T$93:$T$103</definedName>
    <definedName name="OSRRefT22_17x_0" localSheetId="58">'326'!$T$102:$T$103</definedName>
    <definedName name="OSRRefT22_17x_0" localSheetId="56">'331'!$T$130:$T$131</definedName>
    <definedName name="OSRRefT22_17x_0" localSheetId="72">'491'!$T$89:$T$99</definedName>
    <definedName name="OSRRefT22_17x_0" localSheetId="88">'492'!$T$94</definedName>
    <definedName name="OSRRefT22_17x_0" localSheetId="39">'Div 2'!$T$89:$T$90</definedName>
    <definedName name="OSRRefT22_17x_0" localSheetId="47">'Div 3'!$T$168:$T$171</definedName>
    <definedName name="OSRRefT22_17x_0" localSheetId="70">'Div 4'!$T$88:$T$92</definedName>
    <definedName name="OSRRefT22_17x_0" localSheetId="2">Summary!$T$195</definedName>
    <definedName name="OSRRefT22_18x_0" localSheetId="48">'300'!$T$172:$T$175</definedName>
    <definedName name="OSRRefT22_18x_0" localSheetId="49">'300 &amp; 317'!$T$194:$T$197</definedName>
    <definedName name="OSRRefT22_18x_0" localSheetId="50">'301'!$T$86</definedName>
    <definedName name="OSRRefT22_18x_0" localSheetId="63">'310'!$T$95</definedName>
    <definedName name="OSRRefT22_18x_0" localSheetId="71">'310 &amp; 491'!$T$105:$T$106</definedName>
    <definedName name="OSRRefT22_18x_0" localSheetId="58">'326'!$T$105</definedName>
    <definedName name="OSRRefT22_18x_0" localSheetId="56">'331'!$T$133:$T$140</definedName>
    <definedName name="OSRRefT22_18x_0" localSheetId="72">'491'!$T$101:$T$102</definedName>
    <definedName name="OSRRefT22_18x_0" localSheetId="39">'Div 2'!$T$92</definedName>
    <definedName name="OSRRefT22_18x_0" localSheetId="47">'Div 3'!$T$173:$T$176</definedName>
    <definedName name="OSRRefT22_18x_0" localSheetId="70">'Div 4'!$T$94</definedName>
    <definedName name="OSRRefT22_18x_0" localSheetId="2">Summary!$T$197:$T$200</definedName>
    <definedName name="OSRRefT22_19x_0" localSheetId="48">'300'!$T$177:$T$178</definedName>
    <definedName name="OSRRefT22_19x_0" localSheetId="49">'300 &amp; 317'!$T$199:$T$200</definedName>
    <definedName name="OSRRefT22_19x_0" localSheetId="50">'301'!$T$88</definedName>
    <definedName name="OSRRefT22_19x_0" localSheetId="71">'310 &amp; 491'!$T$108</definedName>
    <definedName name="OSRRefT22_19x_0" localSheetId="58">'326'!$T$107:$T$108</definedName>
    <definedName name="OSRRefT22_19x_0" localSheetId="56">'331'!$T$142:$T$143</definedName>
    <definedName name="OSRRefT22_19x_0" localSheetId="72">'491'!$T$104</definedName>
    <definedName name="OSRRefT22_19x_0" localSheetId="39">'Div 2'!$T$94:$T$95</definedName>
    <definedName name="OSRRefT22_19x_0" localSheetId="47">'Div 3'!$T$178:$T$182</definedName>
    <definedName name="OSRRefT22_19x_0" localSheetId="70">'Div 4'!$T$96:$T$106</definedName>
    <definedName name="OSRRefT22_19x_0" localSheetId="2">Summary!$T$202:$T$205</definedName>
    <definedName name="OSRRefT22_1x_0" localSheetId="40">'200'!$T$22</definedName>
    <definedName name="OSRRefT22_1x_0" localSheetId="41">'201'!$T$31:$T$40</definedName>
    <definedName name="OSRRefT22_1x_0" localSheetId="42">'202'!$T$31:$T$40</definedName>
    <definedName name="OSRRefT22_1x_0" localSheetId="43">'203'!$T$31:$T$40</definedName>
    <definedName name="OSRRefT22_1x_0" localSheetId="44">'204'!$T$31:$T$40</definedName>
    <definedName name="OSRRefT22_1x_0" localSheetId="45">'205'!$T$30:$T$39</definedName>
    <definedName name="OSRRefT22_1x_0" localSheetId="46">'206'!$T$30:$T$39</definedName>
    <definedName name="OSRRefT22_1x_0" localSheetId="48">'300'!$T$117:$T$126</definedName>
    <definedName name="OSRRefT22_1x_0" localSheetId="49">'300 &amp; 317'!$T$139:$T$148</definedName>
    <definedName name="OSRRefT22_1x_0" localSheetId="50">'301'!$T$30:$T$39</definedName>
    <definedName name="OSRRefT22_1x_0" localSheetId="52">'307'!$T$45:$T$54</definedName>
    <definedName name="OSRRefT22_1x_0" localSheetId="53">'308'!$T$63:$T$72</definedName>
    <definedName name="OSRRefT22_1x_0" localSheetId="64">'309'!$T$31:$T$40</definedName>
    <definedName name="OSRRefT22_1x_0" localSheetId="63">'310'!$T$38:$T$47</definedName>
    <definedName name="OSRRefT22_1x_0" localSheetId="71">'310 &amp; 491'!$T$41:$T$50</definedName>
    <definedName name="OSRRefT22_1x_0" localSheetId="54">'311'!$T$62:$T$71</definedName>
    <definedName name="OSRRefT22_1x_0" localSheetId="65">'313'!$T$33:$T$42</definedName>
    <definedName name="OSRRefT22_1x_0" localSheetId="57">'315'!$T$82:$T$91</definedName>
    <definedName name="OSRRefT22_1x_0" localSheetId="60">'316'!$T$40:$T$49</definedName>
    <definedName name="OSRRefT22_1x_0" localSheetId="62">'317'!$T$60:$T$69</definedName>
    <definedName name="OSRRefT22_1x_0" localSheetId="66">'321'!$T$35:$T$44</definedName>
    <definedName name="OSRRefT22_1x_0" localSheetId="67">'322'!$T$32:$T$41</definedName>
    <definedName name="OSRRefT22_1x_0" localSheetId="55">'324'!$T$36:$T$45</definedName>
    <definedName name="OSRRefT22_1x_0" localSheetId="68">'325'!$T$33:$T$42</definedName>
    <definedName name="OSRRefT22_1x_0" localSheetId="58">'326'!$T$51:$T$60</definedName>
    <definedName name="OSRRefT22_1x_0" localSheetId="51">'330'!$T$45:$T$54</definedName>
    <definedName name="OSRRefT22_1x_0" localSheetId="56">'331'!$T$82:$T$91</definedName>
    <definedName name="OSRRefT22_1x_0" localSheetId="59">'332'!$T$40:$T$49</definedName>
    <definedName name="OSRRefT22_1x_0" localSheetId="73">'405'!$T$32:$T$41</definedName>
    <definedName name="OSRRefT22_1x_0" localSheetId="74">'406'!$T$22</definedName>
    <definedName name="OSRRefT22_1x_0" localSheetId="77">'411'!$T$30:$T$39</definedName>
    <definedName name="OSRRefT22_1x_0" localSheetId="78">'412'!$T$31:$T$40</definedName>
    <definedName name="OSRRefT22_1x_0" localSheetId="80">'413'!$T$33:$T$42</definedName>
    <definedName name="OSRRefT22_1x_0" localSheetId="81">'414'!$T$34:$T$43</definedName>
    <definedName name="OSRRefT22_1x_0" localSheetId="82">'415'!$T$37:$T$46</definedName>
    <definedName name="OSRRefT22_1x_0" localSheetId="83">'418'!$T$32:$T$41</definedName>
    <definedName name="OSRRefT22_1x_0" localSheetId="84">'423'!$T$29:$T$38</definedName>
    <definedName name="OSRRefT22_1x_0" localSheetId="85">'424'!$T$22</definedName>
    <definedName name="OSRRefT22_1x_0" localSheetId="86">'425'!$T$26</definedName>
    <definedName name="OSRRefT22_1x_0" localSheetId="89">'430'!$T$30:$T$39</definedName>
    <definedName name="OSRRefT22_1x_0" localSheetId="90">'433'!$T$38:$T$47</definedName>
    <definedName name="OSRRefT22_1x_0" localSheetId="92">'444'!$T$38:$T$47</definedName>
    <definedName name="OSRRefT22_1x_0" localSheetId="93">'450'!$T$34:$T$43</definedName>
    <definedName name="OSRRefT22_1x_0" localSheetId="72">'491'!$T$38:$T$47</definedName>
    <definedName name="OSRRefT22_1x_0" localSheetId="88">'492'!$T$38:$T$47</definedName>
    <definedName name="OSRRefT22_1x_0" localSheetId="95">'501'!$T$32:$T$41</definedName>
    <definedName name="OSRRefT22_1x_0" localSheetId="39">'Div 2'!$T$33:$T$42</definedName>
    <definedName name="OSRRefT22_1x_0" localSheetId="47">'Div 3'!$T$121:$T$130</definedName>
    <definedName name="OSRRefT22_1x_0" localSheetId="70">'Div 4'!$T$41:$T$50</definedName>
    <definedName name="OSRRefT22_1x_0" localSheetId="94">'Div 5'!$T$32:$T$41</definedName>
    <definedName name="OSRRefT22_1x_0" localSheetId="61">'Div 6'!$T$60:$T$69</definedName>
    <definedName name="OSRRefT22_1x_0" localSheetId="2">Summary!$T$147:$T$156</definedName>
    <definedName name="OSRRefT22_20x_0" localSheetId="48">'300'!$T$180:$T$188</definedName>
    <definedName name="OSRRefT22_20x_0" localSheetId="49">'300 &amp; 317'!$T$202:$T$210</definedName>
    <definedName name="OSRRefT22_20x_0" localSheetId="50">'301'!$T$90</definedName>
    <definedName name="OSRRefT22_20x_0" localSheetId="71">'310 &amp; 491'!$T$110:$T$111</definedName>
    <definedName name="OSRRefT22_20x_0" localSheetId="58">'326'!$T$110</definedName>
    <definedName name="OSRRefT22_20x_0" localSheetId="56">'331'!$T$145</definedName>
    <definedName name="OSRRefT22_20x_0" localSheetId="72">'491'!$T$106:$T$107</definedName>
    <definedName name="OSRRefT22_20x_0" localSheetId="47">'Div 3'!$T$184:$T$185</definedName>
    <definedName name="OSRRefT22_20x_0" localSheetId="70">'Div 4'!$T$108:$T$109</definedName>
    <definedName name="OSRRefT22_20x_0" localSheetId="2">Summary!$T$207:$T$211</definedName>
    <definedName name="OSRRefT22_21x_0" localSheetId="48">'300'!$T$190:$T$191</definedName>
    <definedName name="OSRRefT22_21x_0" localSheetId="49">'300 &amp; 317'!$T$212:$T$213</definedName>
    <definedName name="OSRRefT22_21x_0" localSheetId="71">'310 &amp; 491'!$T$113</definedName>
    <definedName name="OSRRefT22_21x_0" localSheetId="56">'331'!$T$147:$T$148</definedName>
    <definedName name="OSRRefT22_21x_0" localSheetId="72">'491'!$T$109</definedName>
    <definedName name="OSRRefT22_21x_0" localSheetId="47">'Div 3'!$T$187:$T$195</definedName>
    <definedName name="OSRRefT22_21x_0" localSheetId="70">'Div 4'!$T$111</definedName>
    <definedName name="OSRRefT22_21x_0" localSheetId="2">Summary!$T$213:$T$214</definedName>
    <definedName name="OSRRefT22_22x_0" localSheetId="48">'300'!$T$193</definedName>
    <definedName name="OSRRefT22_22x_0" localSheetId="49">'300 &amp; 317'!$T$215</definedName>
    <definedName name="OSRRefT22_22x_0" localSheetId="56">'331'!$T$150</definedName>
    <definedName name="OSRRefT22_22x_0" localSheetId="47">'Div 3'!$T$197:$T$198</definedName>
    <definedName name="OSRRefT22_22x_0" localSheetId="70">'Div 4'!$T$113:$T$114</definedName>
    <definedName name="OSRRefT22_22x_0" localSheetId="2">Summary!$T$216:$T$226</definedName>
    <definedName name="OSRRefT22_23x_0" localSheetId="48">'300'!$T$195:$T$197</definedName>
    <definedName name="OSRRefT22_23x_0" localSheetId="49">'300 &amp; 317'!$T$217:$T$219</definedName>
    <definedName name="OSRRefT22_23x_0" localSheetId="47">'Div 3'!$T$200</definedName>
    <definedName name="OSRRefT22_23x_0" localSheetId="70">'Div 4'!$T$116</definedName>
    <definedName name="OSRRefT22_23x_0" localSheetId="2">Summary!$T$228:$T$229</definedName>
    <definedName name="OSRRefT22_24x_0" localSheetId="48">'300'!$T$199</definedName>
    <definedName name="OSRRefT22_24x_0" localSheetId="49">'300 &amp; 317'!$T$221</definedName>
    <definedName name="OSRRefT22_24x_0" localSheetId="47">'Div 3'!$T$202:$T$204</definedName>
    <definedName name="OSRRefT22_24x_0" localSheetId="2">Summary!$T$231</definedName>
    <definedName name="OSRRefT22_25x_0" localSheetId="47">'Div 3'!$T$206</definedName>
    <definedName name="OSRRefT22_25x_0" localSheetId="2">Summary!$T$233:$T$235</definedName>
    <definedName name="OSRRefT22_26x_0" localSheetId="2">Summary!$T$237</definedName>
    <definedName name="OSRRefT22_2x_0" localSheetId="40">'200'!$T$24</definedName>
    <definedName name="OSRRefT22_2x_0" localSheetId="41">'201'!$T$42</definedName>
    <definedName name="OSRRefT22_2x_0" localSheetId="42">'202'!$T$42</definedName>
    <definedName name="OSRRefT22_2x_0" localSheetId="43">'203'!$T$42</definedName>
    <definedName name="OSRRefT22_2x_0" localSheetId="44">'204'!$T$42</definedName>
    <definedName name="OSRRefT22_2x_0" localSheetId="45">'205'!$T$41</definedName>
    <definedName name="OSRRefT22_2x_0" localSheetId="46">'206'!$T$41</definedName>
    <definedName name="OSRRefT22_2x_0" localSheetId="48">'300'!$T$128</definedName>
    <definedName name="OSRRefT22_2x_0" localSheetId="49">'300 &amp; 317'!$T$150</definedName>
    <definedName name="OSRRefT22_2x_0" localSheetId="50">'301'!$T$41:$T$42</definedName>
    <definedName name="OSRRefT22_2x_0" localSheetId="52">'307'!$T$56</definedName>
    <definedName name="OSRRefT22_2x_0" localSheetId="53">'308'!$T$74</definedName>
    <definedName name="OSRRefT22_2x_0" localSheetId="64">'309'!$T$42</definedName>
    <definedName name="OSRRefT22_2x_0" localSheetId="63">'310'!$T$49</definedName>
    <definedName name="OSRRefT22_2x_0" localSheetId="71">'310 &amp; 491'!$T$52</definedName>
    <definedName name="OSRRefT22_2x_0" localSheetId="54">'311'!$T$73</definedName>
    <definedName name="OSRRefT22_2x_0" localSheetId="65">'313'!$T$44</definedName>
    <definedName name="OSRRefT22_2x_0" localSheetId="57">'315'!$T$93</definedName>
    <definedName name="OSRRefT22_2x_0" localSheetId="60">'316'!$T$51</definedName>
    <definedName name="OSRRefT22_2x_0" localSheetId="62">'317'!$T$71</definedName>
    <definedName name="OSRRefT22_2x_0" localSheetId="66">'321'!$T$46</definedName>
    <definedName name="OSRRefT22_2x_0" localSheetId="67">'322'!$T$43</definedName>
    <definedName name="OSRRefT22_2x_0" localSheetId="68">'325'!$T$44</definedName>
    <definedName name="OSRRefT22_2x_0" localSheetId="58">'326'!$T$62</definedName>
    <definedName name="OSRRefT22_2x_0" localSheetId="51">'330'!$T$56</definedName>
    <definedName name="OSRRefT22_2x_0" localSheetId="56">'331'!$T$93</definedName>
    <definedName name="OSRRefT22_2x_0" localSheetId="59">'332'!$T$51</definedName>
    <definedName name="OSRRefT22_2x_0" localSheetId="73">'405'!$T$43</definedName>
    <definedName name="OSRRefT22_2x_0" localSheetId="74">'406'!$T$24</definedName>
    <definedName name="OSRRefT22_2x_0" localSheetId="77">'411'!$T$41</definedName>
    <definedName name="OSRRefT22_2x_0" localSheetId="78">'412'!$T$42</definedName>
    <definedName name="OSRRefT22_2x_0" localSheetId="80">'413'!$T$44</definedName>
    <definedName name="OSRRefT22_2x_0" localSheetId="81">'414'!$T$45</definedName>
    <definedName name="OSRRefT22_2x_0" localSheetId="82">'415'!$T$48</definedName>
    <definedName name="OSRRefT22_2x_0" localSheetId="83">'418'!$T$43</definedName>
    <definedName name="OSRRefT22_2x_0" localSheetId="84">'423'!$T$40</definedName>
    <definedName name="OSRRefT22_2x_0" localSheetId="85">'424'!$T$24</definedName>
    <definedName name="OSRRefT22_2x_0" localSheetId="86">'425'!$T$28</definedName>
    <definedName name="OSRRefT22_2x_0" localSheetId="89">'430'!$T$41</definedName>
    <definedName name="OSRRefT22_2x_0" localSheetId="90">'433'!$T$49</definedName>
    <definedName name="OSRRefT22_2x_0" localSheetId="92">'444'!$T$49</definedName>
    <definedName name="OSRRefT22_2x_0" localSheetId="93">'450'!$T$45</definedName>
    <definedName name="OSRRefT22_2x_0" localSheetId="72">'491'!$T$49</definedName>
    <definedName name="OSRRefT22_2x_0" localSheetId="88">'492'!$T$49</definedName>
    <definedName name="OSRRefT22_2x_0" localSheetId="95">'501'!$T$43</definedName>
    <definedName name="OSRRefT22_2x_0" localSheetId="39">'Div 2'!$T$44</definedName>
    <definedName name="OSRRefT22_2x_0" localSheetId="47">'Div 3'!$T$132</definedName>
    <definedName name="OSRRefT22_2x_0" localSheetId="70">'Div 4'!$T$52</definedName>
    <definedName name="OSRRefT22_2x_0" localSheetId="94">'Div 5'!$T$43</definedName>
    <definedName name="OSRRefT22_2x_0" localSheetId="61">'Div 6'!$T$71</definedName>
    <definedName name="OSRRefT22_2x_0" localSheetId="2">Summary!$T$158</definedName>
    <definedName name="OSRRefT22_3x_0" localSheetId="40">'200'!$T$26:$T$27</definedName>
    <definedName name="OSRRefT22_3x_0" localSheetId="41">'201'!$T$44</definedName>
    <definedName name="OSRRefT22_3x_0" localSheetId="42">'202'!$T$44</definedName>
    <definedName name="OSRRefT22_3x_0" localSheetId="43">'203'!$T$44</definedName>
    <definedName name="OSRRefT22_3x_0" localSheetId="44">'204'!$T$44:$T$45</definedName>
    <definedName name="OSRRefT22_3x_0" localSheetId="45">'205'!$T$43</definedName>
    <definedName name="OSRRefT22_3x_0" localSheetId="46">'206'!$T$43</definedName>
    <definedName name="OSRRefT22_3x_0" localSheetId="48">'300'!$T$130:$T$131</definedName>
    <definedName name="OSRRefT22_3x_0" localSheetId="49">'300 &amp; 317'!$T$152:$T$153</definedName>
    <definedName name="OSRRefT22_3x_0" localSheetId="50">'301'!$T$44</definedName>
    <definedName name="OSRRefT22_3x_0" localSheetId="52">'307'!$T$58</definedName>
    <definedName name="OSRRefT22_3x_0" localSheetId="53">'308'!$T$76</definedName>
    <definedName name="OSRRefT22_3x_0" localSheetId="64">'309'!$T$44</definedName>
    <definedName name="OSRRefT22_3x_0" localSheetId="63">'310'!$T$51</definedName>
    <definedName name="OSRRefT22_3x_0" localSheetId="71">'310 &amp; 491'!$T$54</definedName>
    <definedName name="OSRRefT22_3x_0" localSheetId="54">'311'!$T$75</definedName>
    <definedName name="OSRRefT22_3x_0" localSheetId="65">'313'!$T$46</definedName>
    <definedName name="OSRRefT22_3x_0" localSheetId="57">'315'!$T$95</definedName>
    <definedName name="OSRRefT22_3x_0" localSheetId="60">'316'!$T$53</definedName>
    <definedName name="OSRRefT22_3x_0" localSheetId="62">'317'!$T$73</definedName>
    <definedName name="OSRRefT22_3x_0" localSheetId="66">'321'!$T$48</definedName>
    <definedName name="OSRRefT22_3x_0" localSheetId="67">'322'!$T$45</definedName>
    <definedName name="OSRRefT22_3x_0" localSheetId="68">'325'!$T$46</definedName>
    <definedName name="OSRRefT22_3x_0" localSheetId="58">'326'!$T$64</definedName>
    <definedName name="OSRRefT22_3x_0" localSheetId="51">'330'!$T$58</definedName>
    <definedName name="OSRRefT22_3x_0" localSheetId="56">'331'!$T$95</definedName>
    <definedName name="OSRRefT22_3x_0" localSheetId="59">'332'!$T$53</definedName>
    <definedName name="OSRRefT22_3x_0" localSheetId="73">'405'!$T$45</definedName>
    <definedName name="OSRRefT22_3x_0" localSheetId="74">'406'!$T$26</definedName>
    <definedName name="OSRRefT22_3x_0" localSheetId="77">'411'!$T$43</definedName>
    <definedName name="OSRRefT22_3x_0" localSheetId="78">'412'!$T$44</definedName>
    <definedName name="OSRRefT22_3x_0" localSheetId="80">'413'!$T$46</definedName>
    <definedName name="OSRRefT22_3x_0" localSheetId="81">'414'!$T$47</definedName>
    <definedName name="OSRRefT22_3x_0" localSheetId="82">'415'!$T$50</definedName>
    <definedName name="OSRRefT22_3x_0" localSheetId="83">'418'!$T$45</definedName>
    <definedName name="OSRRefT22_3x_0" localSheetId="84">'423'!$T$42:$T$43</definedName>
    <definedName name="OSRRefT22_3x_0" localSheetId="85">'424'!$T$26</definedName>
    <definedName name="OSRRefT22_3x_0" localSheetId="86">'425'!$T$30</definedName>
    <definedName name="OSRRefT22_3x_0" localSheetId="89">'430'!$T$43:$T$45</definedName>
    <definedName name="OSRRefT22_3x_0" localSheetId="90">'433'!$T$51</definedName>
    <definedName name="OSRRefT22_3x_0" localSheetId="92">'444'!$T$51</definedName>
    <definedName name="OSRRefT22_3x_0" localSheetId="93">'450'!$T$47</definedName>
    <definedName name="OSRRefT22_3x_0" localSheetId="72">'491'!$T$51</definedName>
    <definedName name="OSRRefT22_3x_0" localSheetId="88">'492'!$T$51</definedName>
    <definedName name="OSRRefT22_3x_0" localSheetId="95">'501'!$T$45</definedName>
    <definedName name="OSRRefT22_3x_0" localSheetId="39">'Div 2'!$T$46</definedName>
    <definedName name="OSRRefT22_3x_0" localSheetId="47">'Div 3'!$T$134:$T$135</definedName>
    <definedName name="OSRRefT22_3x_0" localSheetId="70">'Div 4'!$T$54</definedName>
    <definedName name="OSRRefT22_3x_0" localSheetId="94">'Div 5'!$T$45</definedName>
    <definedName name="OSRRefT22_3x_0" localSheetId="61">'Div 6'!$T$73</definedName>
    <definedName name="OSRRefT22_3x_0" localSheetId="2">Summary!$T$160:$T$161</definedName>
    <definedName name="OSRRefT22_4x_0" localSheetId="41">'201'!$T$46</definedName>
    <definedName name="OSRRefT22_4x_0" localSheetId="42">'202'!$T$46:$T$47</definedName>
    <definedName name="OSRRefT22_4x_0" localSheetId="43">'203'!$T$46</definedName>
    <definedName name="OSRRefT22_4x_0" localSheetId="44">'204'!$T$47</definedName>
    <definedName name="OSRRefT22_4x_0" localSheetId="45">'205'!$T$45:$T$46</definedName>
    <definedName name="OSRRefT22_4x_0" localSheetId="46">'206'!$T$45</definedName>
    <definedName name="OSRRefT22_4x_0" localSheetId="48">'300'!$T$133</definedName>
    <definedName name="OSRRefT22_4x_0" localSheetId="49">'300 &amp; 317'!$T$155</definedName>
    <definedName name="OSRRefT22_4x_0" localSheetId="50">'301'!$T$46:$T$47</definedName>
    <definedName name="OSRRefT22_4x_0" localSheetId="52">'307'!$T$60</definedName>
    <definedName name="OSRRefT22_4x_0" localSheetId="53">'308'!$T$78</definedName>
    <definedName name="OSRRefT22_4x_0" localSheetId="64">'309'!$T$46</definedName>
    <definedName name="OSRRefT22_4x_0" localSheetId="63">'310'!$T$53</definedName>
    <definedName name="OSRRefT22_4x_0" localSheetId="71">'310 &amp; 491'!$T$56</definedName>
    <definedName name="OSRRefT22_4x_0" localSheetId="54">'311'!$T$77</definedName>
    <definedName name="OSRRefT22_4x_0" localSheetId="65">'313'!$T$48</definedName>
    <definedName name="OSRRefT22_4x_0" localSheetId="57">'315'!$T$97</definedName>
    <definedName name="OSRRefT22_4x_0" localSheetId="60">'316'!$T$55</definedName>
    <definedName name="OSRRefT22_4x_0" localSheetId="62">'317'!$T$75</definedName>
    <definedName name="OSRRefT22_4x_0" localSheetId="66">'321'!$T$50</definedName>
    <definedName name="OSRRefT22_4x_0" localSheetId="67">'322'!$T$47</definedName>
    <definedName name="OSRRefT22_4x_0" localSheetId="68">'325'!$T$48</definedName>
    <definedName name="OSRRefT22_4x_0" localSheetId="58">'326'!$T$66</definedName>
    <definedName name="OSRRefT22_4x_0" localSheetId="51">'330'!$T$60</definedName>
    <definedName name="OSRRefT22_4x_0" localSheetId="56">'331'!$T$97</definedName>
    <definedName name="OSRRefT22_4x_0" localSheetId="59">'332'!$T$55</definedName>
    <definedName name="OSRRefT22_4x_0" localSheetId="73">'405'!$T$47:$T$48</definedName>
    <definedName name="OSRRefT22_4x_0" localSheetId="74">'406'!$T$28</definedName>
    <definedName name="OSRRefT22_4x_0" localSheetId="77">'411'!$T$45:$T$46</definedName>
    <definedName name="OSRRefT22_4x_0" localSheetId="78">'412'!$T$46:$T$47</definedName>
    <definedName name="OSRRefT22_4x_0" localSheetId="80">'413'!$T$48</definedName>
    <definedName name="OSRRefT22_4x_0" localSheetId="81">'414'!$T$49</definedName>
    <definedName name="OSRRefT22_4x_0" localSheetId="82">'415'!$T$52</definedName>
    <definedName name="OSRRefT22_4x_0" localSheetId="83">'418'!$T$47:$T$48</definedName>
    <definedName name="OSRRefT22_4x_0" localSheetId="84">'423'!$T$45</definedName>
    <definedName name="OSRRefT22_4x_0" localSheetId="86">'425'!$T$32</definedName>
    <definedName name="OSRRefT22_4x_0" localSheetId="89">'430'!$T$47:$T$48</definedName>
    <definedName name="OSRRefT22_4x_0" localSheetId="90">'433'!$T$53</definedName>
    <definedName name="OSRRefT22_4x_0" localSheetId="92">'444'!$T$53</definedName>
    <definedName name="OSRRefT22_4x_0" localSheetId="93">'450'!$T$49</definedName>
    <definedName name="OSRRefT22_4x_0" localSheetId="72">'491'!$T$53</definedName>
    <definedName name="OSRRefT22_4x_0" localSheetId="88">'492'!$T$53</definedName>
    <definedName name="OSRRefT22_4x_0" localSheetId="95">'501'!$T$47</definedName>
    <definedName name="OSRRefT22_4x_0" localSheetId="39">'Div 2'!$T$48</definedName>
    <definedName name="OSRRefT22_4x_0" localSheetId="47">'Div 3'!$T$137</definedName>
    <definedName name="OSRRefT22_4x_0" localSheetId="70">'Div 4'!$T$56</definedName>
    <definedName name="OSRRefT22_4x_0" localSheetId="94">'Div 5'!$T$47</definedName>
    <definedName name="OSRRefT22_4x_0" localSheetId="61">'Div 6'!$T$75</definedName>
    <definedName name="OSRRefT22_4x_0" localSheetId="2">Summary!$T$163</definedName>
    <definedName name="OSRRefT22_5x_0" localSheetId="41">'201'!$T$48</definedName>
    <definedName name="OSRRefT22_5x_0" localSheetId="42">'202'!$T$49</definedName>
    <definedName name="OSRRefT22_5x_0" localSheetId="43">'203'!$T$48</definedName>
    <definedName name="OSRRefT22_5x_0" localSheetId="44">'204'!$T$49</definedName>
    <definedName name="OSRRefT22_5x_0" localSheetId="45">'205'!$T$48</definedName>
    <definedName name="OSRRefT22_5x_0" localSheetId="46">'206'!$T$47</definedName>
    <definedName name="OSRRefT22_5x_0" localSheetId="48">'300'!$T$135:$T$136</definedName>
    <definedName name="OSRRefT22_5x_0" localSheetId="49">'300 &amp; 317'!$T$157:$T$158</definedName>
    <definedName name="OSRRefT22_5x_0" localSheetId="50">'301'!$T$49</definedName>
    <definedName name="OSRRefT22_5x_0" localSheetId="52">'307'!$T$62</definedName>
    <definedName name="OSRRefT22_5x_0" localSheetId="53">'308'!$T$80</definedName>
    <definedName name="OSRRefT22_5x_0" localSheetId="64">'309'!$T$48</definedName>
    <definedName name="OSRRefT22_5x_0" localSheetId="63">'310'!$T$55:$T$56</definedName>
    <definedName name="OSRRefT22_5x_0" localSheetId="71">'310 &amp; 491'!$T$58:$T$60</definedName>
    <definedName name="OSRRefT22_5x_0" localSheetId="54">'311'!$T$79</definedName>
    <definedName name="OSRRefT22_5x_0" localSheetId="65">'313'!$T$50</definedName>
    <definedName name="OSRRefT22_5x_0" localSheetId="57">'315'!$T$99</definedName>
    <definedName name="OSRRefT22_5x_0" localSheetId="60">'316'!$T$57</definedName>
    <definedName name="OSRRefT22_5x_0" localSheetId="62">'317'!$T$77</definedName>
    <definedName name="OSRRefT22_5x_0" localSheetId="66">'321'!$T$52</definedName>
    <definedName name="OSRRefT22_5x_0" localSheetId="67">'322'!$T$49</definedName>
    <definedName name="OSRRefT22_5x_0" localSheetId="68">'325'!$T$50:$T$51</definedName>
    <definedName name="OSRRefT22_5x_0" localSheetId="58">'326'!$T$68</definedName>
    <definedName name="OSRRefT22_5x_0" localSheetId="51">'330'!$T$62</definedName>
    <definedName name="OSRRefT22_5x_0" localSheetId="56">'331'!$T$99</definedName>
    <definedName name="OSRRefT22_5x_0" localSheetId="59">'332'!$T$57</definedName>
    <definedName name="OSRRefT22_5x_0" localSheetId="73">'405'!$T$50</definedName>
    <definedName name="OSRRefT22_5x_0" localSheetId="77">'411'!$T$48</definedName>
    <definedName name="OSRRefT22_5x_0" localSheetId="78">'412'!$T$49</definedName>
    <definedName name="OSRRefT22_5x_0" localSheetId="80">'413'!$T$50</definedName>
    <definedName name="OSRRefT22_5x_0" localSheetId="81">'414'!$T$51</definedName>
    <definedName name="OSRRefT22_5x_0" localSheetId="82">'415'!$T$54:$T$55</definedName>
    <definedName name="OSRRefT22_5x_0" localSheetId="83">'418'!$T$50</definedName>
    <definedName name="OSRRefT22_5x_0" localSheetId="84">'423'!$T$47</definedName>
    <definedName name="OSRRefT22_5x_0" localSheetId="89">'430'!$T$50</definedName>
    <definedName name="OSRRefT22_5x_0" localSheetId="90">'433'!$T$55</definedName>
    <definedName name="OSRRefT22_5x_0" localSheetId="92">'444'!$T$55</definedName>
    <definedName name="OSRRefT22_5x_0" localSheetId="93">'450'!$T$51</definedName>
    <definedName name="OSRRefT22_5x_0" localSheetId="72">'491'!$T$55:$T$57</definedName>
    <definedName name="OSRRefT22_5x_0" localSheetId="88">'492'!$T$55</definedName>
    <definedName name="OSRRefT22_5x_0" localSheetId="95">'501'!$T$49:$T$50</definedName>
    <definedName name="OSRRefT22_5x_0" localSheetId="39">'Div 2'!$T$50:$T$51</definedName>
    <definedName name="OSRRefT22_5x_0" localSheetId="47">'Div 3'!$T$139:$T$140</definedName>
    <definedName name="OSRRefT22_5x_0" localSheetId="70">'Div 4'!$T$58:$T$60</definedName>
    <definedName name="OSRRefT22_5x_0" localSheetId="94">'Div 5'!$T$49:$T$50</definedName>
    <definedName name="OSRRefT22_5x_0" localSheetId="61">'Div 6'!$T$77</definedName>
    <definedName name="OSRRefT22_5x_0" localSheetId="2">Summary!$T$165:$T$167</definedName>
    <definedName name="OSRRefT22_6x_0" localSheetId="41">'201'!$T$50</definedName>
    <definedName name="OSRRefT22_6x_0" localSheetId="42">'202'!$T$51</definedName>
    <definedName name="OSRRefT22_6x_0" localSheetId="43">'203'!$T$50</definedName>
    <definedName name="OSRRefT22_6x_0" localSheetId="44">'204'!$T$51:$T$53</definedName>
    <definedName name="OSRRefT22_6x_0" localSheetId="45">'205'!$T$50:$T$51</definedName>
    <definedName name="OSRRefT22_6x_0" localSheetId="46">'206'!$T$49</definedName>
    <definedName name="OSRRefT22_6x_0" localSheetId="48">'300'!$T$138</definedName>
    <definedName name="OSRRefT22_6x_0" localSheetId="49">'300 &amp; 317'!$T$160</definedName>
    <definedName name="OSRRefT22_6x_0" localSheetId="50">'301'!$T$51</definedName>
    <definedName name="OSRRefT22_6x_0" localSheetId="52">'307'!$T$64</definedName>
    <definedName name="OSRRefT22_6x_0" localSheetId="53">'308'!$T$82</definedName>
    <definedName name="OSRRefT22_6x_0" localSheetId="64">'309'!$T$50:$T$51</definedName>
    <definedName name="OSRRefT22_6x_0" localSheetId="63">'310'!$T$58</definedName>
    <definedName name="OSRRefT22_6x_0" localSheetId="71">'310 &amp; 491'!$T$62</definedName>
    <definedName name="OSRRefT22_6x_0" localSheetId="54">'311'!$T$81</definedName>
    <definedName name="OSRRefT22_6x_0" localSheetId="65">'313'!$T$52:$T$53</definedName>
    <definedName name="OSRRefT22_6x_0" localSheetId="57">'315'!$T$101</definedName>
    <definedName name="OSRRefT22_6x_0" localSheetId="60">'316'!$T$59:$T$60</definedName>
    <definedName name="OSRRefT22_6x_0" localSheetId="62">'317'!$T$79:$T$80</definedName>
    <definedName name="OSRRefT22_6x_0" localSheetId="66">'321'!$T$54</definedName>
    <definedName name="OSRRefT22_6x_0" localSheetId="67">'322'!$T$51</definedName>
    <definedName name="OSRRefT22_6x_0" localSheetId="68">'325'!$T$53</definedName>
    <definedName name="OSRRefT22_6x_0" localSheetId="58">'326'!$T$70</definedName>
    <definedName name="OSRRefT22_6x_0" localSheetId="51">'330'!$T$64</definedName>
    <definedName name="OSRRefT22_6x_0" localSheetId="56">'331'!$T$101</definedName>
    <definedName name="OSRRefT22_6x_0" localSheetId="59">'332'!$T$59:$T$60</definedName>
    <definedName name="OSRRefT22_6x_0" localSheetId="73">'405'!$T$52</definedName>
    <definedName name="OSRRefT22_6x_0" localSheetId="77">'411'!$T$50</definedName>
    <definedName name="OSRRefT22_6x_0" localSheetId="78">'412'!$T$51</definedName>
    <definedName name="OSRRefT22_6x_0" localSheetId="80">'413'!$T$52</definedName>
    <definedName name="OSRRefT22_6x_0" localSheetId="81">'414'!$T$53</definedName>
    <definedName name="OSRRefT22_6x_0" localSheetId="82">'415'!$T$57</definedName>
    <definedName name="OSRRefT22_6x_0" localSheetId="83">'418'!$T$52</definedName>
    <definedName name="OSRRefT22_6x_0" localSheetId="84">'423'!$T$49</definedName>
    <definedName name="OSRRefT22_6x_0" localSheetId="89">'430'!$T$52</definedName>
    <definedName name="OSRRefT22_6x_0" localSheetId="90">'433'!$T$57</definedName>
    <definedName name="OSRRefT22_6x_0" localSheetId="92">'444'!$T$57</definedName>
    <definedName name="OSRRefT22_6x_0" localSheetId="93">'450'!$T$53</definedName>
    <definedName name="OSRRefT22_6x_0" localSheetId="72">'491'!$T$59</definedName>
    <definedName name="OSRRefT22_6x_0" localSheetId="88">'492'!$T$57</definedName>
    <definedName name="OSRRefT22_6x_0" localSheetId="95">'501'!$T$52</definedName>
    <definedName name="OSRRefT22_6x_0" localSheetId="39">'Div 2'!$T$53</definedName>
    <definedName name="OSRRefT22_6x_0" localSheetId="47">'Div 3'!$T$142</definedName>
    <definedName name="OSRRefT22_6x_0" localSheetId="70">'Div 4'!$T$62</definedName>
    <definedName name="OSRRefT22_6x_0" localSheetId="94">'Div 5'!$T$52</definedName>
    <definedName name="OSRRefT22_6x_0" localSheetId="61">'Div 6'!$T$79:$T$80</definedName>
    <definedName name="OSRRefT22_6x_0" localSheetId="2">Summary!$T$169</definedName>
    <definedName name="OSRRefT22_7x_0" localSheetId="41">'201'!$T$52</definedName>
    <definedName name="OSRRefT22_7x_0" localSheetId="42">'202'!$T$53:$T$54</definedName>
    <definedName name="OSRRefT22_7x_0" localSheetId="43">'203'!$T$52:$T$53</definedName>
    <definedName name="OSRRefT22_7x_0" localSheetId="44">'204'!$T$55:$T$56</definedName>
    <definedName name="OSRRefT22_7x_0" localSheetId="45">'205'!$T$53</definedName>
    <definedName name="OSRRefT22_7x_0" localSheetId="46">'206'!$T$51</definedName>
    <definedName name="OSRRefT22_7x_0" localSheetId="48">'300'!$T$140:$T$141</definedName>
    <definedName name="OSRRefT22_7x_0" localSheetId="49">'300 &amp; 317'!$T$162:$T$163</definedName>
    <definedName name="OSRRefT22_7x_0" localSheetId="50">'301'!$T$53</definedName>
    <definedName name="OSRRefT22_7x_0" localSheetId="52">'307'!$T$66</definedName>
    <definedName name="OSRRefT22_7x_0" localSheetId="53">'308'!$T$84:$T$85</definedName>
    <definedName name="OSRRefT22_7x_0" localSheetId="64">'309'!$T$53:$T$54</definedName>
    <definedName name="OSRRefT22_7x_0" localSheetId="63">'310'!$T$60</definedName>
    <definedName name="OSRRefT22_7x_0" localSheetId="71">'310 &amp; 491'!$T$64</definedName>
    <definedName name="OSRRefT22_7x_0" localSheetId="54">'311'!$T$83:$T$84</definedName>
    <definedName name="OSRRefT22_7x_0" localSheetId="65">'313'!$T$55</definedName>
    <definedName name="OSRRefT22_7x_0" localSheetId="57">'315'!$T$103:$T$104</definedName>
    <definedName name="OSRRefT22_7x_0" localSheetId="60">'316'!$T$62</definedName>
    <definedName name="OSRRefT22_7x_0" localSheetId="62">'317'!$T$82</definedName>
    <definedName name="OSRRefT22_7x_0" localSheetId="66">'321'!$T$56:$T$57</definedName>
    <definedName name="OSRRefT22_7x_0" localSheetId="67">'322'!$T$53:$T$54</definedName>
    <definedName name="OSRRefT22_7x_0" localSheetId="68">'325'!$T$55</definedName>
    <definedName name="OSRRefT22_7x_0" localSheetId="58">'326'!$T$72</definedName>
    <definedName name="OSRRefT22_7x_0" localSheetId="51">'330'!$T$66</definedName>
    <definedName name="OSRRefT22_7x_0" localSheetId="56">'331'!$T$103</definedName>
    <definedName name="OSRRefT22_7x_0" localSheetId="59">'332'!$T$62</definedName>
    <definedName name="OSRRefT22_7x_0" localSheetId="73">'405'!$T$54</definedName>
    <definedName name="OSRRefT22_7x_0" localSheetId="77">'411'!$T$52</definedName>
    <definedName name="OSRRefT22_7x_0" localSheetId="78">'412'!$T$53</definedName>
    <definedName name="OSRRefT22_7x_0" localSheetId="80">'413'!$T$54:$T$56</definedName>
    <definedName name="OSRRefT22_7x_0" localSheetId="81">'414'!$T$55</definedName>
    <definedName name="OSRRefT22_7x_0" localSheetId="82">'415'!$T$59</definedName>
    <definedName name="OSRRefT22_7x_0" localSheetId="83">'418'!$T$54</definedName>
    <definedName name="OSRRefT22_7x_0" localSheetId="90">'433'!$T$59</definedName>
    <definedName name="OSRRefT22_7x_0" localSheetId="92">'444'!$T$59</definedName>
    <definedName name="OSRRefT22_7x_0" localSheetId="93">'450'!$T$55</definedName>
    <definedName name="OSRRefT22_7x_0" localSheetId="72">'491'!$T$61</definedName>
    <definedName name="OSRRefT22_7x_0" localSheetId="88">'492'!$T$59</definedName>
    <definedName name="OSRRefT22_7x_0" localSheetId="95">'501'!$T$54</definedName>
    <definedName name="OSRRefT22_7x_0" localSheetId="39">'Div 2'!$T$55</definedName>
    <definedName name="OSRRefT22_7x_0" localSheetId="47">'Div 3'!$T$144:$T$145</definedName>
    <definedName name="OSRRefT22_7x_0" localSheetId="70">'Div 4'!$T$64</definedName>
    <definedName name="OSRRefT22_7x_0" localSheetId="94">'Div 5'!$T$54</definedName>
    <definedName name="OSRRefT22_7x_0" localSheetId="61">'Div 6'!$T$82</definedName>
    <definedName name="OSRRefT22_7x_0" localSheetId="2">Summary!$T$171:$T$172</definedName>
    <definedName name="OSRRefT22_8x_0" localSheetId="41">'201'!$T$54</definedName>
    <definedName name="OSRRefT22_8x_0" localSheetId="42">'202'!$T$56</definedName>
    <definedName name="OSRRefT22_8x_0" localSheetId="43">'203'!$T$55:$T$57</definedName>
    <definedName name="OSRRefT22_8x_0" localSheetId="44">'204'!$T$58</definedName>
    <definedName name="OSRRefT22_8x_0" localSheetId="46">'206'!$T$53:$T$54</definedName>
    <definedName name="OSRRefT22_8x_0" localSheetId="48">'300'!$T$143</definedName>
    <definedName name="OSRRefT22_8x_0" localSheetId="49">'300 &amp; 317'!$T$165</definedName>
    <definedName name="OSRRefT22_8x_0" localSheetId="50">'301'!$T$55</definedName>
    <definedName name="OSRRefT22_8x_0" localSheetId="52">'307'!$T$68</definedName>
    <definedName name="OSRRefT22_8x_0" localSheetId="53">'308'!$T$87</definedName>
    <definedName name="OSRRefT22_8x_0" localSheetId="64">'309'!$T$56:$T$57</definedName>
    <definedName name="OSRRefT22_8x_0" localSheetId="63">'310'!$T$62</definedName>
    <definedName name="OSRRefT22_8x_0" localSheetId="71">'310 &amp; 491'!$T$66:$T$67</definedName>
    <definedName name="OSRRefT22_8x_0" localSheetId="54">'311'!$T$86</definedName>
    <definedName name="OSRRefT22_8x_0" localSheetId="65">'313'!$T$57:$T$59</definedName>
    <definedName name="OSRRefT22_8x_0" localSheetId="57">'315'!$T$106</definedName>
    <definedName name="OSRRefT22_8x_0" localSheetId="60">'316'!$T$64</definedName>
    <definedName name="OSRRefT22_8x_0" localSheetId="62">'317'!$T$84</definedName>
    <definedName name="OSRRefT22_8x_0" localSheetId="66">'321'!$T$59</definedName>
    <definedName name="OSRRefT22_8x_0" localSheetId="67">'322'!$T$56:$T$57</definedName>
    <definedName name="OSRRefT22_8x_0" localSheetId="68">'325'!$T$57</definedName>
    <definedName name="OSRRefT22_8x_0" localSheetId="58">'326'!$T$74:$T$75</definedName>
    <definedName name="OSRRefT22_8x_0" localSheetId="51">'330'!$T$68</definedName>
    <definedName name="OSRRefT22_8x_0" localSheetId="56">'331'!$T$105:$T$106</definedName>
    <definedName name="OSRRefT22_8x_0" localSheetId="59">'332'!$T$64</definedName>
    <definedName name="OSRRefT22_8x_0" localSheetId="73">'405'!$T$56:$T$57</definedName>
    <definedName name="OSRRefT22_8x_0" localSheetId="77">'411'!$T$54:$T$55</definedName>
    <definedName name="OSRRefT22_8x_0" localSheetId="78">'412'!$T$55:$T$56</definedName>
    <definedName name="OSRRefT22_8x_0" localSheetId="80">'413'!$T$58:$T$59</definedName>
    <definedName name="OSRRefT22_8x_0" localSheetId="81">'414'!$T$57:$T$58</definedName>
    <definedName name="OSRRefT22_8x_0" localSheetId="82">'415'!$T$61</definedName>
    <definedName name="OSRRefT22_8x_0" localSheetId="83">'418'!$T$56:$T$58</definedName>
    <definedName name="OSRRefT22_8x_0" localSheetId="90">'433'!$T$61</definedName>
    <definedName name="OSRRefT22_8x_0" localSheetId="92">'444'!$T$61</definedName>
    <definedName name="OSRRefT22_8x_0" localSheetId="93">'450'!$T$57</definedName>
    <definedName name="OSRRefT22_8x_0" localSheetId="72">'491'!$T$63</definedName>
    <definedName name="OSRRefT22_8x_0" localSheetId="88">'492'!$T$61</definedName>
    <definedName name="OSRRefT22_8x_0" localSheetId="95">'501'!$T$56</definedName>
    <definedName name="OSRRefT22_8x_0" localSheetId="39">'Div 2'!$T$57</definedName>
    <definedName name="OSRRefT22_8x_0" localSheetId="47">'Div 3'!$T$147</definedName>
    <definedName name="OSRRefT22_8x_0" localSheetId="70">'Div 4'!$T$66</definedName>
    <definedName name="OSRRefT22_8x_0" localSheetId="94">'Div 5'!$T$56</definedName>
    <definedName name="OSRRefT22_8x_0" localSheetId="61">'Div 6'!$T$84</definedName>
    <definedName name="OSRRefT22_8x_0" localSheetId="2">Summary!$T$174</definedName>
    <definedName name="OSRRefT22_9x_0" localSheetId="41">'201'!$T$56</definedName>
    <definedName name="OSRRefT22_9x_0" localSheetId="42">'202'!$T$58:$T$60</definedName>
    <definedName name="OSRRefT22_9x_0" localSheetId="43">'203'!$T$59</definedName>
    <definedName name="OSRRefT22_9x_0" localSheetId="44">'204'!$T$60:$T$61</definedName>
    <definedName name="OSRRefT22_9x_0" localSheetId="46">'206'!$T$56</definedName>
    <definedName name="OSRRefT22_9x_0" localSheetId="48">'300'!$T$145</definedName>
    <definedName name="OSRRefT22_9x_0" localSheetId="49">'300 &amp; 317'!$T$167</definedName>
    <definedName name="OSRRefT22_9x_0" localSheetId="50">'301'!$T$57</definedName>
    <definedName name="OSRRefT22_9x_0" localSheetId="52">'307'!$T$70:$T$71</definedName>
    <definedName name="OSRRefT22_9x_0" localSheetId="53">'308'!$T$89:$T$90</definedName>
    <definedName name="OSRRefT22_9x_0" localSheetId="64">'309'!$T$59</definedName>
    <definedName name="OSRRefT22_9x_0" localSheetId="63">'310'!$T$64</definedName>
    <definedName name="OSRRefT22_9x_0" localSheetId="71">'310 &amp; 491'!$T$69</definedName>
    <definedName name="OSRRefT22_9x_0" localSheetId="54">'311'!$T$88:$T$89</definedName>
    <definedName name="OSRRefT22_9x_0" localSheetId="65">'313'!$T$61:$T$62</definedName>
    <definedName name="OSRRefT22_9x_0" localSheetId="57">'315'!$T$108</definedName>
    <definedName name="OSRRefT22_9x_0" localSheetId="60">'316'!$T$66:$T$70</definedName>
    <definedName name="OSRRefT22_9x_0" localSheetId="62">'317'!$T$86</definedName>
    <definedName name="OSRRefT22_9x_0" localSheetId="66">'321'!$T$61:$T$62</definedName>
    <definedName name="OSRRefT22_9x_0" localSheetId="67">'322'!$T$59:$T$62</definedName>
    <definedName name="OSRRefT22_9x_0" localSheetId="68">'325'!$T$59:$T$62</definedName>
    <definedName name="OSRRefT22_9x_0" localSheetId="58">'326'!$T$77</definedName>
    <definedName name="OSRRefT22_9x_0" localSheetId="51">'330'!$T$70:$T$71</definedName>
    <definedName name="OSRRefT22_9x_0" localSheetId="56">'331'!$T$108:$T$109</definedName>
    <definedName name="OSRRefT22_9x_0" localSheetId="59">'332'!$T$66:$T$70</definedName>
    <definedName name="OSRRefT22_9x_0" localSheetId="73">'405'!$T$59</definedName>
    <definedName name="OSRRefT22_9x_0" localSheetId="77">'411'!$T$57:$T$60</definedName>
    <definedName name="OSRRefT22_9x_0" localSheetId="78">'412'!$T$58</definedName>
    <definedName name="OSRRefT22_9x_0" localSheetId="80">'413'!$T$61:$T$68</definedName>
    <definedName name="OSRRefT22_9x_0" localSheetId="81">'414'!$T$60</definedName>
    <definedName name="OSRRefT22_9x_0" localSheetId="82">'415'!$T$63</definedName>
    <definedName name="OSRRefT22_9x_0" localSheetId="83">'418'!$T$60:$T$61</definedName>
    <definedName name="OSRRefT22_9x_0" localSheetId="90">'433'!$T$63</definedName>
    <definedName name="OSRRefT22_9x_0" localSheetId="92">'444'!$T$63</definedName>
    <definedName name="OSRRefT22_9x_0" localSheetId="93">'450'!$T$59</definedName>
    <definedName name="OSRRefT22_9x_0" localSheetId="72">'491'!$T$65</definedName>
    <definedName name="OSRRefT22_9x_0" localSheetId="88">'492'!$T$63</definedName>
    <definedName name="OSRRefT22_9x_0" localSheetId="95">'501'!$T$58:$T$60</definedName>
    <definedName name="OSRRefT22_9x_0" localSheetId="39">'Div 2'!$T$59:$T$60</definedName>
    <definedName name="OSRRefT22_9x_0" localSheetId="47">'Div 3'!$T$149</definedName>
    <definedName name="OSRRefT22_9x_0" localSheetId="70">'Div 4'!$T$68</definedName>
    <definedName name="OSRRefT22_9x_0" localSheetId="94">'Div 5'!$T$58:$T$60</definedName>
    <definedName name="OSRRefT22_9x_0" localSheetId="61">'Div 6'!$T$86</definedName>
    <definedName name="OSRRefT22_9x_0" localSheetId="2">Summary!$T$176</definedName>
    <definedName name="OSRRefT22x_0" localSheetId="40">'200'!$T$20,'200'!$T$22,'200'!$T$24,'200'!$T$26:$T$27</definedName>
    <definedName name="OSRRefT22x_0" localSheetId="41">'201'!$T$21:$T$29,'201'!$T$31:$T$40,'201'!$T$42,'201'!$T$44,'201'!$T$46,'201'!$T$48,'201'!$T$50,'201'!$T$52,'201'!$T$54,'201'!$T$56,'201'!$T$58:$T$59,'201'!$T$61,'201'!$T$63,'201'!$T$65:$T$67,'201'!$T$69,'201'!$T$71</definedName>
    <definedName name="OSRRefT22x_0" localSheetId="42">'202'!$T$21:$T$29,'202'!$T$31:$T$40,'202'!$T$42,'202'!$T$44,'202'!$T$46:$T$47,'202'!$T$49,'202'!$T$51,'202'!$T$53:$T$54,'202'!$T$56,'202'!$T$58:$T$60,'202'!$T$62,'202'!$T$64,'202'!$T$66</definedName>
    <definedName name="OSRRefT22x_0" localSheetId="43">'203'!$T$20:$T$29,'203'!$T$31:$T$40,'203'!$T$42,'203'!$T$44,'203'!$T$46,'203'!$T$48,'203'!$T$50,'203'!$T$52:$T$53,'203'!$T$55:$T$57,'203'!$T$59,'203'!$T$61,'203'!$T$63:$T$65,'203'!$T$67,'203'!$T$69</definedName>
    <definedName name="OSRRefT22x_0" localSheetId="44">'204'!$T$20:$T$29,'204'!$T$31:$T$40,'204'!$T$42,'204'!$T$44:$T$45,'204'!$T$47,'204'!$T$49,'204'!$T$51:$T$53,'204'!$T$55:$T$56,'204'!$T$58,'204'!$T$60:$T$61,'204'!$T$63</definedName>
    <definedName name="OSRRefT22x_0" localSheetId="45">'205'!$T$20:$T$28,'205'!$T$30:$T$39,'205'!$T$41,'205'!$T$43,'205'!$T$45:$T$46,'205'!$T$48,'205'!$T$50:$T$51,'205'!$T$53</definedName>
    <definedName name="OSRRefT22x_0" localSheetId="46">'206'!$T$20:$T$28,'206'!$T$30:$T$39,'206'!$T$41,'206'!$T$43,'206'!$T$45,'206'!$T$47,'206'!$T$49,'206'!$T$51,'206'!$T$53:$T$54,'206'!$T$56</definedName>
    <definedName name="OSRRefT22x_0" localSheetId="48">'300'!$T$106:$T$115,'300'!$T$117:$T$126,'300'!$T$128,'300'!$T$130:$T$131,'300'!$T$133,'300'!$T$135:$T$136,'300'!$T$138,'300'!$T$140:$T$141,'300'!$T$143,'300'!$T$145,'300'!$T$147:$T$148,'300'!$T$150:$T$152,'300'!$T$154,'300'!$T$156,'300'!$T$158,'300'!$T$160,'300'!$T$162:$T$165,'300'!$T$167:$T$170,'300'!$T$172:$T$175,'300'!$T$177:$T$178,'300'!$T$180:$T$188,'300'!$T$190:$T$191,'300'!$T$193,'300'!$T$195:$T$197,'300'!$T$199</definedName>
    <definedName name="OSRRefT22x_0" localSheetId="49">'300 &amp; 317'!$T$128:$T$137,'300 &amp; 317'!$T$139:$T$148,'300 &amp; 317'!$T$150,'300 &amp; 317'!$T$152:$T$153,'300 &amp; 317'!$T$155,'300 &amp; 317'!$T$157:$T$158,'300 &amp; 317'!$T$160,'300 &amp; 317'!$T$162:$T$163,'300 &amp; 317'!$T$165,'300 &amp; 317'!$T$167,'300 &amp; 317'!$T$169:$T$170,'300 &amp; 317'!$T$172:$T$174,'300 &amp; 317'!$T$176,'300 &amp; 317'!$T$178,'300 &amp; 317'!$T$180,'300 &amp; 317'!$T$182,'300 &amp; 317'!$T$184:$T$187,'300 &amp; 317'!$T$189:$T$192,'300 &amp; 317'!$T$194:$T$197,'300 &amp; 317'!$T$199:$T$200,'300 &amp; 317'!$T$202:$T$210,'300 &amp; 317'!$T$212:$T$213,'300 &amp; 317'!$T$215,'300 &amp; 317'!$T$217:$T$219,'300 &amp; 317'!$T$221</definedName>
    <definedName name="OSRRefT22x_0" localSheetId="50">'301'!$T$20:$T$28,'301'!$T$30:$T$39,'301'!$T$41:$T$42,'301'!$T$44,'301'!$T$46:$T$47,'301'!$T$49,'301'!$T$51,'301'!$T$53,'301'!$T$55,'301'!$T$57,'301'!$T$59,'301'!$T$61,'301'!$T$63,'301'!$T$65:$T$68,'301'!$T$70:$T$72,'301'!$T$74,'301'!$T$76:$T$82,'301'!$T$84,'301'!$T$86,'301'!$T$88,'301'!$T$90</definedName>
    <definedName name="OSRRefT22x_0" localSheetId="52">'307'!$T$36:$T$43,'307'!$T$45:$T$54,'307'!$T$56,'307'!$T$58,'307'!$T$60,'307'!$T$62,'307'!$T$64,'307'!$T$66,'307'!$T$68,'307'!$T$70:$T$71,'307'!$T$73:$T$74,'307'!$T$76:$T$79,'307'!$T$81:$T$82,'307'!$T$84</definedName>
    <definedName name="OSRRefT22x_0" localSheetId="53">'308'!$T$52:$T$61,'308'!$T$63:$T$72,'308'!$T$74,'308'!$T$76,'308'!$T$78,'308'!$T$80,'308'!$T$82,'308'!$T$84:$T$85,'308'!$T$87,'308'!$T$89:$T$90,'308'!$T$92,'308'!$T$94:$T$96,'308'!$T$98:$T$99,'308'!$T$101</definedName>
    <definedName name="OSRRefT22x_0" localSheetId="64">'309'!$T$22:$T$29,'309'!$T$31:$T$40,'309'!$T$42,'309'!$T$44,'309'!$T$46,'309'!$T$48,'309'!$T$50:$T$51,'309'!$T$53:$T$54,'309'!$T$56:$T$57,'309'!$T$59</definedName>
    <definedName name="OSRRefT22x_0" localSheetId="63">'310'!$T$28:$T$36,'310'!$T$38:$T$47,'310'!$T$49,'310'!$T$51,'310'!$T$53,'310'!$T$55:$T$56,'310'!$T$58,'310'!$T$60,'310'!$T$62,'310'!$T$64,'310'!$T$66,'310'!$T$68:$T$71,'310'!$T$73,'310'!$T$75:$T$78,'310'!$T$80,'310'!$T$82:$T$88,'310'!$T$90:$T$91,'310'!$T$93,'310'!$T$95</definedName>
    <definedName name="OSRRefT22x_0" localSheetId="71">'310 &amp; 491'!$T$31:$T$39,'310 &amp; 491'!$T$41:$T$50,'310 &amp; 491'!$T$52,'310 &amp; 491'!$T$54,'310 &amp; 491'!$T$56,'310 &amp; 491'!$T$58:$T$60,'310 &amp; 491'!$T$62,'310 &amp; 491'!$T$64,'310 &amp; 491'!$T$66:$T$67,'310 &amp; 491'!$T$69,'310 &amp; 491'!$T$71,'310 &amp; 491'!$T$73,'310 &amp; 491'!$T$75,'310 &amp; 491'!$T$77:$T$80,'310 &amp; 491'!$T$82:$T$83,'310 &amp; 491'!$T$85:$T$89,'310 &amp; 491'!$T$91,'310 &amp; 491'!$T$93:$T$103,'310 &amp; 491'!$T$105:$T$106,'310 &amp; 491'!$T$108,'310 &amp; 491'!$T$110:$T$111,'310 &amp; 491'!$T$113</definedName>
    <definedName name="OSRRefT22x_0" localSheetId="54">'311'!$T$51:$T$60,'311'!$T$62:$T$71,'311'!$T$73,'311'!$T$75,'311'!$T$77,'311'!$T$79,'311'!$T$81,'311'!$T$83:$T$84,'311'!$T$86,'311'!$T$88:$T$89,'311'!$T$91,'311'!$T$93:$T$95,'311'!$T$97:$T$98,'311'!$T$100</definedName>
    <definedName name="OSRRefT22x_0" localSheetId="65">'313'!$T$23:$T$31,'313'!$T$33:$T$42,'313'!$T$44,'313'!$T$46,'313'!$T$48,'313'!$T$50,'313'!$T$52:$T$53,'313'!$T$55,'313'!$T$57:$T$59,'313'!$T$61:$T$62,'313'!$T$64</definedName>
    <definedName name="OSRRefT22x_0" localSheetId="57">'315'!$T$72:$T$80,'315'!$T$82:$T$91,'315'!$T$93,'315'!$T$95,'315'!$T$97,'315'!$T$99,'315'!$T$101,'315'!$T$103:$T$104,'315'!$T$106,'315'!$T$108,'315'!$T$110,'315'!$T$112,'315'!$T$114:$T$116,'315'!$T$118:$T$119,'315'!$T$121:$T$127,'315'!$T$129,'315'!$T$131:$T$132</definedName>
    <definedName name="OSRRefT22x_0" localSheetId="60">'316'!$T$30:$T$38,'316'!$T$40:$T$49,'316'!$T$51,'316'!$T$53,'316'!$T$55,'316'!$T$57,'316'!$T$59:$T$60,'316'!$T$62,'316'!$T$64,'316'!$T$66:$T$70,'316'!$T$72,'316'!$T$74</definedName>
    <definedName name="OSRRefT22x_0" localSheetId="62">'317'!$T$49:$T$58,'317'!$T$60:$T$69,'317'!$T$71,'317'!$T$73,'317'!$T$75,'317'!$T$77,'317'!$T$79:$T$80,'317'!$T$82,'317'!$T$84,'317'!$T$86,'317'!$T$88:$T$90,'317'!$T$92</definedName>
    <definedName name="OSRRefT22x_0" localSheetId="66">'321'!$T$25:$T$33,'321'!$T$35:$T$44,'321'!$T$46,'321'!$T$48,'321'!$T$50,'321'!$T$52,'321'!$T$54,'321'!$T$56:$T$57,'321'!$T$59,'321'!$T$61:$T$62,'321'!$T$64:$T$66,'321'!$T$68:$T$69,'321'!$T$71,'321'!$T$73</definedName>
    <definedName name="OSRRefT22x_0" localSheetId="67">'322'!$T$23:$T$30,'322'!$T$32:$T$41,'322'!$T$43,'322'!$T$45,'322'!$T$47,'322'!$T$49,'322'!$T$51,'322'!$T$53:$T$54,'322'!$T$56:$T$57,'322'!$T$59:$T$62,'322'!$T$64,'322'!$T$66</definedName>
    <definedName name="OSRRefT22x_0" localSheetId="55">'324'!$T$27:$T$34,'324'!$T$36:$T$45</definedName>
    <definedName name="OSRRefT22x_0" localSheetId="68">'325'!$T$24:$T$31,'325'!$T$33:$T$42,'325'!$T$44,'325'!$T$46,'325'!$T$48,'325'!$T$50:$T$51,'325'!$T$53,'325'!$T$55,'325'!$T$57,'325'!$T$59:$T$62,'325'!$T$64:$T$66,'325'!$T$68,'325'!$T$70:$T$74,'325'!$T$76:$T$77,'325'!$T$79</definedName>
    <definedName name="OSRRefT22x_0" localSheetId="58">'326'!$T$41:$T$49,'326'!$T$51:$T$60,'326'!$T$62,'326'!$T$64,'326'!$T$66,'326'!$T$68,'326'!$T$70,'326'!$T$72,'326'!$T$74:$T$75,'326'!$T$77,'326'!$T$79,'326'!$T$81,'326'!$T$83,'326'!$T$85:$T$86,'326'!$T$88:$T$90,'326'!$T$92:$T$93,'326'!$T$95:$T$100,'326'!$T$102:$T$103,'326'!$T$105,'326'!$T$107:$T$108,'326'!$T$110</definedName>
    <definedName name="OSRRefT22x_0" localSheetId="69">'327'!$T$24</definedName>
    <definedName name="OSRRefT22x_0" localSheetId="51">'330'!$T$36:$T$43,'330'!$T$45:$T$54,'330'!$T$56,'330'!$T$58,'330'!$T$60,'330'!$T$62,'330'!$T$64,'330'!$T$66,'330'!$T$68,'330'!$T$70:$T$71,'330'!$T$73:$T$74,'330'!$T$76:$T$79,'330'!$T$81:$T$82,'330'!$T$84</definedName>
    <definedName name="OSRRefT22x_0" localSheetId="56">'331'!$T$72:$T$80,'331'!$T$82:$T$91,'331'!$T$93,'331'!$T$95,'331'!$T$97,'331'!$T$99,'331'!$T$101,'331'!$T$103,'331'!$T$105:$T$106,'331'!$T$108:$T$109,'331'!$T$111,'331'!$T$113,'331'!$T$115,'331'!$T$117,'331'!$T$119:$T$120,'331'!$T$122:$T$124,'331'!$T$126:$T$128,'331'!$T$130:$T$131,'331'!$T$133:$T$140,'331'!$T$142:$T$143,'331'!$T$145,'331'!$T$147:$T$148,'331'!$T$150</definedName>
    <definedName name="OSRRefT22x_0" localSheetId="59">'332'!$T$30:$T$38,'332'!$T$40:$T$49,'332'!$T$51,'332'!$T$53,'332'!$T$55,'332'!$T$57,'332'!$T$59:$T$60,'332'!$T$62,'332'!$T$64,'332'!$T$66:$T$70,'332'!$T$72,'332'!$T$74</definedName>
    <definedName name="OSRRefT22x_0" localSheetId="73">'405'!$T$23:$T$30,'405'!$T$32:$T$41,'405'!$T$43,'405'!$T$45,'405'!$T$47:$T$48,'405'!$T$50,'405'!$T$52,'405'!$T$54,'405'!$T$56:$T$57,'405'!$T$59,'405'!$T$61:$T$64,'405'!$T$66,'405'!$T$68:$T$76,'405'!$T$78,'405'!$T$80,'405'!$T$82</definedName>
    <definedName name="OSRRefT22x_0" localSheetId="74">'406'!$T$20,'406'!$T$22,'406'!$T$24,'406'!$T$26,'406'!$T$28</definedName>
    <definedName name="OSRRefT22x_0" localSheetId="77">'411'!$T$20:$T$28,'411'!$T$30:$T$39,'411'!$T$41,'411'!$T$43,'411'!$T$45:$T$46,'411'!$T$48,'411'!$T$50,'411'!$T$52,'411'!$T$54:$T$55,'411'!$T$57:$T$60,'411'!$T$62:$T$68,'411'!$T$70,'411'!$T$72,'411'!$T$74</definedName>
    <definedName name="OSRRefT22x_0" localSheetId="78">'412'!$T$22:$T$29,'412'!$T$31:$T$40,'412'!$T$42,'412'!$T$44,'412'!$T$46:$T$47,'412'!$T$49,'412'!$T$51,'412'!$T$53,'412'!$T$55:$T$56,'412'!$T$58,'412'!$T$60:$T$63,'412'!$T$65:$T$69,'412'!$T$71:$T$72,'412'!$T$74</definedName>
    <definedName name="OSRRefT22x_0" localSheetId="80">'413'!$T$23:$T$31,'413'!$T$33:$T$42,'413'!$T$44,'413'!$T$46,'413'!$T$48,'413'!$T$50,'413'!$T$52,'413'!$T$54:$T$56,'413'!$T$58:$T$59,'413'!$T$61:$T$68,'413'!$T$70:$T$71,'413'!$T$73</definedName>
    <definedName name="OSRRefT22x_0" localSheetId="81">'414'!$T$24:$T$32,'414'!$T$34:$T$43,'414'!$T$45,'414'!$T$47,'414'!$T$49,'414'!$T$51,'414'!$T$53,'414'!$T$55,'414'!$T$57:$T$58,'414'!$T$60,'414'!$T$62,'414'!$T$64,'414'!$T$66:$T$68,'414'!$T$70,'414'!$T$72,'414'!$T$74</definedName>
    <definedName name="OSRRefT22x_0" localSheetId="82">'415'!$T$27:$T$35,'415'!$T$37:$T$46,'415'!$T$48,'415'!$T$50,'415'!$T$52,'415'!$T$54:$T$55,'415'!$T$57,'415'!$T$59,'415'!$T$61,'415'!$T$63,'415'!$T$65:$T$66,'415'!$T$68:$T$72,'415'!$T$74,'415'!$T$76:$T$82,'415'!$T$84:$T$85,'415'!$T$87</definedName>
    <definedName name="OSRRefT22x_0" localSheetId="83">'418'!$T$23:$T$30,'418'!$T$32:$T$41,'418'!$T$43,'418'!$T$45,'418'!$T$47:$T$48,'418'!$T$50,'418'!$T$52,'418'!$T$54,'418'!$T$56:$T$58,'418'!$T$60:$T$61,'418'!$T$63,'418'!$T$65:$T$74,'418'!$T$76:$T$77,'418'!$T$79</definedName>
    <definedName name="OSRRefT22x_0" localSheetId="84">'423'!$T$20:$T$27,'423'!$T$29:$T$38,'423'!$T$40,'423'!$T$42:$T$43,'423'!$T$45,'423'!$T$47,'423'!$T$49</definedName>
    <definedName name="OSRRefT22x_0" localSheetId="85">'424'!$T$20,'424'!$T$22,'424'!$T$24,'424'!$T$26</definedName>
    <definedName name="OSRRefT22x_0" localSheetId="86">'425'!$T$20:$T$24,'425'!$T$26,'425'!$T$28,'425'!$T$30,'425'!$T$32</definedName>
    <definedName name="OSRRefT22x_0" localSheetId="89">'430'!$T$20:$T$28,'430'!$T$30:$T$39,'430'!$T$41,'430'!$T$43:$T$45,'430'!$T$47:$T$48,'430'!$T$50,'430'!$T$52</definedName>
    <definedName name="OSRRefT22x_0" localSheetId="90">'433'!$T$27:$T$36,'433'!$T$38:$T$47,'433'!$T$49,'433'!$T$51,'433'!$T$53,'433'!$T$55,'433'!$T$57,'433'!$T$59,'433'!$T$61,'433'!$T$63,'433'!$T$65,'433'!$T$67:$T$68,'433'!$T$70:$T$73,'433'!$T$75:$T$82,'433'!$T$84</definedName>
    <definedName name="OSRRefT22x_0" localSheetId="91">'435'!$T$20</definedName>
    <definedName name="OSRRefT22x_0" localSheetId="92">'444'!$T$27:$T$36,'444'!$T$38:$T$47,'444'!$T$49,'444'!$T$51,'444'!$T$53,'444'!$T$55,'444'!$T$57,'444'!$T$59,'444'!$T$61,'444'!$T$63,'444'!$T$65,'444'!$T$67:$T$69,'444'!$T$71:$T$73,'444'!$T$75:$T$83,'444'!$T$85:$T$86,'444'!$T$88</definedName>
    <definedName name="OSRRefT22x_0" localSheetId="93">'450'!$T$23:$T$32,'450'!$T$34:$T$43,'450'!$T$45,'450'!$T$47,'450'!$T$49,'450'!$T$51,'450'!$T$53,'450'!$T$55,'450'!$T$57,'450'!$T$59,'450'!$T$61,'450'!$T$63,'450'!$T$65,'450'!$T$67:$T$69,'450'!$T$71:$T$77,'450'!$T$79:$T$80,'450'!$T$82</definedName>
    <definedName name="OSRRefT22x_0" localSheetId="72">'491'!$T$28:$T$36,'491'!$T$38:$T$47,'491'!$T$49,'491'!$T$51,'491'!$T$53,'491'!$T$55:$T$57,'491'!$T$59,'491'!$T$61,'491'!$T$63,'491'!$T$65,'491'!$T$67,'491'!$T$69,'491'!$T$71,'491'!$T$73:$T$76,'491'!$T$78:$T$79,'491'!$T$81:$T$85,'491'!$T$87,'491'!$T$89:$T$99,'491'!$T$101:$T$102,'491'!$T$104,'491'!$T$106:$T$107,'491'!$T$109</definedName>
    <definedName name="OSRRefT22x_0" localSheetId="88">'492'!$T$27:$T$36,'492'!$T$38:$T$47,'492'!$T$49,'492'!$T$51,'492'!$T$53,'492'!$T$55,'492'!$T$57,'492'!$T$59,'492'!$T$61,'492'!$T$63,'492'!$T$65,'492'!$T$67,'492'!$T$69:$T$71,'492'!$T$73:$T$76,'492'!$T$78:$T$87,'492'!$T$89:$T$90,'492'!$T$92,'492'!$T$94</definedName>
    <definedName name="OSRRefT22x_0" localSheetId="95">'501'!$T$21:$T$30,'501'!$T$32:$T$41,'501'!$T$43,'501'!$T$45,'501'!$T$47,'501'!$T$49:$T$50,'501'!$T$52,'501'!$T$54,'501'!$T$56,'501'!$T$58:$T$60,'501'!$T$62:$T$63,'501'!$T$65</definedName>
    <definedName name="OSRRefT22x_0" localSheetId="39">'Div 2'!$T$21:$T$31,'Div 2'!$T$33:$T$42,'Div 2'!$T$44,'Div 2'!$T$46,'Div 2'!$T$48,'Div 2'!$T$50:$T$51,'Div 2'!$T$53,'Div 2'!$T$55,'Div 2'!$T$57,'Div 2'!$T$59:$T$60,'Div 2'!$T$62,'Div 2'!$T$64:$T$65,'Div 2'!$T$67:$T$70,'Div 2'!$T$72:$T$75,'Div 2'!$T$77:$T$78,'Div 2'!$T$80:$T$81,'Div 2'!$T$83:$T$87,'Div 2'!$T$89:$T$90,'Div 2'!$T$92,'Div 2'!$T$94:$T$95</definedName>
    <definedName name="OSRRefT22x_0" localSheetId="47">'Div 3'!$T$110:$T$119,'Div 3'!$T$121:$T$130,'Div 3'!$T$132,'Div 3'!$T$134:$T$135,'Div 3'!$T$137,'Div 3'!$T$139:$T$140,'Div 3'!$T$142,'Div 3'!$T$144:$T$145,'Div 3'!$T$147,'Div 3'!$T$149,'Div 3'!$T$151:$T$152,'Div 3'!$T$154:$T$156,'Div 3'!$T$158,'Div 3'!$T$160,'Div 3'!$T$162,'Div 3'!$T$164,'Div 3'!$T$166,'Div 3'!$T$168:$T$171,'Div 3'!$T$173:$T$176,'Div 3'!$T$178:$T$182,'Div 3'!$T$184:$T$185,'Div 3'!$T$187:$T$195,'Div 3'!$T$197:$T$198,'Div 3'!$T$200,'Div 3'!$T$202:$T$204,'Div 3'!$T$206</definedName>
    <definedName name="OSRRefT22x_0" localSheetId="70">'Div 4'!$T$30:$T$39,'Div 4'!$T$41:$T$50,'Div 4'!$T$52,'Div 4'!$T$54,'Div 4'!$T$56,'Div 4'!$T$58:$T$60,'Div 4'!$T$62,'Div 4'!$T$64,'Div 4'!$T$66,'Div 4'!$T$68,'Div 4'!$T$70,'Div 4'!$T$72,'Div 4'!$T$74,'Div 4'!$T$76,'Div 4'!$T$78,'Div 4'!$T$80:$T$83,'Div 4'!$T$85:$T$86,'Div 4'!$T$88:$T$92,'Div 4'!$T$94,'Div 4'!$T$96:$T$106,'Div 4'!$T$108:$T$109,'Div 4'!$T$111,'Div 4'!$T$113:$T$114,'Div 4'!$T$116</definedName>
    <definedName name="OSRRefT22x_0" localSheetId="94">'Div 5'!$T$21:$T$30,'Div 5'!$T$32:$T$41,'Div 5'!$T$43,'Div 5'!$T$45,'Div 5'!$T$47,'Div 5'!$T$49:$T$50,'Div 5'!$T$52,'Div 5'!$T$54,'Div 5'!$T$56,'Div 5'!$T$58:$T$60,'Div 5'!$T$62:$T$63,'Div 5'!$T$65</definedName>
    <definedName name="OSRRefT22x_0" localSheetId="61">'Div 6'!$T$49:$T$58,'Div 6'!$T$60:$T$69,'Div 6'!$T$71,'Div 6'!$T$73,'Div 6'!$T$75,'Div 6'!$T$77,'Div 6'!$T$79:$T$80,'Div 6'!$T$82,'Div 6'!$T$84,'Div 6'!$T$86,'Div 6'!$T$88:$T$90,'Div 6'!$T$92</definedName>
    <definedName name="OSRRefT22x_0" localSheetId="2">Summary!$T$136:$T$145,Summary!$T$147:$T$156,Summary!$T$158,Summary!$T$160:$T$161,Summary!$T$163,Summary!$T$165:$T$167,Summary!$T$169,Summary!$T$171:$T$172,Summary!$T$174,Summary!$T$176,Summary!$T$178:$T$179,Summary!$T$181:$T$183,Summary!$T$185,Summary!$T$187,Summary!$T$189,Summary!$T$191,Summary!$T$193,Summary!$T$195,Summary!$T$197:$T$200,Summary!$T$202:$T$205,Summary!$T$207:$T$211,Summary!$T$213:$T$214,Summary!$T$216:$T$226,Summary!$T$228:$T$229,Summary!$T$231,Summary!$T$233:$T$235,Summary!$T$237</definedName>
    <definedName name="OSRRefT25x_0" localSheetId="42">'202'!$T$69:$T$71</definedName>
    <definedName name="OSRRefT25x_0" localSheetId="48">'300'!$T$202:$T$205</definedName>
    <definedName name="OSRRefT25x_0" localSheetId="49">'300 &amp; 317'!$T$224:$T$228</definedName>
    <definedName name="OSRRefT25x_0" localSheetId="50">'301'!$T$93:$T$94</definedName>
    <definedName name="OSRRefT25x_0" localSheetId="53">'308'!$T$104:$T$106</definedName>
    <definedName name="OSRRefT25x_0" localSheetId="71">'310 &amp; 491'!$T$116:$T$119</definedName>
    <definedName name="OSRRefT25x_0" localSheetId="54">'311'!$T$103:$T$105</definedName>
    <definedName name="OSRRefT25x_0" localSheetId="57">'315'!$T$135:$T$137</definedName>
    <definedName name="OSRRefT25x_0" localSheetId="60">'316'!$T$77</definedName>
    <definedName name="OSRRefT25x_0" localSheetId="62">'317'!$T$95:$T$96</definedName>
    <definedName name="OSRRefT25x_0" localSheetId="56">'331'!$T$153:$T$155</definedName>
    <definedName name="OSRRefT25x_0" localSheetId="59">'332'!$T$77</definedName>
    <definedName name="OSRRefT25x_0" localSheetId="77">'411'!$T$77:$T$78</definedName>
    <definedName name="OSRRefT25x_0" localSheetId="83">'418'!$T$82</definedName>
    <definedName name="OSRRefT25x_0" localSheetId="84">'423'!$T$52:$T$53</definedName>
    <definedName name="OSRRefT25x_0" localSheetId="87">'455'!$T$21:$T$22</definedName>
    <definedName name="OSRRefT25x_0" localSheetId="72">'491'!$T$112:$T$115</definedName>
    <definedName name="OSRRefT25x_0" localSheetId="95">'501'!$T$68</definedName>
    <definedName name="OSRRefT25x_0" localSheetId="39">'Div 2'!$T$98:$T$100</definedName>
    <definedName name="OSRRefT25x_0" localSheetId="47">'Div 3'!$T$209:$T$212</definedName>
    <definedName name="OSRRefT25x_0" localSheetId="70">'Div 4'!$T$119:$T$122</definedName>
    <definedName name="OSRRefT25x_0" localSheetId="94">'Div 5'!$T$68</definedName>
    <definedName name="OSRRefT25x_0" localSheetId="61">'Div 6'!$T$95:$T$96</definedName>
    <definedName name="OSRRefT25x_0" localSheetId="2">Summary!$T$240:$T$246</definedName>
    <definedName name="_xlnm.Print_Area" localSheetId="38">'100'!$A$1:$Z$34</definedName>
    <definedName name="_xlnm.Print_Area" localSheetId="40">'200'!$A$1:$Z$41</definedName>
    <definedName name="_xlnm.Print_Area" localSheetId="41">'201'!$A$1:$Z$85</definedName>
    <definedName name="_xlnm.Print_Area" localSheetId="42">'202'!$A$1:$Z$83</definedName>
    <definedName name="_xlnm.Print_Area" localSheetId="43">'203'!$A$1:$Z$83</definedName>
    <definedName name="_xlnm.Print_Area" localSheetId="44">'204'!$A$1:$Z$77</definedName>
    <definedName name="_xlnm.Print_Area" localSheetId="45">'205'!$A$1:$Z$67</definedName>
    <definedName name="_xlnm.Print_Area" localSheetId="46">'206'!$A$1:$Z$70</definedName>
    <definedName name="_xlnm.Print_Area" localSheetId="48">'300'!$A$1:$Z$217</definedName>
    <definedName name="_xlnm.Print_Area" localSheetId="49">'300 &amp; 317'!$A$1:$Z$240</definedName>
    <definedName name="_xlnm.Print_Area" localSheetId="50">'301'!$A$1:$Z$106</definedName>
    <definedName name="_xlnm.Print_Area" localSheetId="52">'307'!$A$1:$Z$98</definedName>
    <definedName name="_xlnm.Print_Area" localSheetId="53">'308'!$A$1:$Z$118</definedName>
    <definedName name="_xlnm.Print_Area" localSheetId="64">'309'!$A$1:$Z$73</definedName>
    <definedName name="_xlnm.Print_Area" localSheetId="63">'310'!$A$1:$Z$109</definedName>
    <definedName name="_xlnm.Print_Area" localSheetId="71">'310 &amp; 491'!$A$1:$Z$131</definedName>
    <definedName name="_xlnm.Print_Area" localSheetId="54">'311'!$A$1:$Z$117</definedName>
    <definedName name="_xlnm.Print_Area" localSheetId="65">'313'!$A$1:$Z$78</definedName>
    <definedName name="_xlnm.Print_Area" localSheetId="57">'315'!$A$1:$Z$149</definedName>
    <definedName name="_xlnm.Print_Area" localSheetId="60">'316'!$A$1:$Z$89</definedName>
    <definedName name="_xlnm.Print_Area" localSheetId="62">'317'!$A$1:$Z$108</definedName>
    <definedName name="_xlnm.Print_Area" localSheetId="66">'321'!$A$1:$Z$87</definedName>
    <definedName name="_xlnm.Print_Area" localSheetId="67">'322'!$A$1:$Z$80</definedName>
    <definedName name="_xlnm.Print_Area" localSheetId="55">'324'!$A$1:$Z$59</definedName>
    <definedName name="_xlnm.Print_Area" localSheetId="68">'325'!$A$1:$Z$93</definedName>
    <definedName name="_xlnm.Print_Area" localSheetId="58">'326'!$A$1:$Z$124</definedName>
    <definedName name="_xlnm.Print_Area" localSheetId="69">'327'!$A$1:$Z$38</definedName>
    <definedName name="_xlnm.Print_Area" localSheetId="51">'330'!$A$1:$Z$98</definedName>
    <definedName name="_xlnm.Print_Area" localSheetId="56">'331'!$A$1:$Z$167</definedName>
    <definedName name="_xlnm.Print_Area" localSheetId="59">'332'!$A$1:$Z$89</definedName>
    <definedName name="_xlnm.Print_Area" localSheetId="73">'405'!$A$1:$Z$96</definedName>
    <definedName name="_xlnm.Print_Area" localSheetId="74">'406'!$A$1:$Z$42</definedName>
    <definedName name="_xlnm.Print_Area" localSheetId="75">'408'!$A$1:$Z$32</definedName>
    <definedName name="_xlnm.Print_Area" localSheetId="76">'409'!$A$1:$Z$32</definedName>
    <definedName name="_xlnm.Print_Area" localSheetId="77">'411'!$A$1:$Z$90</definedName>
    <definedName name="_xlnm.Print_Area" localSheetId="78">'412'!$A$1:$Z$88</definedName>
    <definedName name="_xlnm.Print_Area" localSheetId="80">'413'!$A$1:$Z$87</definedName>
    <definedName name="_xlnm.Print_Area" localSheetId="81">'414'!$A$1:$Z$88</definedName>
    <definedName name="_xlnm.Print_Area" localSheetId="82">'415'!$A$1:$Z$101</definedName>
    <definedName name="_xlnm.Print_Area" localSheetId="83">'418'!$A$1:$Z$94</definedName>
    <definedName name="_xlnm.Print_Area" localSheetId="79">'420'!$A$1:$Z$32</definedName>
    <definedName name="_xlnm.Print_Area" localSheetId="84">'423'!$A$1:$Z$65</definedName>
    <definedName name="_xlnm.Print_Area" localSheetId="85">'424'!$A$1:$Z$40</definedName>
    <definedName name="_xlnm.Print_Area" localSheetId="86">'425'!$A$1:$Z$46</definedName>
    <definedName name="_xlnm.Print_Area" localSheetId="89">'430'!$A$1:$Z$66</definedName>
    <definedName name="_xlnm.Print_Area" localSheetId="90">'433'!$A$1:$Z$98</definedName>
    <definedName name="_xlnm.Print_Area" localSheetId="91">'435'!$A$1:$Z$34</definedName>
    <definedName name="_xlnm.Print_Area" localSheetId="92">'444'!$A$1:$Z$102</definedName>
    <definedName name="_xlnm.Print_Area" localSheetId="93">'450'!$A$1:$Z$96</definedName>
    <definedName name="_xlnm.Print_Area" localSheetId="87">'455'!$A$1:$Z$34</definedName>
    <definedName name="_xlnm.Print_Area" localSheetId="72">'491'!$A$1:$Z$127</definedName>
    <definedName name="_xlnm.Print_Area" localSheetId="88">'492'!$A$1:$Z$108</definedName>
    <definedName name="_xlnm.Print_Area" localSheetId="95">'501'!$A$1:$Z$80</definedName>
    <definedName name="_xlnm.Print_Area" localSheetId="96">Dept!$A$1:$Z$39</definedName>
    <definedName name="_xlnm.Print_Area" localSheetId="5">'Div 1'!$A$1:$Z$34</definedName>
    <definedName name="_xlnm.Print_Area" localSheetId="39">'Div 2'!$A$1:$Z$112</definedName>
    <definedName name="_xlnm.Print_Area" localSheetId="47">'Div 3'!$A$1:$Z$224</definedName>
    <definedName name="_xlnm.Print_Area" localSheetId="70">'Div 4'!$A$1:$Z$134</definedName>
    <definedName name="_xlnm.Print_Area" localSheetId="94">'Div 5'!$A$1:$Z$80</definedName>
    <definedName name="_xlnm.Print_Area" localSheetId="61">'Div 6'!$A$1:$Z$108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7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8">'OSR_Summary (...56e5d78f_5JEYZH'!$A$1:$Z$39</definedName>
    <definedName name="_xlnm.Print_Area" localSheetId="3">OSR_Summary_18VAVWG!$A$1:$Z$39</definedName>
    <definedName name="_xlnm.Print_Area" localSheetId="2">Summary!$A$1:$Z$260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1">'310 &amp; 491'!$A:$C,'310 &amp; 491'!$1:$10</definedName>
    <definedName name="_xlnm.Print_Titles" localSheetId="54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67">'322'!$A:$C,'322'!$1:$10</definedName>
    <definedName name="_xlnm.Print_Titles" localSheetId="55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'408'!$A:$C,'408'!$1:$10</definedName>
    <definedName name="_xlnm.Print_Titles" localSheetId="76">'409'!$A:$C,'409'!$1:$10</definedName>
    <definedName name="_xlnm.Print_Titles" localSheetId="77">'411'!$A:$C,'411'!$1:$10</definedName>
    <definedName name="_xlnm.Print_Titles" localSheetId="78">'412'!$A:$C,'412'!$1:$10</definedName>
    <definedName name="_xlnm.Print_Titles" localSheetId="80">'413'!$A:$C,'413'!$1:$10</definedName>
    <definedName name="_xlnm.Print_Titles" localSheetId="81">'414'!$A:$C,'414'!$1:$10</definedName>
    <definedName name="_xlnm.Print_Titles" localSheetId="82">'415'!$A:$C,'415'!$1:$10</definedName>
    <definedName name="_xlnm.Print_Titles" localSheetId="83">'418'!$A:$C,'418'!$1:$10</definedName>
    <definedName name="_xlnm.Print_Titles" localSheetId="79">'420'!$A:$C,'420'!$1:$10</definedName>
    <definedName name="_xlnm.Print_Titles" localSheetId="84">'423'!$A:$C,'423'!$1:$10</definedName>
    <definedName name="_xlnm.Print_Titles" localSheetId="85">'424'!$A:$C,'424'!$1:$10</definedName>
    <definedName name="_xlnm.Print_Titles" localSheetId="86">'425'!$A:$C,'425'!$1:$10</definedName>
    <definedName name="_xlnm.Print_Titles" localSheetId="89">'430'!$A:$C,'430'!$1:$10</definedName>
    <definedName name="_xlnm.Print_Titles" localSheetId="90">'433'!$A:$C,'433'!$1:$10</definedName>
    <definedName name="_xlnm.Print_Titles" localSheetId="91">'435'!$A:$C,'435'!$1:$10</definedName>
    <definedName name="_xlnm.Print_Titles" localSheetId="92">'444'!$A:$C,'444'!$1:$10</definedName>
    <definedName name="_xlnm.Print_Titles" localSheetId="93">'450'!$A:$C,'450'!$1:$10</definedName>
    <definedName name="_xlnm.Print_Titles" localSheetId="87">'455'!$A:$C,'455'!$1:$10</definedName>
    <definedName name="_xlnm.Print_Titles" localSheetId="72">'491'!$A:$C,'491'!$1:$10</definedName>
    <definedName name="_xlnm.Print_Titles" localSheetId="88">'492'!$A:$C,'492'!$1:$10</definedName>
    <definedName name="_xlnm.Print_Titles" localSheetId="95">'501'!$A:$C,'501'!$1:$10</definedName>
    <definedName name="_xlnm.Print_Titles" localSheetId="96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4">'Div 5'!$A:$C,'Div 5'!$1:$10</definedName>
    <definedName name="_xlnm.Print_Titles" localSheetId="61">'Div 6'!$A:$C,'Div 6'!$1:$10</definedName>
    <definedName name="_xlnm.Print_Titles" localSheetId="14">'OSR_300 &amp; 317_1C00ID4'!$A:$C,'OSR_300 &amp; 317_1C00ID4'!$1:$10</definedName>
    <definedName name="_xlnm.Print_Titles" localSheetId="15">'OSR_300 (2)_...6aa5a22d_14M6XO4'!$A:$C,'OSR_300 (2)_...6aa5a22d_14M6XO4'!$1:$10</definedName>
    <definedName name="_xlnm.Print_Titles" localSheetId="11">'OSR_300 (2)_7...54cb56fc_UFX0O2'!$A:$C,'OSR_300 (2)_7...54cb56fc_UFX0O2'!$1:$10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3">'OSR_310 (2)_5...3d931dee_QNK8R2'!$A:$C,'OSR_310 (2)_5...3d931dee_QNK8R2'!$1:$10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(2)_...853a34aa_1UNC34K'!$A:$C,'OSR_491 (2)_...853a34aa_1UNC34K'!$1:$10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7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(2)...32d16c57_IVJ1QO'!$A:$C,'OSR_Div 5 (2)...32d16c57_IVJ1QO'!$1:$10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98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72" i="109" l="1"/>
  <c r="X72" i="109"/>
  <c r="L72" i="109"/>
  <c r="N72" i="109" s="1"/>
  <c r="P68" i="109"/>
  <c r="X68" i="109" s="1"/>
  <c r="Z68" i="109" s="1"/>
  <c r="J68" i="109"/>
  <c r="D68" i="109"/>
  <c r="B68" i="109"/>
  <c r="T67" i="109"/>
  <c r="P67" i="109"/>
  <c r="X67" i="109" s="1"/>
  <c r="Z67" i="109" s="1"/>
  <c r="J67" i="109"/>
  <c r="H67" i="109"/>
  <c r="X65" i="109"/>
  <c r="Z65" i="109" s="1"/>
  <c r="L65" i="109"/>
  <c r="N65" i="109" s="1"/>
  <c r="B65" i="109"/>
  <c r="X64" i="109"/>
  <c r="Z64" i="109" s="1"/>
  <c r="T64" i="109"/>
  <c r="P64" i="109"/>
  <c r="H64" i="109"/>
  <c r="N64" i="109" s="1"/>
  <c r="D64" i="109"/>
  <c r="L64" i="109" s="1"/>
  <c r="B64" i="109"/>
  <c r="Z63" i="109"/>
  <c r="X63" i="109"/>
  <c r="N63" i="109"/>
  <c r="L63" i="109"/>
  <c r="B63" i="109"/>
  <c r="X62" i="109"/>
  <c r="Z62" i="109" s="1"/>
  <c r="L62" i="109"/>
  <c r="N62" i="109" s="1"/>
  <c r="B62" i="109"/>
  <c r="T61" i="109"/>
  <c r="P61" i="109"/>
  <c r="X61" i="109" s="1"/>
  <c r="Z61" i="109" s="1"/>
  <c r="N61" i="109"/>
  <c r="H61" i="109"/>
  <c r="L61" i="109" s="1"/>
  <c r="D61" i="109"/>
  <c r="B61" i="109"/>
  <c r="Z60" i="109"/>
  <c r="X60" i="109"/>
  <c r="N60" i="109"/>
  <c r="L60" i="109"/>
  <c r="B60" i="109"/>
  <c r="Z59" i="109"/>
  <c r="X59" i="109"/>
  <c r="N59" i="109"/>
  <c r="L59" i="109"/>
  <c r="J59" i="109"/>
  <c r="B59" i="109"/>
  <c r="X58" i="109"/>
  <c r="Z58" i="109" s="1"/>
  <c r="N58" i="109"/>
  <c r="L58" i="109"/>
  <c r="B58" i="109"/>
  <c r="Z57" i="109"/>
  <c r="X57" i="109"/>
  <c r="V57" i="109"/>
  <c r="T57" i="109"/>
  <c r="P57" i="109"/>
  <c r="H57" i="109"/>
  <c r="D57" i="109"/>
  <c r="L57" i="109" s="1"/>
  <c r="B57" i="109"/>
  <c r="X56" i="109"/>
  <c r="Z56" i="109" s="1"/>
  <c r="N56" i="109"/>
  <c r="L56" i="109"/>
  <c r="B56" i="109"/>
  <c r="V55" i="109"/>
  <c r="T55" i="109"/>
  <c r="P55" i="109"/>
  <c r="H55" i="109"/>
  <c r="D55" i="109"/>
  <c r="L55" i="109" s="1"/>
  <c r="N55" i="109" s="1"/>
  <c r="B55" i="109"/>
  <c r="X54" i="109"/>
  <c r="Z54" i="109" s="1"/>
  <c r="L54" i="109"/>
  <c r="N54" i="109" s="1"/>
  <c r="B54" i="109"/>
  <c r="T53" i="109"/>
  <c r="Z53" i="109" s="1"/>
  <c r="P53" i="109"/>
  <c r="X53" i="109" s="1"/>
  <c r="H53" i="109"/>
  <c r="D53" i="109"/>
  <c r="L53" i="109" s="1"/>
  <c r="N53" i="109" s="1"/>
  <c r="B53" i="109"/>
  <c r="Z52" i="109"/>
  <c r="X52" i="109"/>
  <c r="L52" i="109"/>
  <c r="N52" i="109" s="1"/>
  <c r="B52" i="109"/>
  <c r="T51" i="109"/>
  <c r="Z51" i="109" s="1"/>
  <c r="P51" i="109"/>
  <c r="X51" i="109" s="1"/>
  <c r="J51" i="109"/>
  <c r="H51" i="109"/>
  <c r="D51" i="109"/>
  <c r="L51" i="109" s="1"/>
  <c r="N51" i="109" s="1"/>
  <c r="B51" i="109"/>
  <c r="X50" i="109"/>
  <c r="Z50" i="109" s="1"/>
  <c r="L50" i="109"/>
  <c r="N50" i="109" s="1"/>
  <c r="B50" i="109"/>
  <c r="Z49" i="109"/>
  <c r="X49" i="109"/>
  <c r="N49" i="109"/>
  <c r="L49" i="109"/>
  <c r="B49" i="109"/>
  <c r="X48" i="109"/>
  <c r="Z48" i="109" s="1"/>
  <c r="T48" i="109"/>
  <c r="P48" i="109"/>
  <c r="H48" i="109"/>
  <c r="D48" i="109"/>
  <c r="L48" i="109" s="1"/>
  <c r="B48" i="109"/>
  <c r="Z47" i="109"/>
  <c r="X47" i="109"/>
  <c r="N47" i="109"/>
  <c r="L47" i="109"/>
  <c r="B47" i="109"/>
  <c r="T46" i="109"/>
  <c r="P46" i="109"/>
  <c r="H46" i="109"/>
  <c r="D46" i="109"/>
  <c r="L46" i="109" s="1"/>
  <c r="N46" i="109" s="1"/>
  <c r="B46" i="109"/>
  <c r="Z45" i="109"/>
  <c r="X45" i="109"/>
  <c r="V45" i="109"/>
  <c r="L45" i="109"/>
  <c r="N45" i="109" s="1"/>
  <c r="B45" i="109"/>
  <c r="T44" i="109"/>
  <c r="P44" i="109"/>
  <c r="H44" i="109"/>
  <c r="D44" i="109"/>
  <c r="L44" i="109" s="1"/>
  <c r="B44" i="109"/>
  <c r="X43" i="109"/>
  <c r="Z43" i="109" s="1"/>
  <c r="V43" i="109"/>
  <c r="N43" i="109"/>
  <c r="L43" i="109"/>
  <c r="B43" i="109"/>
  <c r="T42" i="109"/>
  <c r="Z42" i="109" s="1"/>
  <c r="P42" i="109"/>
  <c r="X42" i="109" s="1"/>
  <c r="L42" i="109"/>
  <c r="N42" i="109" s="1"/>
  <c r="H42" i="109"/>
  <c r="D42" i="109"/>
  <c r="B42" i="109"/>
  <c r="Z41" i="109"/>
  <c r="X41" i="109"/>
  <c r="N41" i="109"/>
  <c r="L41" i="109"/>
  <c r="J41" i="109"/>
  <c r="B41" i="109"/>
  <c r="Z40" i="109"/>
  <c r="X40" i="109"/>
  <c r="N40" i="109"/>
  <c r="L40" i="109"/>
  <c r="B40" i="109"/>
  <c r="Z39" i="109"/>
  <c r="X39" i="109"/>
  <c r="N39" i="109"/>
  <c r="L39" i="109"/>
  <c r="B39" i="109"/>
  <c r="X38" i="109"/>
  <c r="Z38" i="109" s="1"/>
  <c r="N38" i="109"/>
  <c r="L38" i="109"/>
  <c r="B38" i="109"/>
  <c r="Z37" i="109"/>
  <c r="X37" i="109"/>
  <c r="N37" i="109"/>
  <c r="L37" i="109"/>
  <c r="J37" i="109"/>
  <c r="B37" i="109"/>
  <c r="Z36" i="109"/>
  <c r="X36" i="109"/>
  <c r="N36" i="109"/>
  <c r="L36" i="109"/>
  <c r="F36" i="109"/>
  <c r="B36" i="109"/>
  <c r="Z35" i="109"/>
  <c r="X35" i="109"/>
  <c r="N35" i="109"/>
  <c r="L35" i="109"/>
  <c r="B35" i="109"/>
  <c r="Z34" i="109"/>
  <c r="X34" i="109"/>
  <c r="N34" i="109"/>
  <c r="L34" i="109"/>
  <c r="B34" i="109"/>
  <c r="X33" i="109"/>
  <c r="Z33" i="109" s="1"/>
  <c r="N33" i="109"/>
  <c r="L33" i="109"/>
  <c r="J33" i="109"/>
  <c r="B33" i="109"/>
  <c r="Z32" i="109"/>
  <c r="X32" i="109"/>
  <c r="N32" i="109"/>
  <c r="L32" i="109"/>
  <c r="F32" i="109"/>
  <c r="B32" i="109"/>
  <c r="Z31" i="109"/>
  <c r="T31" i="109"/>
  <c r="P31" i="109"/>
  <c r="X31" i="109" s="1"/>
  <c r="H31" i="109"/>
  <c r="D31" i="109"/>
  <c r="L31" i="109" s="1"/>
  <c r="N31" i="109" s="1"/>
  <c r="B31" i="109"/>
  <c r="X30" i="109"/>
  <c r="Z30" i="109" s="1"/>
  <c r="L30" i="109"/>
  <c r="N30" i="109" s="1"/>
  <c r="B30" i="109"/>
  <c r="Z29" i="109"/>
  <c r="X29" i="109"/>
  <c r="V29" i="109"/>
  <c r="L29" i="109"/>
  <c r="N29" i="109" s="1"/>
  <c r="B29" i="109"/>
  <c r="Z28" i="109"/>
  <c r="X28" i="109"/>
  <c r="L28" i="109"/>
  <c r="N28" i="109" s="1"/>
  <c r="B28" i="109"/>
  <c r="Z27" i="109"/>
  <c r="X27" i="109"/>
  <c r="N27" i="109"/>
  <c r="L27" i="109"/>
  <c r="J27" i="109"/>
  <c r="B27" i="109"/>
  <c r="Z26" i="109"/>
  <c r="X26" i="109"/>
  <c r="N26" i="109"/>
  <c r="L26" i="109"/>
  <c r="B26" i="109"/>
  <c r="Z25" i="109"/>
  <c r="X25" i="109"/>
  <c r="V25" i="109"/>
  <c r="L25" i="109"/>
  <c r="N25" i="109" s="1"/>
  <c r="B25" i="109"/>
  <c r="Z24" i="109"/>
  <c r="X24" i="109"/>
  <c r="L24" i="109"/>
  <c r="N24" i="109" s="1"/>
  <c r="B24" i="109"/>
  <c r="Z23" i="109"/>
  <c r="X23" i="109"/>
  <c r="L23" i="109"/>
  <c r="N23" i="109" s="1"/>
  <c r="J23" i="109"/>
  <c r="B23" i="109"/>
  <c r="X22" i="109"/>
  <c r="Z22" i="109" s="1"/>
  <c r="L22" i="109"/>
  <c r="N22" i="109" s="1"/>
  <c r="B22" i="109"/>
  <c r="Z21" i="109"/>
  <c r="X21" i="109"/>
  <c r="V21" i="109"/>
  <c r="L21" i="109"/>
  <c r="N21" i="109" s="1"/>
  <c r="B21" i="109"/>
  <c r="T20" i="109"/>
  <c r="P20" i="109"/>
  <c r="H20" i="109"/>
  <c r="N20" i="109" s="1"/>
  <c r="D20" i="109"/>
  <c r="L20" i="109" s="1"/>
  <c r="B20" i="109"/>
  <c r="V19" i="109"/>
  <c r="T19" i="109"/>
  <c r="Z19" i="109" s="1"/>
  <c r="P19" i="109"/>
  <c r="X19" i="109" s="1"/>
  <c r="H19" i="109"/>
  <c r="N19" i="109" s="1"/>
  <c r="D19" i="109"/>
  <c r="L19" i="109" s="1"/>
  <c r="D17" i="109"/>
  <c r="T15" i="109"/>
  <c r="P15" i="109"/>
  <c r="H15" i="109"/>
  <c r="N15" i="109" s="1"/>
  <c r="D15" i="109"/>
  <c r="L15" i="109" s="1"/>
  <c r="P13" i="109"/>
  <c r="L13" i="109"/>
  <c r="N13" i="109" s="1"/>
  <c r="D13" i="109"/>
  <c r="B13" i="109"/>
  <c r="T12" i="109"/>
  <c r="V64" i="109" s="1"/>
  <c r="H12" i="109"/>
  <c r="J72" i="109" s="1"/>
  <c r="D12" i="109"/>
  <c r="F40" i="109" s="1"/>
  <c r="D6" i="109"/>
  <c r="D4" i="109"/>
  <c r="F31" i="108"/>
  <c r="F28" i="108"/>
  <c r="Z26" i="108"/>
  <c r="X26" i="108"/>
  <c r="N26" i="108"/>
  <c r="L26" i="108"/>
  <c r="J26" i="108"/>
  <c r="F24" i="108"/>
  <c r="Z22" i="108"/>
  <c r="X22" i="108"/>
  <c r="R22" i="108"/>
  <c r="P22" i="108"/>
  <c r="N22" i="108"/>
  <c r="F22" i="108"/>
  <c r="D22" i="108"/>
  <c r="L22" i="108" s="1"/>
  <c r="B22" i="108"/>
  <c r="Z21" i="108"/>
  <c r="V21" i="108"/>
  <c r="R21" i="108"/>
  <c r="P21" i="108"/>
  <c r="N21" i="108"/>
  <c r="D21" i="108"/>
  <c r="L21" i="108" s="1"/>
  <c r="B21" i="108"/>
  <c r="T20" i="108"/>
  <c r="Z20" i="108" s="1"/>
  <c r="N20" i="108"/>
  <c r="H20" i="108"/>
  <c r="F20" i="108"/>
  <c r="Z18" i="108"/>
  <c r="T18" i="108"/>
  <c r="R18" i="108"/>
  <c r="P18" i="108"/>
  <c r="X18" i="108" s="1"/>
  <c r="N18" i="108"/>
  <c r="H18" i="108"/>
  <c r="F18" i="108"/>
  <c r="D18" i="108"/>
  <c r="L18" i="108" s="1"/>
  <c r="R16" i="108"/>
  <c r="P16" i="108"/>
  <c r="F16" i="108"/>
  <c r="Z14" i="108"/>
  <c r="T14" i="108"/>
  <c r="R14" i="108"/>
  <c r="P14" i="108"/>
  <c r="N14" i="108"/>
  <c r="H14" i="108"/>
  <c r="F14" i="108"/>
  <c r="D14" i="108"/>
  <c r="T12" i="108"/>
  <c r="P12" i="108"/>
  <c r="R20" i="108" s="1"/>
  <c r="N12" i="108"/>
  <c r="L12" i="108"/>
  <c r="H12" i="108"/>
  <c r="J24" i="108" s="1"/>
  <c r="D12" i="108"/>
  <c r="F21" i="108" s="1"/>
  <c r="D6" i="108"/>
  <c r="D4" i="108"/>
  <c r="X88" i="107"/>
  <c r="Z88" i="107" s="1"/>
  <c r="L88" i="107"/>
  <c r="N88" i="107" s="1"/>
  <c r="X84" i="107"/>
  <c r="T84" i="107"/>
  <c r="Z84" i="107" s="1"/>
  <c r="P84" i="107"/>
  <c r="N84" i="107"/>
  <c r="H84" i="107"/>
  <c r="D84" i="107"/>
  <c r="L84" i="107" s="1"/>
  <c r="X82" i="107"/>
  <c r="Z82" i="107" s="1"/>
  <c r="N82" i="107"/>
  <c r="L82" i="107"/>
  <c r="B82" i="107"/>
  <c r="V81" i="107"/>
  <c r="T81" i="107"/>
  <c r="X81" i="107" s="1"/>
  <c r="Z81" i="107" s="1"/>
  <c r="P81" i="107"/>
  <c r="H81" i="107"/>
  <c r="D81" i="107"/>
  <c r="L81" i="107" s="1"/>
  <c r="N81" i="107" s="1"/>
  <c r="B81" i="107"/>
  <c r="Z80" i="107"/>
  <c r="X80" i="107"/>
  <c r="N80" i="107"/>
  <c r="L80" i="107"/>
  <c r="B80" i="107"/>
  <c r="X79" i="107"/>
  <c r="Z79" i="107" s="1"/>
  <c r="N79" i="107"/>
  <c r="L79" i="107"/>
  <c r="J79" i="107"/>
  <c r="B79" i="107"/>
  <c r="T78" i="107"/>
  <c r="P78" i="107"/>
  <c r="X78" i="107" s="1"/>
  <c r="Z78" i="107" s="1"/>
  <c r="H78" i="107"/>
  <c r="D78" i="107"/>
  <c r="B78" i="107"/>
  <c r="X77" i="107"/>
  <c r="Z77" i="107" s="1"/>
  <c r="N77" i="107"/>
  <c r="L77" i="107"/>
  <c r="J77" i="107"/>
  <c r="B77" i="107"/>
  <c r="X76" i="107"/>
  <c r="Z76" i="107" s="1"/>
  <c r="N76" i="107"/>
  <c r="L76" i="107"/>
  <c r="B76" i="107"/>
  <c r="Z75" i="107"/>
  <c r="X75" i="107"/>
  <c r="V75" i="107"/>
  <c r="N75" i="107"/>
  <c r="L75" i="107"/>
  <c r="B75" i="107"/>
  <c r="Z74" i="107"/>
  <c r="X74" i="107"/>
  <c r="L74" i="107"/>
  <c r="N74" i="107" s="1"/>
  <c r="B74" i="107"/>
  <c r="X73" i="107"/>
  <c r="Z73" i="107" s="1"/>
  <c r="N73" i="107"/>
  <c r="L73" i="107"/>
  <c r="J73" i="107"/>
  <c r="B73" i="107"/>
  <c r="X72" i="107"/>
  <c r="Z72" i="107" s="1"/>
  <c r="N72" i="107"/>
  <c r="L72" i="107"/>
  <c r="B72" i="107"/>
  <c r="Z71" i="107"/>
  <c r="X71" i="107"/>
  <c r="V71" i="107"/>
  <c r="N71" i="107"/>
  <c r="L71" i="107"/>
  <c r="B71" i="107"/>
  <c r="T70" i="107"/>
  <c r="P70" i="107"/>
  <c r="L70" i="107"/>
  <c r="H70" i="107"/>
  <c r="N70" i="107" s="1"/>
  <c r="D70" i="107"/>
  <c r="B70" i="107"/>
  <c r="Z69" i="107"/>
  <c r="X69" i="107"/>
  <c r="V69" i="107"/>
  <c r="N69" i="107"/>
  <c r="L69" i="107"/>
  <c r="B69" i="107"/>
  <c r="Z68" i="107"/>
  <c r="X68" i="107"/>
  <c r="L68" i="107"/>
  <c r="N68" i="107" s="1"/>
  <c r="B68" i="107"/>
  <c r="Z67" i="107"/>
  <c r="X67" i="107"/>
  <c r="L67" i="107"/>
  <c r="N67" i="107" s="1"/>
  <c r="B67" i="107"/>
  <c r="X66" i="107"/>
  <c r="T66" i="107"/>
  <c r="Z66" i="107" s="1"/>
  <c r="P66" i="107"/>
  <c r="H66" i="107"/>
  <c r="D66" i="107"/>
  <c r="L66" i="107" s="1"/>
  <c r="N66" i="107" s="1"/>
  <c r="B66" i="107"/>
  <c r="Z65" i="107"/>
  <c r="X65" i="107"/>
  <c r="L65" i="107"/>
  <c r="N65" i="107" s="1"/>
  <c r="B65" i="107"/>
  <c r="X64" i="107"/>
  <c r="T64" i="107"/>
  <c r="P64" i="107"/>
  <c r="H64" i="107"/>
  <c r="N64" i="107" s="1"/>
  <c r="D64" i="107"/>
  <c r="L64" i="107" s="1"/>
  <c r="B64" i="107"/>
  <c r="Z63" i="107"/>
  <c r="X63" i="107"/>
  <c r="V63" i="107"/>
  <c r="N63" i="107"/>
  <c r="L63" i="107"/>
  <c r="B63" i="107"/>
  <c r="T62" i="107"/>
  <c r="P62" i="107"/>
  <c r="L62" i="107"/>
  <c r="H62" i="107"/>
  <c r="N62" i="107" s="1"/>
  <c r="D62" i="107"/>
  <c r="B62" i="107"/>
  <c r="Z61" i="107"/>
  <c r="X61" i="107"/>
  <c r="V61" i="107"/>
  <c r="N61" i="107"/>
  <c r="L61" i="107"/>
  <c r="B61" i="107"/>
  <c r="T60" i="107"/>
  <c r="P60" i="107"/>
  <c r="X60" i="107" s="1"/>
  <c r="Z60" i="107" s="1"/>
  <c r="L60" i="107"/>
  <c r="H60" i="107"/>
  <c r="N60" i="107" s="1"/>
  <c r="D60" i="107"/>
  <c r="B60" i="107"/>
  <c r="X59" i="107"/>
  <c r="Z59" i="107" s="1"/>
  <c r="N59" i="107"/>
  <c r="L59" i="107"/>
  <c r="J59" i="107"/>
  <c r="B59" i="107"/>
  <c r="T58" i="107"/>
  <c r="P58" i="107"/>
  <c r="X58" i="107" s="1"/>
  <c r="L58" i="107"/>
  <c r="H58" i="107"/>
  <c r="D58" i="107"/>
  <c r="B58" i="107"/>
  <c r="Z57" i="107"/>
  <c r="X57" i="107"/>
  <c r="N57" i="107"/>
  <c r="L57" i="107"/>
  <c r="J57" i="107"/>
  <c r="B57" i="107"/>
  <c r="X56" i="107"/>
  <c r="T56" i="107"/>
  <c r="Z56" i="107" s="1"/>
  <c r="P56" i="107"/>
  <c r="H56" i="107"/>
  <c r="N56" i="107" s="1"/>
  <c r="D56" i="107"/>
  <c r="L56" i="107" s="1"/>
  <c r="B56" i="107"/>
  <c r="Z55" i="107"/>
  <c r="X55" i="107"/>
  <c r="L55" i="107"/>
  <c r="N55" i="107" s="1"/>
  <c r="B55" i="107"/>
  <c r="X54" i="107"/>
  <c r="T54" i="107"/>
  <c r="Z54" i="107" s="1"/>
  <c r="P54" i="107"/>
  <c r="H54" i="107"/>
  <c r="D54" i="107"/>
  <c r="L54" i="107" s="1"/>
  <c r="N54" i="107" s="1"/>
  <c r="B54" i="107"/>
  <c r="Z53" i="107"/>
  <c r="X53" i="107"/>
  <c r="L53" i="107"/>
  <c r="N53" i="107" s="1"/>
  <c r="B53" i="107"/>
  <c r="X52" i="107"/>
  <c r="T52" i="107"/>
  <c r="P52" i="107"/>
  <c r="H52" i="107"/>
  <c r="D52" i="107"/>
  <c r="L52" i="107" s="1"/>
  <c r="B52" i="107"/>
  <c r="Z51" i="107"/>
  <c r="X51" i="107"/>
  <c r="V51" i="107"/>
  <c r="N51" i="107"/>
  <c r="L51" i="107"/>
  <c r="B51" i="107"/>
  <c r="T50" i="107"/>
  <c r="P50" i="107"/>
  <c r="L50" i="107"/>
  <c r="H50" i="107"/>
  <c r="N50" i="107" s="1"/>
  <c r="D50" i="107"/>
  <c r="B50" i="107"/>
  <c r="Z49" i="107"/>
  <c r="X49" i="107"/>
  <c r="V49" i="107"/>
  <c r="N49" i="107"/>
  <c r="L49" i="107"/>
  <c r="B49" i="107"/>
  <c r="T48" i="107"/>
  <c r="P48" i="107"/>
  <c r="X48" i="107" s="1"/>
  <c r="Z48" i="107" s="1"/>
  <c r="L48" i="107"/>
  <c r="H48" i="107"/>
  <c r="N48" i="107" s="1"/>
  <c r="D48" i="107"/>
  <c r="B48" i="107"/>
  <c r="X47" i="107"/>
  <c r="Z47" i="107" s="1"/>
  <c r="N47" i="107"/>
  <c r="L47" i="107"/>
  <c r="J47" i="107"/>
  <c r="B47" i="107"/>
  <c r="T46" i="107"/>
  <c r="P46" i="107"/>
  <c r="X46" i="107" s="1"/>
  <c r="L46" i="107"/>
  <c r="H46" i="107"/>
  <c r="D46" i="107"/>
  <c r="B46" i="107"/>
  <c r="X45" i="107"/>
  <c r="Z45" i="107" s="1"/>
  <c r="N45" i="107"/>
  <c r="L45" i="107"/>
  <c r="J45" i="107"/>
  <c r="B45" i="107"/>
  <c r="X44" i="107"/>
  <c r="T44" i="107"/>
  <c r="Z44" i="107" s="1"/>
  <c r="P44" i="107"/>
  <c r="H44" i="107"/>
  <c r="D44" i="107"/>
  <c r="B44" i="107"/>
  <c r="Z43" i="107"/>
  <c r="X43" i="107"/>
  <c r="N43" i="107"/>
  <c r="L43" i="107"/>
  <c r="B43" i="107"/>
  <c r="Z42" i="107"/>
  <c r="X42" i="107"/>
  <c r="N42" i="107"/>
  <c r="L42" i="107"/>
  <c r="B42" i="107"/>
  <c r="Z41" i="107"/>
  <c r="X41" i="107"/>
  <c r="V41" i="107"/>
  <c r="N41" i="107"/>
  <c r="L41" i="107"/>
  <c r="B41" i="107"/>
  <c r="Z40" i="107"/>
  <c r="X40" i="107"/>
  <c r="N40" i="107"/>
  <c r="L40" i="107"/>
  <c r="F40" i="107"/>
  <c r="B40" i="107"/>
  <c r="Z39" i="107"/>
  <c r="X39" i="107"/>
  <c r="N39" i="107"/>
  <c r="L39" i="107"/>
  <c r="B39" i="107"/>
  <c r="X38" i="107"/>
  <c r="Z38" i="107" s="1"/>
  <c r="L38" i="107"/>
  <c r="N38" i="107" s="1"/>
  <c r="B38" i="107"/>
  <c r="Z37" i="107"/>
  <c r="X37" i="107"/>
  <c r="V37" i="107"/>
  <c r="N37" i="107"/>
  <c r="L37" i="107"/>
  <c r="B37" i="107"/>
  <c r="Z36" i="107"/>
  <c r="X36" i="107"/>
  <c r="N36" i="107"/>
  <c r="L36" i="107"/>
  <c r="F36" i="107"/>
  <c r="B36" i="107"/>
  <c r="Z35" i="107"/>
  <c r="X35" i="107"/>
  <c r="L35" i="107"/>
  <c r="N35" i="107" s="1"/>
  <c r="B35" i="107"/>
  <c r="Z34" i="107"/>
  <c r="X34" i="107"/>
  <c r="N34" i="107"/>
  <c r="L34" i="107"/>
  <c r="B34" i="107"/>
  <c r="V33" i="107"/>
  <c r="T33" i="107"/>
  <c r="P33" i="107"/>
  <c r="X33" i="107" s="1"/>
  <c r="Z33" i="107" s="1"/>
  <c r="H33" i="107"/>
  <c r="D33" i="107"/>
  <c r="L33" i="107" s="1"/>
  <c r="N33" i="107" s="1"/>
  <c r="B33" i="107"/>
  <c r="Z32" i="107"/>
  <c r="X32" i="107"/>
  <c r="N32" i="107"/>
  <c r="L32" i="107"/>
  <c r="B32" i="107"/>
  <c r="X31" i="107"/>
  <c r="Z31" i="107" s="1"/>
  <c r="N31" i="107"/>
  <c r="L31" i="107"/>
  <c r="J31" i="107"/>
  <c r="B31" i="107"/>
  <c r="X30" i="107"/>
  <c r="Z30" i="107" s="1"/>
  <c r="N30" i="107"/>
  <c r="L30" i="107"/>
  <c r="F30" i="107"/>
  <c r="B30" i="107"/>
  <c r="Z29" i="107"/>
  <c r="X29" i="107"/>
  <c r="N29" i="107"/>
  <c r="L29" i="107"/>
  <c r="B29" i="107"/>
  <c r="Z28" i="107"/>
  <c r="X28" i="107"/>
  <c r="N28" i="107"/>
  <c r="L28" i="107"/>
  <c r="B28" i="107"/>
  <c r="X27" i="107"/>
  <c r="Z27" i="107" s="1"/>
  <c r="N27" i="107"/>
  <c r="L27" i="107"/>
  <c r="J27" i="107"/>
  <c r="B27" i="107"/>
  <c r="X26" i="107"/>
  <c r="Z26" i="107" s="1"/>
  <c r="N26" i="107"/>
  <c r="L26" i="107"/>
  <c r="F26" i="107"/>
  <c r="B26" i="107"/>
  <c r="Z25" i="107"/>
  <c r="X25" i="107"/>
  <c r="V25" i="107"/>
  <c r="L25" i="107"/>
  <c r="N25" i="107" s="1"/>
  <c r="B25" i="107"/>
  <c r="X24" i="107"/>
  <c r="Z24" i="107" s="1"/>
  <c r="L24" i="107"/>
  <c r="N24" i="107" s="1"/>
  <c r="B24" i="107"/>
  <c r="X23" i="107"/>
  <c r="Z23" i="107" s="1"/>
  <c r="N23" i="107"/>
  <c r="L23" i="107"/>
  <c r="J23" i="107"/>
  <c r="B23" i="107"/>
  <c r="T22" i="107"/>
  <c r="Z22" i="107" s="1"/>
  <c r="P22" i="107"/>
  <c r="X22" i="107" s="1"/>
  <c r="H22" i="107"/>
  <c r="D22" i="107"/>
  <c r="B22" i="107"/>
  <c r="T21" i="107"/>
  <c r="P21" i="107"/>
  <c r="X21" i="107" s="1"/>
  <c r="H21" i="107"/>
  <c r="J21" i="107" s="1"/>
  <c r="D21" i="107"/>
  <c r="L21" i="107" s="1"/>
  <c r="N21" i="107" s="1"/>
  <c r="T19" i="107"/>
  <c r="X17" i="107"/>
  <c r="Z17" i="107" s="1"/>
  <c r="L17" i="107"/>
  <c r="N17" i="107" s="1"/>
  <c r="J17" i="107"/>
  <c r="B17" i="107"/>
  <c r="X16" i="107"/>
  <c r="Z16" i="107" s="1"/>
  <c r="T16" i="107"/>
  <c r="P16" i="107"/>
  <c r="H16" i="107"/>
  <c r="D16" i="107"/>
  <c r="Z14" i="107"/>
  <c r="X14" i="107"/>
  <c r="P14" i="107"/>
  <c r="N14" i="107"/>
  <c r="L14" i="107"/>
  <c r="D14" i="107"/>
  <c r="B14" i="107"/>
  <c r="P13" i="107"/>
  <c r="L13" i="107"/>
  <c r="N13" i="107" s="1"/>
  <c r="D13" i="107"/>
  <c r="B13" i="107"/>
  <c r="T12" i="107"/>
  <c r="H12" i="107"/>
  <c r="D12" i="107"/>
  <c r="F88" i="107" s="1"/>
  <c r="D6" i="107"/>
  <c r="D4" i="107"/>
  <c r="Z94" i="105"/>
  <c r="X94" i="105"/>
  <c r="L94" i="105"/>
  <c r="N94" i="105" s="1"/>
  <c r="T90" i="105"/>
  <c r="Z90" i="105" s="1"/>
  <c r="P90" i="105"/>
  <c r="H90" i="105"/>
  <c r="N90" i="105" s="1"/>
  <c r="D90" i="105"/>
  <c r="Z88" i="105"/>
  <c r="X88" i="105"/>
  <c r="N88" i="105"/>
  <c r="L88" i="105"/>
  <c r="B88" i="105"/>
  <c r="Z87" i="105"/>
  <c r="X87" i="105"/>
  <c r="T87" i="105"/>
  <c r="P87" i="105"/>
  <c r="L87" i="105"/>
  <c r="N87" i="105" s="1"/>
  <c r="H87" i="105"/>
  <c r="D87" i="105"/>
  <c r="B87" i="105"/>
  <c r="Z86" i="105"/>
  <c r="X86" i="105"/>
  <c r="N86" i="105"/>
  <c r="L86" i="105"/>
  <c r="B86" i="105"/>
  <c r="Z85" i="105"/>
  <c r="X85" i="105"/>
  <c r="N85" i="105"/>
  <c r="L85" i="105"/>
  <c r="B85" i="105"/>
  <c r="T84" i="105"/>
  <c r="P84" i="105"/>
  <c r="L84" i="105"/>
  <c r="N84" i="105" s="1"/>
  <c r="H84" i="105"/>
  <c r="D84" i="105"/>
  <c r="B84" i="105"/>
  <c r="X83" i="105"/>
  <c r="Z83" i="105" s="1"/>
  <c r="N83" i="105"/>
  <c r="L83" i="105"/>
  <c r="B83" i="105"/>
  <c r="X82" i="105"/>
  <c r="Z82" i="105" s="1"/>
  <c r="V82" i="105"/>
  <c r="L82" i="105"/>
  <c r="N82" i="105" s="1"/>
  <c r="B82" i="105"/>
  <c r="Z81" i="105"/>
  <c r="X81" i="105"/>
  <c r="N81" i="105"/>
  <c r="L81" i="105"/>
  <c r="B81" i="105"/>
  <c r="X80" i="105"/>
  <c r="Z80" i="105" s="1"/>
  <c r="N80" i="105"/>
  <c r="L80" i="105"/>
  <c r="B80" i="105"/>
  <c r="Z79" i="105"/>
  <c r="X79" i="105"/>
  <c r="N79" i="105"/>
  <c r="L79" i="105"/>
  <c r="B79" i="105"/>
  <c r="X78" i="105"/>
  <c r="Z78" i="105" s="1"/>
  <c r="L78" i="105"/>
  <c r="N78" i="105" s="1"/>
  <c r="B78" i="105"/>
  <c r="Z77" i="105"/>
  <c r="X77" i="105"/>
  <c r="L77" i="105"/>
  <c r="N77" i="105" s="1"/>
  <c r="B77" i="105"/>
  <c r="X76" i="105"/>
  <c r="Z76" i="105" s="1"/>
  <c r="L76" i="105"/>
  <c r="N76" i="105" s="1"/>
  <c r="B76" i="105"/>
  <c r="X75" i="105"/>
  <c r="Z75" i="105" s="1"/>
  <c r="N75" i="105"/>
  <c r="L75" i="105"/>
  <c r="B75" i="105"/>
  <c r="V74" i="105"/>
  <c r="T74" i="105"/>
  <c r="P74" i="105"/>
  <c r="X74" i="105" s="1"/>
  <c r="Z74" i="105" s="1"/>
  <c r="L74" i="105"/>
  <c r="H74" i="105"/>
  <c r="D74" i="105"/>
  <c r="B74" i="105"/>
  <c r="X73" i="105"/>
  <c r="Z73" i="105" s="1"/>
  <c r="N73" i="105"/>
  <c r="L73" i="105"/>
  <c r="B73" i="105"/>
  <c r="X72" i="105"/>
  <c r="Z72" i="105" s="1"/>
  <c r="N72" i="105"/>
  <c r="L72" i="105"/>
  <c r="B72" i="105"/>
  <c r="X71" i="105"/>
  <c r="Z71" i="105" s="1"/>
  <c r="N71" i="105"/>
  <c r="L71" i="105"/>
  <c r="B71" i="105"/>
  <c r="X70" i="105"/>
  <c r="T70" i="105"/>
  <c r="P70" i="105"/>
  <c r="L70" i="105"/>
  <c r="H70" i="105"/>
  <c r="N70" i="105" s="1"/>
  <c r="D70" i="105"/>
  <c r="B70" i="105"/>
  <c r="Z69" i="105"/>
  <c r="X69" i="105"/>
  <c r="V69" i="105"/>
  <c r="N69" i="105"/>
  <c r="L69" i="105"/>
  <c r="B69" i="105"/>
  <c r="Z68" i="105"/>
  <c r="X68" i="105"/>
  <c r="L68" i="105"/>
  <c r="N68" i="105" s="1"/>
  <c r="J68" i="105"/>
  <c r="B68" i="105"/>
  <c r="Z67" i="105"/>
  <c r="X67" i="105"/>
  <c r="N67" i="105"/>
  <c r="L67" i="105"/>
  <c r="B67" i="105"/>
  <c r="T66" i="105"/>
  <c r="P66" i="105"/>
  <c r="H66" i="105"/>
  <c r="N66" i="105" s="1"/>
  <c r="D66" i="105"/>
  <c r="L66" i="105" s="1"/>
  <c r="B66" i="105"/>
  <c r="Z65" i="105"/>
  <c r="X65" i="105"/>
  <c r="L65" i="105"/>
  <c r="N65" i="105" s="1"/>
  <c r="B65" i="105"/>
  <c r="T64" i="105"/>
  <c r="P64" i="105"/>
  <c r="X64" i="105" s="1"/>
  <c r="H64" i="105"/>
  <c r="D64" i="105"/>
  <c r="L64" i="105" s="1"/>
  <c r="B64" i="105"/>
  <c r="Z63" i="105"/>
  <c r="X63" i="105"/>
  <c r="N63" i="105"/>
  <c r="L63" i="105"/>
  <c r="B63" i="105"/>
  <c r="T62" i="105"/>
  <c r="Z62" i="105" s="1"/>
  <c r="P62" i="105"/>
  <c r="X62" i="105" s="1"/>
  <c r="H62" i="105"/>
  <c r="D62" i="105"/>
  <c r="L62" i="105" s="1"/>
  <c r="N62" i="105" s="1"/>
  <c r="B62" i="105"/>
  <c r="Z61" i="105"/>
  <c r="X61" i="105"/>
  <c r="N61" i="105"/>
  <c r="L61" i="105"/>
  <c r="B61" i="105"/>
  <c r="T60" i="105"/>
  <c r="P60" i="105"/>
  <c r="X60" i="105" s="1"/>
  <c r="J60" i="105"/>
  <c r="H60" i="105"/>
  <c r="D60" i="105"/>
  <c r="B60" i="105"/>
  <c r="Z59" i="105"/>
  <c r="X59" i="105"/>
  <c r="N59" i="105"/>
  <c r="L59" i="105"/>
  <c r="B59" i="105"/>
  <c r="X58" i="105"/>
  <c r="T58" i="105"/>
  <c r="P58" i="105"/>
  <c r="H58" i="105"/>
  <c r="N58" i="105" s="1"/>
  <c r="D58" i="105"/>
  <c r="L58" i="105" s="1"/>
  <c r="B58" i="105"/>
  <c r="Z57" i="105"/>
  <c r="X57" i="105"/>
  <c r="L57" i="105"/>
  <c r="N57" i="105" s="1"/>
  <c r="B57" i="105"/>
  <c r="V56" i="105"/>
  <c r="T56" i="105"/>
  <c r="P56" i="105"/>
  <c r="H56" i="105"/>
  <c r="D56" i="105"/>
  <c r="L56" i="105" s="1"/>
  <c r="B56" i="105"/>
  <c r="Z55" i="105"/>
  <c r="X55" i="105"/>
  <c r="V55" i="105"/>
  <c r="N55" i="105"/>
  <c r="L55" i="105"/>
  <c r="B55" i="105"/>
  <c r="Z54" i="105"/>
  <c r="T54" i="105"/>
  <c r="P54" i="105"/>
  <c r="X54" i="105" s="1"/>
  <c r="N54" i="105"/>
  <c r="H54" i="105"/>
  <c r="D54" i="105"/>
  <c r="L54" i="105" s="1"/>
  <c r="B54" i="105"/>
  <c r="Z53" i="105"/>
  <c r="X53" i="105"/>
  <c r="N53" i="105"/>
  <c r="L53" i="105"/>
  <c r="B53" i="105"/>
  <c r="T52" i="105"/>
  <c r="P52" i="105"/>
  <c r="X52" i="105" s="1"/>
  <c r="L52" i="105"/>
  <c r="N52" i="105" s="1"/>
  <c r="H52" i="105"/>
  <c r="D52" i="105"/>
  <c r="B52" i="105"/>
  <c r="X51" i="105"/>
  <c r="Z51" i="105" s="1"/>
  <c r="L51" i="105"/>
  <c r="N51" i="105" s="1"/>
  <c r="J51" i="105"/>
  <c r="B51" i="105"/>
  <c r="T50" i="105"/>
  <c r="P50" i="105"/>
  <c r="X50" i="105" s="1"/>
  <c r="H50" i="105"/>
  <c r="D50" i="105"/>
  <c r="B50" i="105"/>
  <c r="X49" i="105"/>
  <c r="Z49" i="105" s="1"/>
  <c r="N49" i="105"/>
  <c r="L49" i="105"/>
  <c r="B49" i="105"/>
  <c r="T48" i="105"/>
  <c r="P48" i="105"/>
  <c r="X48" i="105" s="1"/>
  <c r="Z48" i="105" s="1"/>
  <c r="H48" i="105"/>
  <c r="D48" i="105"/>
  <c r="L48" i="105" s="1"/>
  <c r="N48" i="105" s="1"/>
  <c r="B48" i="105"/>
  <c r="Z47" i="105"/>
  <c r="X47" i="105"/>
  <c r="N47" i="105"/>
  <c r="L47" i="105"/>
  <c r="B47" i="105"/>
  <c r="Z46" i="105"/>
  <c r="X46" i="105"/>
  <c r="N46" i="105"/>
  <c r="L46" i="105"/>
  <c r="B46" i="105"/>
  <c r="Z45" i="105"/>
  <c r="X45" i="105"/>
  <c r="N45" i="105"/>
  <c r="L45" i="105"/>
  <c r="B45" i="105"/>
  <c r="X44" i="105"/>
  <c r="Z44" i="105" s="1"/>
  <c r="N44" i="105"/>
  <c r="L44" i="105"/>
  <c r="J44" i="105"/>
  <c r="B44" i="105"/>
  <c r="Z43" i="105"/>
  <c r="X43" i="105"/>
  <c r="N43" i="105"/>
  <c r="L43" i="105"/>
  <c r="B43" i="105"/>
  <c r="Z42" i="105"/>
  <c r="X42" i="105"/>
  <c r="N42" i="105"/>
  <c r="L42" i="105"/>
  <c r="B42" i="105"/>
  <c r="Z41" i="105"/>
  <c r="X41" i="105"/>
  <c r="N41" i="105"/>
  <c r="L41" i="105"/>
  <c r="B41" i="105"/>
  <c r="Z40" i="105"/>
  <c r="X40" i="105"/>
  <c r="N40" i="105"/>
  <c r="L40" i="105"/>
  <c r="J40" i="105"/>
  <c r="B40" i="105"/>
  <c r="X39" i="105"/>
  <c r="Z39" i="105" s="1"/>
  <c r="L39" i="105"/>
  <c r="N39" i="105" s="1"/>
  <c r="B39" i="105"/>
  <c r="Z38" i="105"/>
  <c r="X38" i="105"/>
  <c r="N38" i="105"/>
  <c r="L38" i="105"/>
  <c r="B38" i="105"/>
  <c r="T37" i="105"/>
  <c r="P37" i="105"/>
  <c r="X37" i="105" s="1"/>
  <c r="H37" i="105"/>
  <c r="D37" i="105"/>
  <c r="L37" i="105" s="1"/>
  <c r="B37" i="105"/>
  <c r="X36" i="105"/>
  <c r="Z36" i="105" s="1"/>
  <c r="V36" i="105"/>
  <c r="N36" i="105"/>
  <c r="L36" i="105"/>
  <c r="B36" i="105"/>
  <c r="X35" i="105"/>
  <c r="Z35" i="105" s="1"/>
  <c r="L35" i="105"/>
  <c r="N35" i="105" s="1"/>
  <c r="J35" i="105"/>
  <c r="B35" i="105"/>
  <c r="Z34" i="105"/>
  <c r="X34" i="105"/>
  <c r="N34" i="105"/>
  <c r="L34" i="105"/>
  <c r="B34" i="105"/>
  <c r="Z33" i="105"/>
  <c r="X33" i="105"/>
  <c r="N33" i="105"/>
  <c r="L33" i="105"/>
  <c r="B33" i="105"/>
  <c r="Z32" i="105"/>
  <c r="X32" i="105"/>
  <c r="V32" i="105"/>
  <c r="N32" i="105"/>
  <c r="L32" i="105"/>
  <c r="B32" i="105"/>
  <c r="X31" i="105"/>
  <c r="Z31" i="105" s="1"/>
  <c r="L31" i="105"/>
  <c r="N31" i="105" s="1"/>
  <c r="J31" i="105"/>
  <c r="B31" i="105"/>
  <c r="Z30" i="105"/>
  <c r="X30" i="105"/>
  <c r="N30" i="105"/>
  <c r="L30" i="105"/>
  <c r="B30" i="105"/>
  <c r="Z29" i="105"/>
  <c r="X29" i="105"/>
  <c r="L29" i="105"/>
  <c r="N29" i="105" s="1"/>
  <c r="B29" i="105"/>
  <c r="X28" i="105"/>
  <c r="Z28" i="105" s="1"/>
  <c r="V28" i="105"/>
  <c r="N28" i="105"/>
  <c r="L28" i="105"/>
  <c r="B28" i="105"/>
  <c r="X27" i="105"/>
  <c r="Z27" i="105" s="1"/>
  <c r="L27" i="105"/>
  <c r="N27" i="105" s="1"/>
  <c r="J27" i="105"/>
  <c r="B27" i="105"/>
  <c r="T26" i="105"/>
  <c r="P26" i="105"/>
  <c r="X26" i="105" s="1"/>
  <c r="J26" i="105"/>
  <c r="H26" i="105"/>
  <c r="D26" i="105"/>
  <c r="B26" i="105"/>
  <c r="T25" i="105"/>
  <c r="P25" i="105"/>
  <c r="H25" i="105"/>
  <c r="D25" i="105"/>
  <c r="J23" i="105"/>
  <c r="H23" i="105"/>
  <c r="Z21" i="105"/>
  <c r="X21" i="105"/>
  <c r="N21" i="105"/>
  <c r="L21" i="105"/>
  <c r="J21" i="105"/>
  <c r="B21" i="105"/>
  <c r="Z20" i="105"/>
  <c r="X20" i="105"/>
  <c r="N20" i="105"/>
  <c r="L20" i="105"/>
  <c r="J20" i="105"/>
  <c r="B20" i="105"/>
  <c r="X19" i="105"/>
  <c r="Z19" i="105" s="1"/>
  <c r="V19" i="105"/>
  <c r="L19" i="105"/>
  <c r="N19" i="105" s="1"/>
  <c r="B19" i="105"/>
  <c r="T18" i="105"/>
  <c r="P18" i="105"/>
  <c r="X18" i="105" s="1"/>
  <c r="Z18" i="105" s="1"/>
  <c r="J18" i="105"/>
  <c r="H18" i="105"/>
  <c r="D18" i="105"/>
  <c r="L18" i="105" s="1"/>
  <c r="N18" i="105" s="1"/>
  <c r="Z16" i="105"/>
  <c r="X16" i="105"/>
  <c r="P16" i="105"/>
  <c r="N16" i="105"/>
  <c r="L16" i="105"/>
  <c r="D16" i="105"/>
  <c r="B16" i="105"/>
  <c r="Z15" i="105"/>
  <c r="X15" i="105"/>
  <c r="P15" i="105"/>
  <c r="N15" i="105"/>
  <c r="D15" i="105"/>
  <c r="L15" i="105" s="1"/>
  <c r="B15" i="105"/>
  <c r="P14" i="105"/>
  <c r="X14" i="105" s="1"/>
  <c r="Z14" i="105" s="1"/>
  <c r="N14" i="105"/>
  <c r="L14" i="105"/>
  <c r="D14" i="105"/>
  <c r="B14" i="105"/>
  <c r="Z13" i="105"/>
  <c r="P13" i="105"/>
  <c r="P12" i="105" s="1"/>
  <c r="R62" i="105" s="1"/>
  <c r="N13" i="105"/>
  <c r="L13" i="105"/>
  <c r="D13" i="105"/>
  <c r="B13" i="105"/>
  <c r="T12" i="105"/>
  <c r="V63" i="105" s="1"/>
  <c r="H12" i="105"/>
  <c r="J57" i="105" s="1"/>
  <c r="D6" i="105"/>
  <c r="D4" i="105"/>
  <c r="V31" i="104"/>
  <c r="R31" i="104"/>
  <c r="J31" i="104"/>
  <c r="F31" i="104"/>
  <c r="V28" i="104"/>
  <c r="R28" i="104"/>
  <c r="J28" i="104"/>
  <c r="F28" i="104"/>
  <c r="Z26" i="104"/>
  <c r="X26" i="104"/>
  <c r="V26" i="104"/>
  <c r="R26" i="104"/>
  <c r="N26" i="104"/>
  <c r="L26" i="104"/>
  <c r="J26" i="104"/>
  <c r="V24" i="104"/>
  <c r="J24" i="104"/>
  <c r="V22" i="104"/>
  <c r="T22" i="104"/>
  <c r="Z22" i="104" s="1"/>
  <c r="P22" i="104"/>
  <c r="X22" i="104" s="1"/>
  <c r="N22" i="104"/>
  <c r="L22" i="104"/>
  <c r="J22" i="104"/>
  <c r="H22" i="104"/>
  <c r="D22" i="104"/>
  <c r="Z20" i="104"/>
  <c r="X20" i="104"/>
  <c r="V20" i="104"/>
  <c r="R20" i="104"/>
  <c r="N20" i="104"/>
  <c r="L20" i="104"/>
  <c r="J20" i="104"/>
  <c r="F20" i="104"/>
  <c r="B20" i="104"/>
  <c r="T19" i="104"/>
  <c r="Z19" i="104" s="1"/>
  <c r="P19" i="104"/>
  <c r="X19" i="104" s="1"/>
  <c r="J19" i="104"/>
  <c r="H19" i="104"/>
  <c r="N19" i="104" s="1"/>
  <c r="F19" i="104"/>
  <c r="D19" i="104"/>
  <c r="B19" i="104"/>
  <c r="Z18" i="104"/>
  <c r="T18" i="104"/>
  <c r="R18" i="104"/>
  <c r="P18" i="104"/>
  <c r="X18" i="104" s="1"/>
  <c r="J18" i="104"/>
  <c r="H18" i="104"/>
  <c r="F18" i="104"/>
  <c r="D18" i="104"/>
  <c r="R16" i="104"/>
  <c r="J16" i="104"/>
  <c r="F16" i="104"/>
  <c r="Z14" i="104"/>
  <c r="T14" i="104"/>
  <c r="T16" i="104" s="1"/>
  <c r="R14" i="104"/>
  <c r="P14" i="104"/>
  <c r="X14" i="104" s="1"/>
  <c r="J14" i="104"/>
  <c r="H14" i="104"/>
  <c r="F14" i="104"/>
  <c r="D14" i="104"/>
  <c r="Z12" i="104"/>
  <c r="T12" i="104"/>
  <c r="V19" i="104" s="1"/>
  <c r="P12" i="104"/>
  <c r="X12" i="104" s="1"/>
  <c r="N12" i="104"/>
  <c r="L12" i="104"/>
  <c r="H12" i="104"/>
  <c r="D12" i="104"/>
  <c r="D16" i="104" s="1"/>
  <c r="D6" i="104"/>
  <c r="D4" i="104"/>
  <c r="Z90" i="103"/>
  <c r="X90" i="103"/>
  <c r="L90" i="103"/>
  <c r="N90" i="103" s="1"/>
  <c r="T86" i="103"/>
  <c r="P86" i="103"/>
  <c r="N86" i="103"/>
  <c r="H86" i="103"/>
  <c r="D86" i="103"/>
  <c r="L86" i="103" s="1"/>
  <c r="X84" i="103"/>
  <c r="Z84" i="103" s="1"/>
  <c r="N84" i="103"/>
  <c r="L84" i="103"/>
  <c r="B84" i="103"/>
  <c r="T83" i="103"/>
  <c r="P83" i="103"/>
  <c r="X83" i="103" s="1"/>
  <c r="Z83" i="103" s="1"/>
  <c r="N83" i="103"/>
  <c r="L83" i="103"/>
  <c r="H83" i="103"/>
  <c r="D83" i="103"/>
  <c r="B83" i="103"/>
  <c r="Z82" i="103"/>
  <c r="X82" i="103"/>
  <c r="N82" i="103"/>
  <c r="L82" i="103"/>
  <c r="B82" i="103"/>
  <c r="X81" i="103"/>
  <c r="Z81" i="103" s="1"/>
  <c r="N81" i="103"/>
  <c r="L81" i="103"/>
  <c r="B81" i="103"/>
  <c r="Z80" i="103"/>
  <c r="X80" i="103"/>
  <c r="L80" i="103"/>
  <c r="N80" i="103" s="1"/>
  <c r="J80" i="103"/>
  <c r="B80" i="103"/>
  <c r="X79" i="103"/>
  <c r="Z79" i="103" s="1"/>
  <c r="L79" i="103"/>
  <c r="N79" i="103" s="1"/>
  <c r="B79" i="103"/>
  <c r="Z78" i="103"/>
  <c r="X78" i="103"/>
  <c r="N78" i="103"/>
  <c r="L78" i="103"/>
  <c r="B78" i="103"/>
  <c r="X77" i="103"/>
  <c r="Z77" i="103" s="1"/>
  <c r="R77" i="103"/>
  <c r="N77" i="103"/>
  <c r="L77" i="103"/>
  <c r="B77" i="103"/>
  <c r="Z76" i="103"/>
  <c r="X76" i="103"/>
  <c r="L76" i="103"/>
  <c r="N76" i="103" s="1"/>
  <c r="B76" i="103"/>
  <c r="X75" i="103"/>
  <c r="Z75" i="103" s="1"/>
  <c r="V75" i="103"/>
  <c r="L75" i="103"/>
  <c r="N75" i="103" s="1"/>
  <c r="B75" i="103"/>
  <c r="T74" i="103"/>
  <c r="P74" i="103"/>
  <c r="X74" i="103" s="1"/>
  <c r="Z74" i="103" s="1"/>
  <c r="N74" i="103"/>
  <c r="H74" i="103"/>
  <c r="D74" i="103"/>
  <c r="L74" i="103" s="1"/>
  <c r="B74" i="103"/>
  <c r="Z73" i="103"/>
  <c r="X73" i="103"/>
  <c r="L73" i="103"/>
  <c r="N73" i="103" s="1"/>
  <c r="B73" i="103"/>
  <c r="X72" i="103"/>
  <c r="Z72" i="103" s="1"/>
  <c r="L72" i="103"/>
  <c r="N72" i="103" s="1"/>
  <c r="B72" i="103"/>
  <c r="X71" i="103"/>
  <c r="Z71" i="103" s="1"/>
  <c r="L71" i="103"/>
  <c r="N71" i="103" s="1"/>
  <c r="B71" i="103"/>
  <c r="X70" i="103"/>
  <c r="Z70" i="103" s="1"/>
  <c r="N70" i="103"/>
  <c r="L70" i="103"/>
  <c r="B70" i="103"/>
  <c r="T69" i="103"/>
  <c r="P69" i="103"/>
  <c r="X69" i="103" s="1"/>
  <c r="H69" i="103"/>
  <c r="D69" i="103"/>
  <c r="L69" i="103" s="1"/>
  <c r="B69" i="103"/>
  <c r="X68" i="103"/>
  <c r="Z68" i="103" s="1"/>
  <c r="N68" i="103"/>
  <c r="L68" i="103"/>
  <c r="B68" i="103"/>
  <c r="X67" i="103"/>
  <c r="Z67" i="103" s="1"/>
  <c r="N67" i="103"/>
  <c r="L67" i="103"/>
  <c r="B67" i="103"/>
  <c r="T66" i="103"/>
  <c r="P66" i="103"/>
  <c r="X66" i="103" s="1"/>
  <c r="Z66" i="103" s="1"/>
  <c r="H66" i="103"/>
  <c r="D66" i="103"/>
  <c r="B66" i="103"/>
  <c r="X65" i="103"/>
  <c r="Z65" i="103" s="1"/>
  <c r="N65" i="103"/>
  <c r="L65" i="103"/>
  <c r="B65" i="103"/>
  <c r="Z64" i="103"/>
  <c r="T64" i="103"/>
  <c r="P64" i="103"/>
  <c r="X64" i="103" s="1"/>
  <c r="H64" i="103"/>
  <c r="D64" i="103"/>
  <c r="L64" i="103" s="1"/>
  <c r="N64" i="103" s="1"/>
  <c r="B64" i="103"/>
  <c r="X63" i="103"/>
  <c r="Z63" i="103" s="1"/>
  <c r="L63" i="103"/>
  <c r="N63" i="103" s="1"/>
  <c r="B63" i="103"/>
  <c r="X62" i="103"/>
  <c r="Z62" i="103" s="1"/>
  <c r="T62" i="103"/>
  <c r="P62" i="103"/>
  <c r="H62" i="103"/>
  <c r="D62" i="103"/>
  <c r="L62" i="103" s="1"/>
  <c r="B62" i="103"/>
  <c r="Z61" i="103"/>
  <c r="X61" i="103"/>
  <c r="L61" i="103"/>
  <c r="N61" i="103" s="1"/>
  <c r="B61" i="103"/>
  <c r="T60" i="103"/>
  <c r="P60" i="103"/>
  <c r="H60" i="103"/>
  <c r="D60" i="103"/>
  <c r="L60" i="103" s="1"/>
  <c r="N60" i="103" s="1"/>
  <c r="B60" i="103"/>
  <c r="X59" i="103"/>
  <c r="Z59" i="103" s="1"/>
  <c r="L59" i="103"/>
  <c r="N59" i="103" s="1"/>
  <c r="B59" i="103"/>
  <c r="T58" i="103"/>
  <c r="P58" i="103"/>
  <c r="X58" i="103" s="1"/>
  <c r="Z58" i="103" s="1"/>
  <c r="H58" i="103"/>
  <c r="D58" i="103"/>
  <c r="L58" i="103" s="1"/>
  <c r="N58" i="103" s="1"/>
  <c r="B58" i="103"/>
  <c r="Z57" i="103"/>
  <c r="X57" i="103"/>
  <c r="L57" i="103"/>
  <c r="N57" i="103" s="1"/>
  <c r="B57" i="103"/>
  <c r="T56" i="103"/>
  <c r="P56" i="103"/>
  <c r="X56" i="103" s="1"/>
  <c r="L56" i="103"/>
  <c r="N56" i="103" s="1"/>
  <c r="H56" i="103"/>
  <c r="D56" i="103"/>
  <c r="B56" i="103"/>
  <c r="Z55" i="103"/>
  <c r="X55" i="103"/>
  <c r="N55" i="103"/>
  <c r="L55" i="103"/>
  <c r="B55" i="103"/>
  <c r="Z54" i="103"/>
  <c r="T54" i="103"/>
  <c r="P54" i="103"/>
  <c r="X54" i="103" s="1"/>
  <c r="H54" i="103"/>
  <c r="D54" i="103"/>
  <c r="B54" i="103"/>
  <c r="X53" i="103"/>
  <c r="Z53" i="103" s="1"/>
  <c r="N53" i="103"/>
  <c r="L53" i="103"/>
  <c r="B53" i="103"/>
  <c r="Z52" i="103"/>
  <c r="T52" i="103"/>
  <c r="P52" i="103"/>
  <c r="X52" i="103" s="1"/>
  <c r="H52" i="103"/>
  <c r="D52" i="103"/>
  <c r="L52" i="103" s="1"/>
  <c r="N52" i="103" s="1"/>
  <c r="B52" i="103"/>
  <c r="X51" i="103"/>
  <c r="Z51" i="103" s="1"/>
  <c r="L51" i="103"/>
  <c r="N51" i="103" s="1"/>
  <c r="B51" i="103"/>
  <c r="X50" i="103"/>
  <c r="Z50" i="103" s="1"/>
  <c r="T50" i="103"/>
  <c r="P50" i="103"/>
  <c r="H50" i="103"/>
  <c r="N50" i="103" s="1"/>
  <c r="D50" i="103"/>
  <c r="L50" i="103" s="1"/>
  <c r="B50" i="103"/>
  <c r="X49" i="103"/>
  <c r="Z49" i="103" s="1"/>
  <c r="L49" i="103"/>
  <c r="N49" i="103" s="1"/>
  <c r="B49" i="103"/>
  <c r="T48" i="103"/>
  <c r="P48" i="103"/>
  <c r="H48" i="103"/>
  <c r="D48" i="103"/>
  <c r="L48" i="103" s="1"/>
  <c r="N48" i="103" s="1"/>
  <c r="B48" i="103"/>
  <c r="Z47" i="103"/>
  <c r="X47" i="103"/>
  <c r="N47" i="103"/>
  <c r="L47" i="103"/>
  <c r="B47" i="103"/>
  <c r="Z46" i="103"/>
  <c r="X46" i="103"/>
  <c r="N46" i="103"/>
  <c r="L46" i="103"/>
  <c r="J46" i="103"/>
  <c r="B46" i="103"/>
  <c r="X45" i="103"/>
  <c r="Z45" i="103" s="1"/>
  <c r="N45" i="103"/>
  <c r="L45" i="103"/>
  <c r="B45" i="103"/>
  <c r="Z44" i="103"/>
  <c r="X44" i="103"/>
  <c r="V44" i="103"/>
  <c r="N44" i="103"/>
  <c r="L44" i="103"/>
  <c r="B44" i="103"/>
  <c r="Z43" i="103"/>
  <c r="X43" i="103"/>
  <c r="N43" i="103"/>
  <c r="L43" i="103"/>
  <c r="B43" i="103"/>
  <c r="Z42" i="103"/>
  <c r="X42" i="103"/>
  <c r="N42" i="103"/>
  <c r="L42" i="103"/>
  <c r="B42" i="103"/>
  <c r="X41" i="103"/>
  <c r="Z41" i="103" s="1"/>
  <c r="N41" i="103"/>
  <c r="L41" i="103"/>
  <c r="B41" i="103"/>
  <c r="Z40" i="103"/>
  <c r="X40" i="103"/>
  <c r="N40" i="103"/>
  <c r="L40" i="103"/>
  <c r="B40" i="103"/>
  <c r="Z39" i="103"/>
  <c r="X39" i="103"/>
  <c r="L39" i="103"/>
  <c r="N39" i="103" s="1"/>
  <c r="B39" i="103"/>
  <c r="Z38" i="103"/>
  <c r="X38" i="103"/>
  <c r="N38" i="103"/>
  <c r="L38" i="103"/>
  <c r="B38" i="103"/>
  <c r="V37" i="103"/>
  <c r="T37" i="103"/>
  <c r="P37" i="103"/>
  <c r="H37" i="103"/>
  <c r="N37" i="103" s="1"/>
  <c r="D37" i="103"/>
  <c r="L37" i="103" s="1"/>
  <c r="B37" i="103"/>
  <c r="X36" i="103"/>
  <c r="Z36" i="103" s="1"/>
  <c r="V36" i="103"/>
  <c r="L36" i="103"/>
  <c r="N36" i="103" s="1"/>
  <c r="B36" i="103"/>
  <c r="X35" i="103"/>
  <c r="Z35" i="103" s="1"/>
  <c r="L35" i="103"/>
  <c r="N35" i="103" s="1"/>
  <c r="B35" i="103"/>
  <c r="X34" i="103"/>
  <c r="Z34" i="103" s="1"/>
  <c r="V34" i="103"/>
  <c r="N34" i="103"/>
  <c r="L34" i="103"/>
  <c r="B34" i="103"/>
  <c r="Z33" i="103"/>
  <c r="X33" i="103"/>
  <c r="N33" i="103"/>
  <c r="L33" i="103"/>
  <c r="B33" i="103"/>
  <c r="Z32" i="103"/>
  <c r="X32" i="103"/>
  <c r="N32" i="103"/>
  <c r="L32" i="103"/>
  <c r="B32" i="103"/>
  <c r="X31" i="103"/>
  <c r="Z31" i="103" s="1"/>
  <c r="N31" i="103"/>
  <c r="L31" i="103"/>
  <c r="B31" i="103"/>
  <c r="X30" i="103"/>
  <c r="Z30" i="103" s="1"/>
  <c r="N30" i="103"/>
  <c r="L30" i="103"/>
  <c r="B30" i="103"/>
  <c r="Z29" i="103"/>
  <c r="X29" i="103"/>
  <c r="V29" i="103"/>
  <c r="L29" i="103"/>
  <c r="N29" i="103" s="1"/>
  <c r="B29" i="103"/>
  <c r="X28" i="103"/>
  <c r="Z28" i="103" s="1"/>
  <c r="L28" i="103"/>
  <c r="N28" i="103" s="1"/>
  <c r="B28" i="103"/>
  <c r="X27" i="103"/>
  <c r="Z27" i="103" s="1"/>
  <c r="L27" i="103"/>
  <c r="N27" i="103" s="1"/>
  <c r="B27" i="103"/>
  <c r="X26" i="103"/>
  <c r="Z26" i="103" s="1"/>
  <c r="T26" i="103"/>
  <c r="P26" i="103"/>
  <c r="L26" i="103"/>
  <c r="H26" i="103"/>
  <c r="D26" i="103"/>
  <c r="B26" i="103"/>
  <c r="T25" i="103"/>
  <c r="P25" i="103"/>
  <c r="H25" i="103"/>
  <c r="D25" i="103"/>
  <c r="L25" i="103" s="1"/>
  <c r="N25" i="103" s="1"/>
  <c r="Z21" i="103"/>
  <c r="X21" i="103"/>
  <c r="N21" i="103"/>
  <c r="L21" i="103"/>
  <c r="B21" i="103"/>
  <c r="Z20" i="103"/>
  <c r="X20" i="103"/>
  <c r="V20" i="103"/>
  <c r="R20" i="103"/>
  <c r="N20" i="103"/>
  <c r="L20" i="103"/>
  <c r="B20" i="103"/>
  <c r="X19" i="103"/>
  <c r="Z19" i="103" s="1"/>
  <c r="V19" i="103"/>
  <c r="L19" i="103"/>
  <c r="N19" i="103" s="1"/>
  <c r="B19" i="103"/>
  <c r="V18" i="103"/>
  <c r="T18" i="103"/>
  <c r="P18" i="103"/>
  <c r="X18" i="103" s="1"/>
  <c r="Z18" i="103" s="1"/>
  <c r="H18" i="103"/>
  <c r="F18" i="103"/>
  <c r="D18" i="103"/>
  <c r="Z16" i="103"/>
  <c r="P16" i="103"/>
  <c r="X16" i="103" s="1"/>
  <c r="N16" i="103"/>
  <c r="D16" i="103"/>
  <c r="L16" i="103" s="1"/>
  <c r="B16" i="103"/>
  <c r="Z15" i="103"/>
  <c r="P15" i="103"/>
  <c r="X15" i="103" s="1"/>
  <c r="N15" i="103"/>
  <c r="L15" i="103"/>
  <c r="D15" i="103"/>
  <c r="B15" i="103"/>
  <c r="P14" i="103"/>
  <c r="X14" i="103" s="1"/>
  <c r="Z14" i="103" s="1"/>
  <c r="N14" i="103"/>
  <c r="L14" i="103"/>
  <c r="D14" i="103"/>
  <c r="B14" i="103"/>
  <c r="Z13" i="103"/>
  <c r="X13" i="103"/>
  <c r="P13" i="103"/>
  <c r="P12" i="103" s="1"/>
  <c r="R75" i="103" s="1"/>
  <c r="N13" i="103"/>
  <c r="D13" i="103"/>
  <c r="D12" i="103" s="1"/>
  <c r="B13" i="103"/>
  <c r="T12" i="103"/>
  <c r="V84" i="103" s="1"/>
  <c r="H12" i="103"/>
  <c r="J41" i="103" s="1"/>
  <c r="D6" i="103"/>
  <c r="D4" i="103"/>
  <c r="J63" i="102"/>
  <c r="J60" i="102"/>
  <c r="Z58" i="102"/>
  <c r="X58" i="102"/>
  <c r="N58" i="102"/>
  <c r="L58" i="102"/>
  <c r="F58" i="102"/>
  <c r="F56" i="102"/>
  <c r="Z54" i="102"/>
  <c r="X54" i="102"/>
  <c r="T54" i="102"/>
  <c r="P54" i="102"/>
  <c r="H54" i="102"/>
  <c r="N54" i="102" s="1"/>
  <c r="F54" i="102"/>
  <c r="D54" i="102"/>
  <c r="L54" i="102" s="1"/>
  <c r="Z52" i="102"/>
  <c r="X52" i="102"/>
  <c r="N52" i="102"/>
  <c r="L52" i="102"/>
  <c r="F52" i="102"/>
  <c r="B52" i="102"/>
  <c r="T51" i="102"/>
  <c r="P51" i="102"/>
  <c r="L51" i="102"/>
  <c r="N51" i="102" s="1"/>
  <c r="H51" i="102"/>
  <c r="F51" i="102"/>
  <c r="D51" i="102"/>
  <c r="B51" i="102"/>
  <c r="X50" i="102"/>
  <c r="Z50" i="102" s="1"/>
  <c r="L50" i="102"/>
  <c r="N50" i="102" s="1"/>
  <c r="B50" i="102"/>
  <c r="T49" i="102"/>
  <c r="R49" i="102"/>
  <c r="P49" i="102"/>
  <c r="X49" i="102" s="1"/>
  <c r="H49" i="102"/>
  <c r="D49" i="102"/>
  <c r="L49" i="102" s="1"/>
  <c r="B49" i="102"/>
  <c r="Z48" i="102"/>
  <c r="X48" i="102"/>
  <c r="R48" i="102"/>
  <c r="N48" i="102"/>
  <c r="L48" i="102"/>
  <c r="F48" i="102"/>
  <c r="B48" i="102"/>
  <c r="X47" i="102"/>
  <c r="Z47" i="102" s="1"/>
  <c r="L47" i="102"/>
  <c r="N47" i="102" s="1"/>
  <c r="J47" i="102"/>
  <c r="F47" i="102"/>
  <c r="B47" i="102"/>
  <c r="T46" i="102"/>
  <c r="P46" i="102"/>
  <c r="X46" i="102" s="1"/>
  <c r="Z46" i="102" s="1"/>
  <c r="H46" i="102"/>
  <c r="F46" i="102"/>
  <c r="D46" i="102"/>
  <c r="L46" i="102" s="1"/>
  <c r="B46" i="102"/>
  <c r="X45" i="102"/>
  <c r="Z45" i="102" s="1"/>
  <c r="N45" i="102"/>
  <c r="L45" i="102"/>
  <c r="F45" i="102"/>
  <c r="B45" i="102"/>
  <c r="Z44" i="102"/>
  <c r="X44" i="102"/>
  <c r="N44" i="102"/>
  <c r="L44" i="102"/>
  <c r="F44" i="102"/>
  <c r="B44" i="102"/>
  <c r="X43" i="102"/>
  <c r="Z43" i="102" s="1"/>
  <c r="R43" i="102"/>
  <c r="N43" i="102"/>
  <c r="L43" i="102"/>
  <c r="F43" i="102"/>
  <c r="B43" i="102"/>
  <c r="T42" i="102"/>
  <c r="Z42" i="102" s="1"/>
  <c r="P42" i="102"/>
  <c r="X42" i="102" s="1"/>
  <c r="N42" i="102"/>
  <c r="L42" i="102"/>
  <c r="H42" i="102"/>
  <c r="F42" i="102"/>
  <c r="D42" i="102"/>
  <c r="B42" i="102"/>
  <c r="Z41" i="102"/>
  <c r="X41" i="102"/>
  <c r="N41" i="102"/>
  <c r="L41" i="102"/>
  <c r="B41" i="102"/>
  <c r="T40" i="102"/>
  <c r="Z40" i="102" s="1"/>
  <c r="P40" i="102"/>
  <c r="X40" i="102" s="1"/>
  <c r="N40" i="102"/>
  <c r="L40" i="102"/>
  <c r="J40" i="102"/>
  <c r="H40" i="102"/>
  <c r="D40" i="102"/>
  <c r="B40" i="102"/>
  <c r="Z39" i="102"/>
  <c r="X39" i="102"/>
  <c r="N39" i="102"/>
  <c r="L39" i="102"/>
  <c r="J39" i="102"/>
  <c r="F39" i="102"/>
  <c r="B39" i="102"/>
  <c r="Z38" i="102"/>
  <c r="X38" i="102"/>
  <c r="N38" i="102"/>
  <c r="L38" i="102"/>
  <c r="F38" i="102"/>
  <c r="B38" i="102"/>
  <c r="Z37" i="102"/>
  <c r="X37" i="102"/>
  <c r="N37" i="102"/>
  <c r="L37" i="102"/>
  <c r="B37" i="102"/>
  <c r="Z36" i="102"/>
  <c r="X36" i="102"/>
  <c r="R36" i="102"/>
  <c r="N36" i="102"/>
  <c r="L36" i="102"/>
  <c r="F36" i="102"/>
  <c r="B36" i="102"/>
  <c r="Z35" i="102"/>
  <c r="X35" i="102"/>
  <c r="N35" i="102"/>
  <c r="L35" i="102"/>
  <c r="J35" i="102"/>
  <c r="F35" i="102"/>
  <c r="B35" i="102"/>
  <c r="Z34" i="102"/>
  <c r="X34" i="102"/>
  <c r="N34" i="102"/>
  <c r="L34" i="102"/>
  <c r="F34" i="102"/>
  <c r="B34" i="102"/>
  <c r="Z33" i="102"/>
  <c r="X33" i="102"/>
  <c r="N33" i="102"/>
  <c r="L33" i="102"/>
  <c r="B33" i="102"/>
  <c r="Z32" i="102"/>
  <c r="X32" i="102"/>
  <c r="R32" i="102"/>
  <c r="N32" i="102"/>
  <c r="L32" i="102"/>
  <c r="F32" i="102"/>
  <c r="B32" i="102"/>
  <c r="X31" i="102"/>
  <c r="Z31" i="102" s="1"/>
  <c r="L31" i="102"/>
  <c r="N31" i="102" s="1"/>
  <c r="J31" i="102"/>
  <c r="F31" i="102"/>
  <c r="B31" i="102"/>
  <c r="Z30" i="102"/>
  <c r="X30" i="102"/>
  <c r="N30" i="102"/>
  <c r="L30" i="102"/>
  <c r="F30" i="102"/>
  <c r="B30" i="102"/>
  <c r="X29" i="102"/>
  <c r="Z29" i="102" s="1"/>
  <c r="T29" i="102"/>
  <c r="P29" i="102"/>
  <c r="J29" i="102"/>
  <c r="H29" i="102"/>
  <c r="N29" i="102" s="1"/>
  <c r="F29" i="102"/>
  <c r="D29" i="102"/>
  <c r="L29" i="102" s="1"/>
  <c r="B29" i="102"/>
  <c r="Z28" i="102"/>
  <c r="X28" i="102"/>
  <c r="N28" i="102"/>
  <c r="L28" i="102"/>
  <c r="F28" i="102"/>
  <c r="B28" i="102"/>
  <c r="X27" i="102"/>
  <c r="Z27" i="102" s="1"/>
  <c r="R27" i="102"/>
  <c r="N27" i="102"/>
  <c r="L27" i="102"/>
  <c r="F27" i="102"/>
  <c r="B27" i="102"/>
  <c r="X26" i="102"/>
  <c r="Z26" i="102" s="1"/>
  <c r="L26" i="102"/>
  <c r="N26" i="102" s="1"/>
  <c r="J26" i="102"/>
  <c r="F26" i="102"/>
  <c r="B26" i="102"/>
  <c r="Z25" i="102"/>
  <c r="X25" i="102"/>
  <c r="N25" i="102"/>
  <c r="L25" i="102"/>
  <c r="F25" i="102"/>
  <c r="B25" i="102"/>
  <c r="Z24" i="102"/>
  <c r="X24" i="102"/>
  <c r="N24" i="102"/>
  <c r="L24" i="102"/>
  <c r="F24" i="102"/>
  <c r="B24" i="102"/>
  <c r="X23" i="102"/>
  <c r="Z23" i="102" s="1"/>
  <c r="R23" i="102"/>
  <c r="N23" i="102"/>
  <c r="L23" i="102"/>
  <c r="F23" i="102"/>
  <c r="B23" i="102"/>
  <c r="X22" i="102"/>
  <c r="Z22" i="102" s="1"/>
  <c r="L22" i="102"/>
  <c r="N22" i="102" s="1"/>
  <c r="J22" i="102"/>
  <c r="F22" i="102"/>
  <c r="B22" i="102"/>
  <c r="X21" i="102"/>
  <c r="Z21" i="102" s="1"/>
  <c r="N21" i="102"/>
  <c r="L21" i="102"/>
  <c r="F21" i="102"/>
  <c r="B21" i="102"/>
  <c r="Z20" i="102"/>
  <c r="X20" i="102"/>
  <c r="N20" i="102"/>
  <c r="L20" i="102"/>
  <c r="F20" i="102"/>
  <c r="B20" i="102"/>
  <c r="V19" i="102"/>
  <c r="T19" i="102"/>
  <c r="P19" i="102"/>
  <c r="L19" i="102"/>
  <c r="N19" i="102" s="1"/>
  <c r="H19" i="102"/>
  <c r="F19" i="102"/>
  <c r="D19" i="102"/>
  <c r="B19" i="102"/>
  <c r="X18" i="102"/>
  <c r="T18" i="102"/>
  <c r="P18" i="102"/>
  <c r="H18" i="102"/>
  <c r="N18" i="102" s="1"/>
  <c r="F18" i="102"/>
  <c r="D18" i="102"/>
  <c r="L18" i="102" s="1"/>
  <c r="V16" i="102"/>
  <c r="F16" i="102"/>
  <c r="X14" i="102"/>
  <c r="V14" i="102"/>
  <c r="T14" i="102"/>
  <c r="Z14" i="102" s="1"/>
  <c r="P14" i="102"/>
  <c r="H14" i="102"/>
  <c r="N14" i="102" s="1"/>
  <c r="F14" i="102"/>
  <c r="D14" i="102"/>
  <c r="L14" i="102" s="1"/>
  <c r="T12" i="102"/>
  <c r="V50" i="102" s="1"/>
  <c r="P12" i="102"/>
  <c r="R51" i="102" s="1"/>
  <c r="L12" i="102"/>
  <c r="H12" i="102"/>
  <c r="J41" i="102" s="1"/>
  <c r="D12" i="102"/>
  <c r="F63" i="102" s="1"/>
  <c r="D6" i="102"/>
  <c r="D4" i="102"/>
  <c r="R43" i="101"/>
  <c r="R40" i="101"/>
  <c r="Z38" i="101"/>
  <c r="X38" i="101"/>
  <c r="R38" i="101"/>
  <c r="N38" i="101"/>
  <c r="L38" i="101"/>
  <c r="J36" i="101"/>
  <c r="T34" i="101"/>
  <c r="Z34" i="101" s="1"/>
  <c r="P34" i="101"/>
  <c r="X34" i="101" s="1"/>
  <c r="L34" i="101"/>
  <c r="H34" i="101"/>
  <c r="N34" i="101" s="1"/>
  <c r="D34" i="101"/>
  <c r="Z32" i="101"/>
  <c r="X32" i="101"/>
  <c r="R32" i="101"/>
  <c r="N32" i="101"/>
  <c r="L32" i="101"/>
  <c r="F32" i="101"/>
  <c r="B32" i="101"/>
  <c r="Z31" i="101"/>
  <c r="T31" i="101"/>
  <c r="P31" i="101"/>
  <c r="X31" i="101" s="1"/>
  <c r="N31" i="101"/>
  <c r="H31" i="101"/>
  <c r="D31" i="101"/>
  <c r="L31" i="101" s="1"/>
  <c r="B31" i="101"/>
  <c r="Z30" i="101"/>
  <c r="X30" i="101"/>
  <c r="N30" i="101"/>
  <c r="L30" i="101"/>
  <c r="B30" i="101"/>
  <c r="Z29" i="101"/>
  <c r="X29" i="101"/>
  <c r="V29" i="101"/>
  <c r="T29" i="101"/>
  <c r="P29" i="101"/>
  <c r="H29" i="101"/>
  <c r="N29" i="101" s="1"/>
  <c r="D29" i="101"/>
  <c r="L29" i="101" s="1"/>
  <c r="B29" i="101"/>
  <c r="Z28" i="101"/>
  <c r="X28" i="101"/>
  <c r="R28" i="101"/>
  <c r="N28" i="101"/>
  <c r="L28" i="101"/>
  <c r="B28" i="101"/>
  <c r="V27" i="101"/>
  <c r="T27" i="101"/>
  <c r="R27" i="101"/>
  <c r="P27" i="101"/>
  <c r="N27" i="101"/>
  <c r="L27" i="101"/>
  <c r="H27" i="101"/>
  <c r="F27" i="101"/>
  <c r="D27" i="101"/>
  <c r="B27" i="101"/>
  <c r="Z26" i="101"/>
  <c r="X26" i="101"/>
  <c r="V26" i="101"/>
  <c r="R26" i="101"/>
  <c r="N26" i="101"/>
  <c r="L26" i="101"/>
  <c r="B26" i="101"/>
  <c r="Z25" i="101"/>
  <c r="T25" i="101"/>
  <c r="R25" i="101"/>
  <c r="P25" i="101"/>
  <c r="X25" i="101" s="1"/>
  <c r="N25" i="101"/>
  <c r="H25" i="101"/>
  <c r="D25" i="101"/>
  <c r="L25" i="101" s="1"/>
  <c r="B25" i="101"/>
  <c r="Z24" i="101"/>
  <c r="X24" i="101"/>
  <c r="V24" i="101"/>
  <c r="R24" i="101"/>
  <c r="N24" i="101"/>
  <c r="L24" i="101"/>
  <c r="B24" i="101"/>
  <c r="Z23" i="101"/>
  <c r="X23" i="101"/>
  <c r="V23" i="101"/>
  <c r="N23" i="101"/>
  <c r="L23" i="101"/>
  <c r="F23" i="101"/>
  <c r="B23" i="101"/>
  <c r="Z22" i="101"/>
  <c r="X22" i="101"/>
  <c r="N22" i="101"/>
  <c r="L22" i="101"/>
  <c r="B22" i="101"/>
  <c r="Z21" i="101"/>
  <c r="X21" i="101"/>
  <c r="V21" i="101"/>
  <c r="N21" i="101"/>
  <c r="L21" i="101"/>
  <c r="B21" i="101"/>
  <c r="Z20" i="101"/>
  <c r="X20" i="101"/>
  <c r="V20" i="101"/>
  <c r="R20" i="101"/>
  <c r="N20" i="101"/>
  <c r="L20" i="101"/>
  <c r="B20" i="101"/>
  <c r="V19" i="101"/>
  <c r="T19" i="101"/>
  <c r="Z19" i="101" s="1"/>
  <c r="P19" i="101"/>
  <c r="X19" i="101" s="1"/>
  <c r="N19" i="101"/>
  <c r="L19" i="101"/>
  <c r="H19" i="101"/>
  <c r="D19" i="101"/>
  <c r="B19" i="101"/>
  <c r="X18" i="101"/>
  <c r="T18" i="101"/>
  <c r="R18" i="101"/>
  <c r="P18" i="101"/>
  <c r="H18" i="101"/>
  <c r="D18" i="101"/>
  <c r="L18" i="101" s="1"/>
  <c r="N18" i="101" s="1"/>
  <c r="R16" i="101"/>
  <c r="T14" i="101"/>
  <c r="Z14" i="101" s="1"/>
  <c r="R14" i="101"/>
  <c r="P14" i="101"/>
  <c r="X14" i="101" s="1"/>
  <c r="N14" i="101"/>
  <c r="L14" i="101"/>
  <c r="H14" i="101"/>
  <c r="D14" i="101"/>
  <c r="X12" i="101"/>
  <c r="T12" i="101"/>
  <c r="V28" i="101" s="1"/>
  <c r="P12" i="101"/>
  <c r="R21" i="101" s="1"/>
  <c r="N12" i="101"/>
  <c r="H12" i="101"/>
  <c r="J29" i="101" s="1"/>
  <c r="D12" i="101"/>
  <c r="F31" i="101" s="1"/>
  <c r="D6" i="101"/>
  <c r="D4" i="101"/>
  <c r="Z32" i="100"/>
  <c r="X32" i="100"/>
  <c r="N32" i="100"/>
  <c r="L32" i="100"/>
  <c r="J32" i="100"/>
  <c r="F32" i="100"/>
  <c r="Z28" i="100"/>
  <c r="T28" i="100"/>
  <c r="X28" i="100" s="1"/>
  <c r="P28" i="100"/>
  <c r="L28" i="100"/>
  <c r="H28" i="100"/>
  <c r="N28" i="100" s="1"/>
  <c r="D28" i="100"/>
  <c r="Z26" i="100"/>
  <c r="X26" i="100"/>
  <c r="N26" i="100"/>
  <c r="L26" i="100"/>
  <c r="F26" i="100"/>
  <c r="B26" i="100"/>
  <c r="V25" i="100"/>
  <c r="T25" i="100"/>
  <c r="P25" i="100"/>
  <c r="N25" i="100"/>
  <c r="L25" i="100"/>
  <c r="H25" i="100"/>
  <c r="F25" i="100"/>
  <c r="D25" i="100"/>
  <c r="B25" i="100"/>
  <c r="Z24" i="100"/>
  <c r="X24" i="100"/>
  <c r="V24" i="100"/>
  <c r="R24" i="100"/>
  <c r="N24" i="100"/>
  <c r="L24" i="100"/>
  <c r="B24" i="100"/>
  <c r="Z23" i="100"/>
  <c r="V23" i="100"/>
  <c r="T23" i="100"/>
  <c r="R23" i="100"/>
  <c r="P23" i="100"/>
  <c r="N23" i="100"/>
  <c r="H23" i="100"/>
  <c r="D23" i="100"/>
  <c r="L23" i="100" s="1"/>
  <c r="B23" i="100"/>
  <c r="Z22" i="100"/>
  <c r="X22" i="100"/>
  <c r="V22" i="100"/>
  <c r="N22" i="100"/>
  <c r="L22" i="100"/>
  <c r="F22" i="100"/>
  <c r="B22" i="100"/>
  <c r="V21" i="100"/>
  <c r="T21" i="100"/>
  <c r="Z21" i="100" s="1"/>
  <c r="P21" i="100"/>
  <c r="X21" i="100" s="1"/>
  <c r="N21" i="100"/>
  <c r="L21" i="100"/>
  <c r="H21" i="100"/>
  <c r="D21" i="100"/>
  <c r="B21" i="100"/>
  <c r="X20" i="100"/>
  <c r="Z20" i="100" s="1"/>
  <c r="V20" i="100"/>
  <c r="L20" i="100"/>
  <c r="N20" i="100" s="1"/>
  <c r="J20" i="100"/>
  <c r="F20" i="100"/>
  <c r="B20" i="100"/>
  <c r="X19" i="100"/>
  <c r="Z19" i="100" s="1"/>
  <c r="T19" i="100"/>
  <c r="P19" i="100"/>
  <c r="H19" i="100"/>
  <c r="F19" i="100"/>
  <c r="D19" i="100"/>
  <c r="B19" i="100"/>
  <c r="T18" i="100"/>
  <c r="P18" i="100"/>
  <c r="H18" i="100"/>
  <c r="D18" i="100"/>
  <c r="T16" i="100"/>
  <c r="T14" i="100"/>
  <c r="Z14" i="100" s="1"/>
  <c r="P14" i="100"/>
  <c r="X14" i="100" s="1"/>
  <c r="H14" i="100"/>
  <c r="N14" i="100" s="1"/>
  <c r="D14" i="100"/>
  <c r="Z12" i="100"/>
  <c r="T12" i="100"/>
  <c r="V30" i="100" s="1"/>
  <c r="P12" i="100"/>
  <c r="R26" i="100" s="1"/>
  <c r="H12" i="100"/>
  <c r="J18" i="100" s="1"/>
  <c r="D12" i="100"/>
  <c r="D6" i="100"/>
  <c r="D4" i="100"/>
  <c r="J62" i="99"/>
  <c r="Z57" i="99"/>
  <c r="X57" i="99"/>
  <c r="N57" i="99"/>
  <c r="L57" i="99"/>
  <c r="X53" i="99"/>
  <c r="Z53" i="99" s="1"/>
  <c r="P53" i="99"/>
  <c r="D53" i="99"/>
  <c r="D51" i="99" s="1"/>
  <c r="L51" i="99" s="1"/>
  <c r="B53" i="99"/>
  <c r="Z52" i="99"/>
  <c r="P52" i="99"/>
  <c r="X52" i="99" s="1"/>
  <c r="L52" i="99"/>
  <c r="N52" i="99" s="1"/>
  <c r="D52" i="99"/>
  <c r="B52" i="99"/>
  <c r="T51" i="99"/>
  <c r="H51" i="99"/>
  <c r="Z49" i="99"/>
  <c r="X49" i="99"/>
  <c r="R49" i="99"/>
  <c r="N49" i="99"/>
  <c r="L49" i="99"/>
  <c r="B49" i="99"/>
  <c r="T48" i="99"/>
  <c r="Z48" i="99" s="1"/>
  <c r="P48" i="99"/>
  <c r="N48" i="99"/>
  <c r="H48" i="99"/>
  <c r="F48" i="99"/>
  <c r="D48" i="99"/>
  <c r="L48" i="99" s="1"/>
  <c r="B48" i="99"/>
  <c r="X47" i="99"/>
  <c r="Z47" i="99" s="1"/>
  <c r="R47" i="99"/>
  <c r="L47" i="99"/>
  <c r="N47" i="99" s="1"/>
  <c r="F47" i="99"/>
  <c r="B47" i="99"/>
  <c r="X46" i="99"/>
  <c r="Z46" i="99" s="1"/>
  <c r="T46" i="99"/>
  <c r="P46" i="99"/>
  <c r="L46" i="99"/>
  <c r="N46" i="99" s="1"/>
  <c r="H46" i="99"/>
  <c r="F46" i="99"/>
  <c r="D46" i="99"/>
  <c r="B46" i="99"/>
  <c r="Z45" i="99"/>
  <c r="X45" i="99"/>
  <c r="R45" i="99"/>
  <c r="L45" i="99"/>
  <c r="N45" i="99" s="1"/>
  <c r="F45" i="99"/>
  <c r="B45" i="99"/>
  <c r="T44" i="99"/>
  <c r="Z44" i="99" s="1"/>
  <c r="P44" i="99"/>
  <c r="X44" i="99" s="1"/>
  <c r="L44" i="99"/>
  <c r="N44" i="99" s="1"/>
  <c r="J44" i="99"/>
  <c r="H44" i="99"/>
  <c r="F44" i="99"/>
  <c r="D44" i="99"/>
  <c r="B44" i="99"/>
  <c r="Z43" i="99"/>
  <c r="X43" i="99"/>
  <c r="N43" i="99"/>
  <c r="L43" i="99"/>
  <c r="F43" i="99"/>
  <c r="B43" i="99"/>
  <c r="Z42" i="99"/>
  <c r="X42" i="99"/>
  <c r="N42" i="99"/>
  <c r="L42" i="99"/>
  <c r="B42" i="99"/>
  <c r="Z41" i="99"/>
  <c r="T41" i="99"/>
  <c r="R41" i="99"/>
  <c r="P41" i="99"/>
  <c r="X41" i="99" s="1"/>
  <c r="N41" i="99"/>
  <c r="L41" i="99"/>
  <c r="H41" i="99"/>
  <c r="D41" i="99"/>
  <c r="B41" i="99"/>
  <c r="Z40" i="99"/>
  <c r="X40" i="99"/>
  <c r="R40" i="99"/>
  <c r="N40" i="99"/>
  <c r="L40" i="99"/>
  <c r="F40" i="99"/>
  <c r="B40" i="99"/>
  <c r="X39" i="99"/>
  <c r="T39" i="99"/>
  <c r="R39" i="99"/>
  <c r="P39" i="99"/>
  <c r="H39" i="99"/>
  <c r="F39" i="99"/>
  <c r="D39" i="99"/>
  <c r="B39" i="99"/>
  <c r="Z38" i="99"/>
  <c r="X38" i="99"/>
  <c r="N38" i="99"/>
  <c r="L38" i="99"/>
  <c r="B38" i="99"/>
  <c r="Z37" i="99"/>
  <c r="X37" i="99"/>
  <c r="N37" i="99"/>
  <c r="L37" i="99"/>
  <c r="F37" i="99"/>
  <c r="B37" i="99"/>
  <c r="Z36" i="99"/>
  <c r="X36" i="99"/>
  <c r="R36" i="99"/>
  <c r="N36" i="99"/>
  <c r="L36" i="99"/>
  <c r="F36" i="99"/>
  <c r="B36" i="99"/>
  <c r="Z35" i="99"/>
  <c r="X35" i="99"/>
  <c r="R35" i="99"/>
  <c r="N35" i="99"/>
  <c r="L35" i="99"/>
  <c r="J35" i="99"/>
  <c r="F35" i="99"/>
  <c r="B35" i="99"/>
  <c r="Z34" i="99"/>
  <c r="X34" i="99"/>
  <c r="N34" i="99"/>
  <c r="L34" i="99"/>
  <c r="F34" i="99"/>
  <c r="B34" i="99"/>
  <c r="Z33" i="99"/>
  <c r="X33" i="99"/>
  <c r="R33" i="99"/>
  <c r="N33" i="99"/>
  <c r="L33" i="99"/>
  <c r="F33" i="99"/>
  <c r="B33" i="99"/>
  <c r="Z32" i="99"/>
  <c r="X32" i="99"/>
  <c r="R32" i="99"/>
  <c r="N32" i="99"/>
  <c r="L32" i="99"/>
  <c r="F32" i="99"/>
  <c r="B32" i="99"/>
  <c r="Z31" i="99"/>
  <c r="X31" i="99"/>
  <c r="R31" i="99"/>
  <c r="N31" i="99"/>
  <c r="L31" i="99"/>
  <c r="J31" i="99"/>
  <c r="F31" i="99"/>
  <c r="B31" i="99"/>
  <c r="Z30" i="99"/>
  <c r="X30" i="99"/>
  <c r="N30" i="99"/>
  <c r="L30" i="99"/>
  <c r="F30" i="99"/>
  <c r="B30" i="99"/>
  <c r="Z29" i="99"/>
  <c r="X29" i="99"/>
  <c r="R29" i="99"/>
  <c r="L29" i="99"/>
  <c r="N29" i="99" s="1"/>
  <c r="F29" i="99"/>
  <c r="B29" i="99"/>
  <c r="T28" i="99"/>
  <c r="R28" i="99"/>
  <c r="P28" i="99"/>
  <c r="H28" i="99"/>
  <c r="F28" i="99"/>
  <c r="D28" i="99"/>
  <c r="L28" i="99" s="1"/>
  <c r="N28" i="99" s="1"/>
  <c r="B28" i="99"/>
  <c r="Z27" i="99"/>
  <c r="X27" i="99"/>
  <c r="R27" i="99"/>
  <c r="N27" i="99"/>
  <c r="L27" i="99"/>
  <c r="F27" i="99"/>
  <c r="B27" i="99"/>
  <c r="X26" i="99"/>
  <c r="Z26" i="99" s="1"/>
  <c r="R26" i="99"/>
  <c r="L26" i="99"/>
  <c r="N26" i="99" s="1"/>
  <c r="J26" i="99"/>
  <c r="B26" i="99"/>
  <c r="Z25" i="99"/>
  <c r="X25" i="99"/>
  <c r="R25" i="99"/>
  <c r="N25" i="99"/>
  <c r="L25" i="99"/>
  <c r="F25" i="99"/>
  <c r="B25" i="99"/>
  <c r="Z24" i="99"/>
  <c r="X24" i="99"/>
  <c r="R24" i="99"/>
  <c r="N24" i="99"/>
  <c r="L24" i="99"/>
  <c r="F24" i="99"/>
  <c r="B24" i="99"/>
  <c r="X23" i="99"/>
  <c r="Z23" i="99" s="1"/>
  <c r="V23" i="99"/>
  <c r="R23" i="99"/>
  <c r="L23" i="99"/>
  <c r="N23" i="99" s="1"/>
  <c r="F23" i="99"/>
  <c r="B23" i="99"/>
  <c r="X22" i="99"/>
  <c r="Z22" i="99" s="1"/>
  <c r="R22" i="99"/>
  <c r="L22" i="99"/>
  <c r="N22" i="99" s="1"/>
  <c r="J22" i="99"/>
  <c r="B22" i="99"/>
  <c r="X21" i="99"/>
  <c r="Z21" i="99" s="1"/>
  <c r="R21" i="99"/>
  <c r="N21" i="99"/>
  <c r="L21" i="99"/>
  <c r="F21" i="99"/>
  <c r="B21" i="99"/>
  <c r="Z20" i="99"/>
  <c r="X20" i="99"/>
  <c r="R20" i="99"/>
  <c r="N20" i="99"/>
  <c r="L20" i="99"/>
  <c r="F20" i="99"/>
  <c r="B20" i="99"/>
  <c r="T19" i="99"/>
  <c r="P19" i="99"/>
  <c r="L19" i="99"/>
  <c r="H19" i="99"/>
  <c r="N19" i="99" s="1"/>
  <c r="F19" i="99"/>
  <c r="D19" i="99"/>
  <c r="B19" i="99"/>
  <c r="X18" i="99"/>
  <c r="Z18" i="99" s="1"/>
  <c r="T18" i="99"/>
  <c r="R18" i="99"/>
  <c r="P18" i="99"/>
  <c r="H18" i="99"/>
  <c r="F18" i="99"/>
  <c r="D18" i="99"/>
  <c r="V16" i="99"/>
  <c r="R16" i="99"/>
  <c r="F16" i="99"/>
  <c r="Z14" i="99"/>
  <c r="X14" i="99"/>
  <c r="T14" i="99"/>
  <c r="R14" i="99"/>
  <c r="P14" i="99"/>
  <c r="P16" i="99" s="1"/>
  <c r="N14" i="99"/>
  <c r="H14" i="99"/>
  <c r="F14" i="99"/>
  <c r="D14" i="99"/>
  <c r="L14" i="99" s="1"/>
  <c r="T12" i="99"/>
  <c r="V18" i="99" s="1"/>
  <c r="P12" i="99"/>
  <c r="R37" i="99" s="1"/>
  <c r="H12" i="99"/>
  <c r="J46" i="99" s="1"/>
  <c r="D12" i="99"/>
  <c r="F59" i="99" s="1"/>
  <c r="D6" i="99"/>
  <c r="D4" i="99"/>
  <c r="V29" i="98"/>
  <c r="R29" i="98"/>
  <c r="J29" i="98"/>
  <c r="V26" i="98"/>
  <c r="R26" i="98"/>
  <c r="J26" i="98"/>
  <c r="Z24" i="98"/>
  <c r="X24" i="98"/>
  <c r="V24" i="98"/>
  <c r="R24" i="98"/>
  <c r="N24" i="98"/>
  <c r="L24" i="98"/>
  <c r="J22" i="98"/>
  <c r="Z20" i="98"/>
  <c r="T20" i="98"/>
  <c r="P20" i="98"/>
  <c r="X20" i="98" s="1"/>
  <c r="N20" i="98"/>
  <c r="L20" i="98"/>
  <c r="J20" i="98"/>
  <c r="H20" i="98"/>
  <c r="D20" i="98"/>
  <c r="Z18" i="98"/>
  <c r="T18" i="98"/>
  <c r="P18" i="98"/>
  <c r="X18" i="98" s="1"/>
  <c r="N18" i="98"/>
  <c r="L18" i="98"/>
  <c r="J18" i="98"/>
  <c r="H18" i="98"/>
  <c r="D18" i="98"/>
  <c r="J16" i="98"/>
  <c r="Z14" i="98"/>
  <c r="T14" i="98"/>
  <c r="T16" i="98" s="1"/>
  <c r="P14" i="98"/>
  <c r="X14" i="98" s="1"/>
  <c r="N14" i="98"/>
  <c r="L14" i="98"/>
  <c r="J14" i="98"/>
  <c r="H14" i="98"/>
  <c r="D14" i="98"/>
  <c r="Z12" i="98"/>
  <c r="T12" i="98"/>
  <c r="V22" i="98" s="1"/>
  <c r="P12" i="98"/>
  <c r="X12" i="98" s="1"/>
  <c r="H12" i="98"/>
  <c r="H16" i="98" s="1"/>
  <c r="D12" i="98"/>
  <c r="D6" i="98"/>
  <c r="D4" i="98"/>
  <c r="F91" i="97"/>
  <c r="F88" i="97"/>
  <c r="Z86" i="97"/>
  <c r="X86" i="97"/>
  <c r="N86" i="97"/>
  <c r="L86" i="97"/>
  <c r="V84" i="97"/>
  <c r="Z82" i="97"/>
  <c r="X82" i="97"/>
  <c r="V82" i="97"/>
  <c r="P82" i="97"/>
  <c r="N82" i="97"/>
  <c r="L82" i="97"/>
  <c r="D82" i="97"/>
  <c r="D81" i="97" s="1"/>
  <c r="B82" i="97"/>
  <c r="V81" i="97"/>
  <c r="T81" i="97"/>
  <c r="P81" i="97"/>
  <c r="N81" i="97"/>
  <c r="L81" i="97"/>
  <c r="H81" i="97"/>
  <c r="Z79" i="97"/>
  <c r="X79" i="97"/>
  <c r="V79" i="97"/>
  <c r="R79" i="97"/>
  <c r="N79" i="97"/>
  <c r="L79" i="97"/>
  <c r="F79" i="97"/>
  <c r="B79" i="97"/>
  <c r="T78" i="97"/>
  <c r="Z78" i="97" s="1"/>
  <c r="P78" i="97"/>
  <c r="X78" i="97" s="1"/>
  <c r="N78" i="97"/>
  <c r="H78" i="97"/>
  <c r="L78" i="97" s="1"/>
  <c r="F78" i="97"/>
  <c r="D78" i="97"/>
  <c r="B78" i="97"/>
  <c r="Z77" i="97"/>
  <c r="X77" i="97"/>
  <c r="N77" i="97"/>
  <c r="L77" i="97"/>
  <c r="B77" i="97"/>
  <c r="Z76" i="97"/>
  <c r="X76" i="97"/>
  <c r="N76" i="97"/>
  <c r="L76" i="97"/>
  <c r="F76" i="97"/>
  <c r="B76" i="97"/>
  <c r="T75" i="97"/>
  <c r="Z75" i="97" s="1"/>
  <c r="P75" i="97"/>
  <c r="X75" i="97" s="1"/>
  <c r="N75" i="97"/>
  <c r="H75" i="97"/>
  <c r="F75" i="97"/>
  <c r="D75" i="97"/>
  <c r="L75" i="97" s="1"/>
  <c r="B75" i="97"/>
  <c r="Z74" i="97"/>
  <c r="X74" i="97"/>
  <c r="V74" i="97"/>
  <c r="N74" i="97"/>
  <c r="L74" i="97"/>
  <c r="B74" i="97"/>
  <c r="Z73" i="97"/>
  <c r="X73" i="97"/>
  <c r="N73" i="97"/>
  <c r="L73" i="97"/>
  <c r="B73" i="97"/>
  <c r="Z72" i="97"/>
  <c r="X72" i="97"/>
  <c r="N72" i="97"/>
  <c r="L72" i="97"/>
  <c r="B72" i="97"/>
  <c r="Z71" i="97"/>
  <c r="X71" i="97"/>
  <c r="N71" i="97"/>
  <c r="L71" i="97"/>
  <c r="B71" i="97"/>
  <c r="Z70" i="97"/>
  <c r="X70" i="97"/>
  <c r="V70" i="97"/>
  <c r="N70" i="97"/>
  <c r="L70" i="97"/>
  <c r="B70" i="97"/>
  <c r="Z69" i="97"/>
  <c r="X69" i="97"/>
  <c r="N69" i="97"/>
  <c r="L69" i="97"/>
  <c r="B69" i="97"/>
  <c r="Z68" i="97"/>
  <c r="X68" i="97"/>
  <c r="N68" i="97"/>
  <c r="L68" i="97"/>
  <c r="B68" i="97"/>
  <c r="Z67" i="97"/>
  <c r="X67" i="97"/>
  <c r="V67" i="97"/>
  <c r="N67" i="97"/>
  <c r="L67" i="97"/>
  <c r="F67" i="97"/>
  <c r="B67" i="97"/>
  <c r="Z66" i="97"/>
  <c r="X66" i="97"/>
  <c r="V66" i="97"/>
  <c r="N66" i="97"/>
  <c r="L66" i="97"/>
  <c r="B66" i="97"/>
  <c r="Z65" i="97"/>
  <c r="X65" i="97"/>
  <c r="N65" i="97"/>
  <c r="L65" i="97"/>
  <c r="B65" i="97"/>
  <c r="T64" i="97"/>
  <c r="P64" i="97"/>
  <c r="N64" i="97"/>
  <c r="J64" i="97"/>
  <c r="H64" i="97"/>
  <c r="D64" i="97"/>
  <c r="L64" i="97" s="1"/>
  <c r="B64" i="97"/>
  <c r="Z63" i="97"/>
  <c r="X63" i="97"/>
  <c r="N63" i="97"/>
  <c r="L63" i="97"/>
  <c r="F63" i="97"/>
  <c r="B63" i="97"/>
  <c r="X62" i="97"/>
  <c r="T62" i="97"/>
  <c r="Z62" i="97" s="1"/>
  <c r="P62" i="97"/>
  <c r="N62" i="97"/>
  <c r="H62" i="97"/>
  <c r="L62" i="97" s="1"/>
  <c r="F62" i="97"/>
  <c r="D62" i="97"/>
  <c r="B62" i="97"/>
  <c r="Z61" i="97"/>
  <c r="X61" i="97"/>
  <c r="N61" i="97"/>
  <c r="L61" i="97"/>
  <c r="B61" i="97"/>
  <c r="Z60" i="97"/>
  <c r="X60" i="97"/>
  <c r="N60" i="97"/>
  <c r="L60" i="97"/>
  <c r="B60" i="97"/>
  <c r="T59" i="97"/>
  <c r="Z59" i="97" s="1"/>
  <c r="P59" i="97"/>
  <c r="X59" i="97" s="1"/>
  <c r="N59" i="97"/>
  <c r="H59" i="97"/>
  <c r="F59" i="97"/>
  <c r="D59" i="97"/>
  <c r="L59" i="97" s="1"/>
  <c r="B59" i="97"/>
  <c r="Z58" i="97"/>
  <c r="X58" i="97"/>
  <c r="V58" i="97"/>
  <c r="N58" i="97"/>
  <c r="L58" i="97"/>
  <c r="B58" i="97"/>
  <c r="Z57" i="97"/>
  <c r="X57" i="97"/>
  <c r="N57" i="97"/>
  <c r="L57" i="97"/>
  <c r="B57" i="97"/>
  <c r="Z56" i="97"/>
  <c r="X56" i="97"/>
  <c r="N56" i="97"/>
  <c r="L56" i="97"/>
  <c r="B56" i="97"/>
  <c r="V55" i="97"/>
  <c r="T55" i="97"/>
  <c r="Z55" i="97" s="1"/>
  <c r="P55" i="97"/>
  <c r="X55" i="97" s="1"/>
  <c r="N55" i="97"/>
  <c r="L55" i="97"/>
  <c r="H55" i="97"/>
  <c r="D55" i="97"/>
  <c r="B55" i="97"/>
  <c r="Z54" i="97"/>
  <c r="X54" i="97"/>
  <c r="N54" i="97"/>
  <c r="L54" i="97"/>
  <c r="B54" i="97"/>
  <c r="Z53" i="97"/>
  <c r="X53" i="97"/>
  <c r="T53" i="97"/>
  <c r="R53" i="97"/>
  <c r="P53" i="97"/>
  <c r="H53" i="97"/>
  <c r="D53" i="97"/>
  <c r="B53" i="97"/>
  <c r="Z52" i="97"/>
  <c r="X52" i="97"/>
  <c r="N52" i="97"/>
  <c r="L52" i="97"/>
  <c r="F52" i="97"/>
  <c r="B52" i="97"/>
  <c r="T51" i="97"/>
  <c r="Z51" i="97" s="1"/>
  <c r="P51" i="97"/>
  <c r="X51" i="97" s="1"/>
  <c r="N51" i="97"/>
  <c r="H51" i="97"/>
  <c r="D51" i="97"/>
  <c r="L51" i="97" s="1"/>
  <c r="B51" i="97"/>
  <c r="Z50" i="97"/>
  <c r="X50" i="97"/>
  <c r="V50" i="97"/>
  <c r="N50" i="97"/>
  <c r="L50" i="97"/>
  <c r="B50" i="97"/>
  <c r="Z49" i="97"/>
  <c r="X49" i="97"/>
  <c r="T49" i="97"/>
  <c r="P49" i="97"/>
  <c r="H49" i="97"/>
  <c r="N49" i="97" s="1"/>
  <c r="D49" i="97"/>
  <c r="L49" i="97" s="1"/>
  <c r="B49" i="97"/>
  <c r="Z48" i="97"/>
  <c r="X48" i="97"/>
  <c r="N48" i="97"/>
  <c r="L48" i="97"/>
  <c r="F48" i="97"/>
  <c r="B48" i="97"/>
  <c r="Z47" i="97"/>
  <c r="X47" i="97"/>
  <c r="V47" i="97"/>
  <c r="N47" i="97"/>
  <c r="L47" i="97"/>
  <c r="F47" i="97"/>
  <c r="B47" i="97"/>
  <c r="X46" i="97"/>
  <c r="T46" i="97"/>
  <c r="P46" i="97"/>
  <c r="N46" i="97"/>
  <c r="H46" i="97"/>
  <c r="L46" i="97" s="1"/>
  <c r="D46" i="97"/>
  <c r="B46" i="97"/>
  <c r="Z45" i="97"/>
  <c r="X45" i="97"/>
  <c r="N45" i="97"/>
  <c r="L45" i="97"/>
  <c r="B45" i="97"/>
  <c r="T44" i="97"/>
  <c r="Z44" i="97" s="1"/>
  <c r="P44" i="97"/>
  <c r="X44" i="97" s="1"/>
  <c r="N44" i="97"/>
  <c r="L44" i="97"/>
  <c r="H44" i="97"/>
  <c r="D44" i="97"/>
  <c r="B44" i="97"/>
  <c r="Z43" i="97"/>
  <c r="X43" i="97"/>
  <c r="V43" i="97"/>
  <c r="N43" i="97"/>
  <c r="L43" i="97"/>
  <c r="F43" i="97"/>
  <c r="B43" i="97"/>
  <c r="Z42" i="97"/>
  <c r="V42" i="97"/>
  <c r="T42" i="97"/>
  <c r="P42" i="97"/>
  <c r="X42" i="97" s="1"/>
  <c r="H42" i="97"/>
  <c r="F42" i="97"/>
  <c r="D42" i="97"/>
  <c r="B42" i="97"/>
  <c r="Z41" i="97"/>
  <c r="X41" i="97"/>
  <c r="N41" i="97"/>
  <c r="L41" i="97"/>
  <c r="B41" i="97"/>
  <c r="Z40" i="97"/>
  <c r="X40" i="97"/>
  <c r="R40" i="97"/>
  <c r="N40" i="97"/>
  <c r="L40" i="97"/>
  <c r="F40" i="97"/>
  <c r="B40" i="97"/>
  <c r="Z39" i="97"/>
  <c r="X39" i="97"/>
  <c r="V39" i="97"/>
  <c r="N39" i="97"/>
  <c r="L39" i="97"/>
  <c r="F39" i="97"/>
  <c r="B39" i="97"/>
  <c r="Z38" i="97"/>
  <c r="X38" i="97"/>
  <c r="N38" i="97"/>
  <c r="L38" i="97"/>
  <c r="B38" i="97"/>
  <c r="Z37" i="97"/>
  <c r="X37" i="97"/>
  <c r="N37" i="97"/>
  <c r="L37" i="97"/>
  <c r="B37" i="97"/>
  <c r="Z36" i="97"/>
  <c r="X36" i="97"/>
  <c r="R36" i="97"/>
  <c r="N36" i="97"/>
  <c r="L36" i="97"/>
  <c r="F36" i="97"/>
  <c r="B36" i="97"/>
  <c r="Z35" i="97"/>
  <c r="X35" i="97"/>
  <c r="V35" i="97"/>
  <c r="N35" i="97"/>
  <c r="L35" i="97"/>
  <c r="J35" i="97"/>
  <c r="F35" i="97"/>
  <c r="B35" i="97"/>
  <c r="Z34" i="97"/>
  <c r="X34" i="97"/>
  <c r="N34" i="97"/>
  <c r="L34" i="97"/>
  <c r="B34" i="97"/>
  <c r="Z33" i="97"/>
  <c r="X33" i="97"/>
  <c r="N33" i="97"/>
  <c r="L33" i="97"/>
  <c r="F33" i="97"/>
  <c r="B33" i="97"/>
  <c r="Z32" i="97"/>
  <c r="X32" i="97"/>
  <c r="N32" i="97"/>
  <c r="L32" i="97"/>
  <c r="F32" i="97"/>
  <c r="B32" i="97"/>
  <c r="V31" i="97"/>
  <c r="T31" i="97"/>
  <c r="P31" i="97"/>
  <c r="N31" i="97"/>
  <c r="L31" i="97"/>
  <c r="H31" i="97"/>
  <c r="F31" i="97"/>
  <c r="D31" i="97"/>
  <c r="B31" i="97"/>
  <c r="Z30" i="97"/>
  <c r="X30" i="97"/>
  <c r="V30" i="97"/>
  <c r="N30" i="97"/>
  <c r="L30" i="97"/>
  <c r="J30" i="97"/>
  <c r="B30" i="97"/>
  <c r="Z29" i="97"/>
  <c r="X29" i="97"/>
  <c r="N29" i="97"/>
  <c r="L29" i="97"/>
  <c r="B29" i="97"/>
  <c r="Z28" i="97"/>
  <c r="X28" i="97"/>
  <c r="N28" i="97"/>
  <c r="L28" i="97"/>
  <c r="F28" i="97"/>
  <c r="B28" i="97"/>
  <c r="Z27" i="97"/>
  <c r="X27" i="97"/>
  <c r="V27" i="97"/>
  <c r="N27" i="97"/>
  <c r="L27" i="97"/>
  <c r="F27" i="97"/>
  <c r="B27" i="97"/>
  <c r="Z26" i="97"/>
  <c r="X26" i="97"/>
  <c r="V26" i="97"/>
  <c r="N26" i="97"/>
  <c r="L26" i="97"/>
  <c r="B26" i="97"/>
  <c r="Z25" i="97"/>
  <c r="X25" i="97"/>
  <c r="N25" i="97"/>
  <c r="L25" i="97"/>
  <c r="B25" i="97"/>
  <c r="Z24" i="97"/>
  <c r="X24" i="97"/>
  <c r="N24" i="97"/>
  <c r="L24" i="97"/>
  <c r="F24" i="97"/>
  <c r="B24" i="97"/>
  <c r="Z23" i="97"/>
  <c r="X23" i="97"/>
  <c r="V23" i="97"/>
  <c r="N23" i="97"/>
  <c r="L23" i="97"/>
  <c r="B23" i="97"/>
  <c r="Z22" i="97"/>
  <c r="V22" i="97"/>
  <c r="T22" i="97"/>
  <c r="P22" i="97"/>
  <c r="X22" i="97" s="1"/>
  <c r="N22" i="97"/>
  <c r="H22" i="97"/>
  <c r="F22" i="97"/>
  <c r="D22" i="97"/>
  <c r="L22" i="97" s="1"/>
  <c r="B22" i="97"/>
  <c r="T21" i="97"/>
  <c r="P21" i="97"/>
  <c r="X21" i="97" s="1"/>
  <c r="Z21" i="97" s="1"/>
  <c r="H21" i="97"/>
  <c r="D21" i="97"/>
  <c r="T19" i="97"/>
  <c r="Z17" i="97"/>
  <c r="X17" i="97"/>
  <c r="R17" i="97"/>
  <c r="N17" i="97"/>
  <c r="L17" i="97"/>
  <c r="B17" i="97"/>
  <c r="Z16" i="97"/>
  <c r="V16" i="97"/>
  <c r="T16" i="97"/>
  <c r="X16" i="97" s="1"/>
  <c r="P16" i="97"/>
  <c r="N16" i="97"/>
  <c r="H16" i="97"/>
  <c r="D16" i="97"/>
  <c r="Z14" i="97"/>
  <c r="P14" i="97"/>
  <c r="P12" i="97" s="1"/>
  <c r="R32" i="97" s="1"/>
  <c r="N14" i="97"/>
  <c r="L14" i="97"/>
  <c r="D14" i="97"/>
  <c r="B14" i="97"/>
  <c r="Z13" i="97"/>
  <c r="X13" i="97"/>
  <c r="P13" i="97"/>
  <c r="N13" i="97"/>
  <c r="L13" i="97"/>
  <c r="D13" i="97"/>
  <c r="D12" i="97" s="1"/>
  <c r="F71" i="97" s="1"/>
  <c r="B13" i="97"/>
  <c r="Z12" i="97"/>
  <c r="T12" i="97"/>
  <c r="H12" i="97"/>
  <c r="J27" i="97" s="1"/>
  <c r="D6" i="97"/>
  <c r="D4" i="97"/>
  <c r="Z93" i="95"/>
  <c r="X93" i="95"/>
  <c r="L93" i="95"/>
  <c r="N93" i="95" s="1"/>
  <c r="Z89" i="95"/>
  <c r="T89" i="95"/>
  <c r="X89" i="95" s="1"/>
  <c r="P89" i="95"/>
  <c r="H89" i="95"/>
  <c r="N89" i="95" s="1"/>
  <c r="D89" i="95"/>
  <c r="L89" i="95" s="1"/>
  <c r="Z87" i="95"/>
  <c r="X87" i="95"/>
  <c r="N87" i="95"/>
  <c r="L87" i="95"/>
  <c r="B87" i="95"/>
  <c r="T86" i="95"/>
  <c r="P86" i="95"/>
  <c r="H86" i="95"/>
  <c r="D86" i="95"/>
  <c r="L86" i="95" s="1"/>
  <c r="N86" i="95" s="1"/>
  <c r="B86" i="95"/>
  <c r="X85" i="95"/>
  <c r="Z85" i="95" s="1"/>
  <c r="V85" i="95"/>
  <c r="N85" i="95"/>
  <c r="L85" i="95"/>
  <c r="B85" i="95"/>
  <c r="X84" i="95"/>
  <c r="Z84" i="95" s="1"/>
  <c r="L84" i="95"/>
  <c r="N84" i="95" s="1"/>
  <c r="B84" i="95"/>
  <c r="T83" i="95"/>
  <c r="P83" i="95"/>
  <c r="X83" i="95" s="1"/>
  <c r="L83" i="95"/>
  <c r="N83" i="95" s="1"/>
  <c r="H83" i="95"/>
  <c r="D83" i="95"/>
  <c r="B83" i="95"/>
  <c r="X82" i="95"/>
  <c r="Z82" i="95" s="1"/>
  <c r="N82" i="95"/>
  <c r="L82" i="95"/>
  <c r="B82" i="95"/>
  <c r="X81" i="95"/>
  <c r="Z81" i="95" s="1"/>
  <c r="N81" i="95"/>
  <c r="L81" i="95"/>
  <c r="B81" i="95"/>
  <c r="Z80" i="95"/>
  <c r="X80" i="95"/>
  <c r="N80" i="95"/>
  <c r="L80" i="95"/>
  <c r="B80" i="95"/>
  <c r="X79" i="95"/>
  <c r="Z79" i="95" s="1"/>
  <c r="N79" i="95"/>
  <c r="L79" i="95"/>
  <c r="B79" i="95"/>
  <c r="X78" i="95"/>
  <c r="Z78" i="95" s="1"/>
  <c r="N78" i="95"/>
  <c r="L78" i="95"/>
  <c r="J78" i="95"/>
  <c r="B78" i="95"/>
  <c r="Z77" i="95"/>
  <c r="X77" i="95"/>
  <c r="N77" i="95"/>
  <c r="L77" i="95"/>
  <c r="B77" i="95"/>
  <c r="Z76" i="95"/>
  <c r="X76" i="95"/>
  <c r="N76" i="95"/>
  <c r="L76" i="95"/>
  <c r="B76" i="95"/>
  <c r="T75" i="95"/>
  <c r="P75" i="95"/>
  <c r="L75" i="95"/>
  <c r="N75" i="95" s="1"/>
  <c r="H75" i="95"/>
  <c r="D75" i="95"/>
  <c r="B75" i="95"/>
  <c r="Z74" i="95"/>
  <c r="X74" i="95"/>
  <c r="V74" i="95"/>
  <c r="L74" i="95"/>
  <c r="N74" i="95" s="1"/>
  <c r="B74" i="95"/>
  <c r="T73" i="95"/>
  <c r="Z73" i="95" s="1"/>
  <c r="P73" i="95"/>
  <c r="X73" i="95" s="1"/>
  <c r="N73" i="95"/>
  <c r="H73" i="95"/>
  <c r="L73" i="95" s="1"/>
  <c r="D73" i="95"/>
  <c r="B73" i="95"/>
  <c r="Z72" i="95"/>
  <c r="X72" i="95"/>
  <c r="V72" i="95"/>
  <c r="N72" i="95"/>
  <c r="L72" i="95"/>
  <c r="B72" i="95"/>
  <c r="Z71" i="95"/>
  <c r="X71" i="95"/>
  <c r="L71" i="95"/>
  <c r="N71" i="95" s="1"/>
  <c r="B71" i="95"/>
  <c r="X70" i="95"/>
  <c r="Z70" i="95" s="1"/>
  <c r="L70" i="95"/>
  <c r="N70" i="95" s="1"/>
  <c r="B70" i="95"/>
  <c r="X69" i="95"/>
  <c r="Z69" i="95" s="1"/>
  <c r="V69" i="95"/>
  <c r="L69" i="95"/>
  <c r="N69" i="95" s="1"/>
  <c r="B69" i="95"/>
  <c r="X68" i="95"/>
  <c r="Z68" i="95" s="1"/>
  <c r="V68" i="95"/>
  <c r="N68" i="95"/>
  <c r="L68" i="95"/>
  <c r="B68" i="95"/>
  <c r="T67" i="95"/>
  <c r="P67" i="95"/>
  <c r="X67" i="95" s="1"/>
  <c r="L67" i="95"/>
  <c r="N67" i="95" s="1"/>
  <c r="H67" i="95"/>
  <c r="D67" i="95"/>
  <c r="B67" i="95"/>
  <c r="X66" i="95"/>
  <c r="Z66" i="95" s="1"/>
  <c r="N66" i="95"/>
  <c r="L66" i="95"/>
  <c r="B66" i="95"/>
  <c r="Z65" i="95"/>
  <c r="X65" i="95"/>
  <c r="N65" i="95"/>
  <c r="L65" i="95"/>
  <c r="B65" i="95"/>
  <c r="X64" i="95"/>
  <c r="Z64" i="95" s="1"/>
  <c r="T64" i="95"/>
  <c r="P64" i="95"/>
  <c r="H64" i="95"/>
  <c r="D64" i="95"/>
  <c r="B64" i="95"/>
  <c r="Z63" i="95"/>
  <c r="X63" i="95"/>
  <c r="N63" i="95"/>
  <c r="L63" i="95"/>
  <c r="B63" i="95"/>
  <c r="T62" i="95"/>
  <c r="P62" i="95"/>
  <c r="H62" i="95"/>
  <c r="D62" i="95"/>
  <c r="L62" i="95" s="1"/>
  <c r="N62" i="95" s="1"/>
  <c r="B62" i="95"/>
  <c r="X61" i="95"/>
  <c r="Z61" i="95" s="1"/>
  <c r="V61" i="95"/>
  <c r="L61" i="95"/>
  <c r="N61" i="95" s="1"/>
  <c r="B61" i="95"/>
  <c r="V60" i="95"/>
  <c r="T60" i="95"/>
  <c r="P60" i="95"/>
  <c r="X60" i="95" s="1"/>
  <c r="H60" i="95"/>
  <c r="D60" i="95"/>
  <c r="L60" i="95" s="1"/>
  <c r="B60" i="95"/>
  <c r="X59" i="95"/>
  <c r="Z59" i="95" s="1"/>
  <c r="N59" i="95"/>
  <c r="L59" i="95"/>
  <c r="B59" i="95"/>
  <c r="T58" i="95"/>
  <c r="P58" i="95"/>
  <c r="N58" i="95"/>
  <c r="L58" i="95"/>
  <c r="H58" i="95"/>
  <c r="D58" i="95"/>
  <c r="B58" i="95"/>
  <c r="Z57" i="95"/>
  <c r="X57" i="95"/>
  <c r="L57" i="95"/>
  <c r="N57" i="95" s="1"/>
  <c r="J57" i="95"/>
  <c r="B57" i="95"/>
  <c r="T56" i="95"/>
  <c r="P56" i="95"/>
  <c r="X56" i="95" s="1"/>
  <c r="Z56" i="95" s="1"/>
  <c r="N56" i="95"/>
  <c r="H56" i="95"/>
  <c r="L56" i="95" s="1"/>
  <c r="D56" i="95"/>
  <c r="B56" i="95"/>
  <c r="Z55" i="95"/>
  <c r="X55" i="95"/>
  <c r="L55" i="95"/>
  <c r="N55" i="95" s="1"/>
  <c r="B55" i="95"/>
  <c r="Z54" i="95"/>
  <c r="X54" i="95"/>
  <c r="N54" i="95"/>
  <c r="L54" i="95"/>
  <c r="B54" i="95"/>
  <c r="X53" i="95"/>
  <c r="Z53" i="95" s="1"/>
  <c r="V53" i="95"/>
  <c r="T53" i="95"/>
  <c r="P53" i="95"/>
  <c r="H53" i="95"/>
  <c r="D53" i="95"/>
  <c r="L53" i="95" s="1"/>
  <c r="B53" i="95"/>
  <c r="X52" i="95"/>
  <c r="Z52" i="95" s="1"/>
  <c r="N52" i="95"/>
  <c r="L52" i="95"/>
  <c r="B52" i="95"/>
  <c r="T51" i="95"/>
  <c r="P51" i="95"/>
  <c r="L51" i="95"/>
  <c r="N51" i="95" s="1"/>
  <c r="H51" i="95"/>
  <c r="D51" i="95"/>
  <c r="B51" i="95"/>
  <c r="Z50" i="95"/>
  <c r="X50" i="95"/>
  <c r="V50" i="95"/>
  <c r="L50" i="95"/>
  <c r="N50" i="95" s="1"/>
  <c r="B50" i="95"/>
  <c r="T49" i="95"/>
  <c r="P49" i="95"/>
  <c r="H49" i="95"/>
  <c r="D49" i="95"/>
  <c r="L49" i="95" s="1"/>
  <c r="N49" i="95" s="1"/>
  <c r="B49" i="95"/>
  <c r="X48" i="95"/>
  <c r="Z48" i="95" s="1"/>
  <c r="V48" i="95"/>
  <c r="N48" i="95"/>
  <c r="L48" i="95"/>
  <c r="B48" i="95"/>
  <c r="T47" i="95"/>
  <c r="P47" i="95"/>
  <c r="X47" i="95" s="1"/>
  <c r="L47" i="95"/>
  <c r="N47" i="95" s="1"/>
  <c r="H47" i="95"/>
  <c r="D47" i="95"/>
  <c r="B47" i="95"/>
  <c r="Z46" i="95"/>
  <c r="X46" i="95"/>
  <c r="N46" i="95"/>
  <c r="L46" i="95"/>
  <c r="B46" i="95"/>
  <c r="Z45" i="95"/>
  <c r="X45" i="95"/>
  <c r="N45" i="95"/>
  <c r="L45" i="95"/>
  <c r="B45" i="95"/>
  <c r="X44" i="95"/>
  <c r="Z44" i="95" s="1"/>
  <c r="N44" i="95"/>
  <c r="L44" i="95"/>
  <c r="B44" i="95"/>
  <c r="X43" i="95"/>
  <c r="Z43" i="95" s="1"/>
  <c r="N43" i="95"/>
  <c r="L43" i="95"/>
  <c r="B43" i="95"/>
  <c r="Z42" i="95"/>
  <c r="X42" i="95"/>
  <c r="N42" i="95"/>
  <c r="L42" i="95"/>
  <c r="B42" i="95"/>
  <c r="X41" i="95"/>
  <c r="Z41" i="95" s="1"/>
  <c r="N41" i="95"/>
  <c r="L41" i="95"/>
  <c r="B41" i="95"/>
  <c r="X40" i="95"/>
  <c r="Z40" i="95" s="1"/>
  <c r="N40" i="95"/>
  <c r="L40" i="95"/>
  <c r="B40" i="95"/>
  <c r="Z39" i="95"/>
  <c r="X39" i="95"/>
  <c r="N39" i="95"/>
  <c r="L39" i="95"/>
  <c r="B39" i="95"/>
  <c r="X38" i="95"/>
  <c r="Z38" i="95" s="1"/>
  <c r="N38" i="95"/>
  <c r="L38" i="95"/>
  <c r="B38" i="95"/>
  <c r="Z37" i="95"/>
  <c r="X37" i="95"/>
  <c r="N37" i="95"/>
  <c r="L37" i="95"/>
  <c r="B37" i="95"/>
  <c r="Z36" i="95"/>
  <c r="X36" i="95"/>
  <c r="T36" i="95"/>
  <c r="P36" i="95"/>
  <c r="H36" i="95"/>
  <c r="D36" i="95"/>
  <c r="B36" i="95"/>
  <c r="Z35" i="95"/>
  <c r="X35" i="95"/>
  <c r="N35" i="95"/>
  <c r="L35" i="95"/>
  <c r="B35" i="95"/>
  <c r="Z34" i="95"/>
  <c r="X34" i="95"/>
  <c r="V34" i="95"/>
  <c r="L34" i="95"/>
  <c r="N34" i="95" s="1"/>
  <c r="B34" i="95"/>
  <c r="Z33" i="95"/>
  <c r="X33" i="95"/>
  <c r="V33" i="95"/>
  <c r="L33" i="95"/>
  <c r="N33" i="95" s="1"/>
  <c r="J33" i="95"/>
  <c r="B33" i="95"/>
  <c r="Z32" i="95"/>
  <c r="X32" i="95"/>
  <c r="N32" i="95"/>
  <c r="L32" i="95"/>
  <c r="B32" i="95"/>
  <c r="Z31" i="95"/>
  <c r="X31" i="95"/>
  <c r="N31" i="95"/>
  <c r="L31" i="95"/>
  <c r="B31" i="95"/>
  <c r="Z30" i="95"/>
  <c r="X30" i="95"/>
  <c r="V30" i="95"/>
  <c r="L30" i="95"/>
  <c r="N30" i="95" s="1"/>
  <c r="B30" i="95"/>
  <c r="Z29" i="95"/>
  <c r="X29" i="95"/>
  <c r="V29" i="95"/>
  <c r="L29" i="95"/>
  <c r="N29" i="95" s="1"/>
  <c r="J29" i="95"/>
  <c r="B29" i="95"/>
  <c r="Z28" i="95"/>
  <c r="X28" i="95"/>
  <c r="L28" i="95"/>
  <c r="N28" i="95" s="1"/>
  <c r="B28" i="95"/>
  <c r="Z27" i="95"/>
  <c r="X27" i="95"/>
  <c r="N27" i="95"/>
  <c r="L27" i="95"/>
  <c r="B27" i="95"/>
  <c r="T26" i="95"/>
  <c r="P26" i="95"/>
  <c r="H26" i="95"/>
  <c r="D26" i="95"/>
  <c r="L26" i="95" s="1"/>
  <c r="N26" i="95" s="1"/>
  <c r="B26" i="95"/>
  <c r="V25" i="95"/>
  <c r="T25" i="95"/>
  <c r="P25" i="95"/>
  <c r="X25" i="95" s="1"/>
  <c r="Z25" i="95" s="1"/>
  <c r="H25" i="95"/>
  <c r="D25" i="95"/>
  <c r="L25" i="95" s="1"/>
  <c r="Z21" i="95"/>
  <c r="X21" i="95"/>
  <c r="V21" i="95"/>
  <c r="N21" i="95"/>
  <c r="L21" i="95"/>
  <c r="B21" i="95"/>
  <c r="Z20" i="95"/>
  <c r="X20" i="95"/>
  <c r="V20" i="95"/>
  <c r="N20" i="95"/>
  <c r="L20" i="95"/>
  <c r="B20" i="95"/>
  <c r="Z19" i="95"/>
  <c r="X19" i="95"/>
  <c r="L19" i="95"/>
  <c r="N19" i="95" s="1"/>
  <c r="B19" i="95"/>
  <c r="V18" i="95"/>
  <c r="T18" i="95"/>
  <c r="Z18" i="95" s="1"/>
  <c r="P18" i="95"/>
  <c r="X18" i="95" s="1"/>
  <c r="H18" i="95"/>
  <c r="D18" i="95"/>
  <c r="L18" i="95" s="1"/>
  <c r="N18" i="95" s="1"/>
  <c r="Z16" i="95"/>
  <c r="P16" i="95"/>
  <c r="X16" i="95" s="1"/>
  <c r="N16" i="95"/>
  <c r="D16" i="95"/>
  <c r="L16" i="95" s="1"/>
  <c r="B16" i="95"/>
  <c r="X15" i="95"/>
  <c r="Z15" i="95" s="1"/>
  <c r="P15" i="95"/>
  <c r="N15" i="95"/>
  <c r="L15" i="95"/>
  <c r="D15" i="95"/>
  <c r="B15" i="95"/>
  <c r="Z14" i="95"/>
  <c r="X14" i="95"/>
  <c r="P14" i="95"/>
  <c r="N14" i="95"/>
  <c r="D14" i="95"/>
  <c r="L14" i="95" s="1"/>
  <c r="B14" i="95"/>
  <c r="P13" i="95"/>
  <c r="D13" i="95"/>
  <c r="B13" i="95"/>
  <c r="T12" i="95"/>
  <c r="V80" i="95" s="1"/>
  <c r="H12" i="95"/>
  <c r="J66" i="95" s="1"/>
  <c r="D6" i="95"/>
  <c r="D4" i="95"/>
  <c r="Z80" i="94"/>
  <c r="X80" i="94"/>
  <c r="N80" i="94"/>
  <c r="L80" i="94"/>
  <c r="Z76" i="94"/>
  <c r="X76" i="94"/>
  <c r="T76" i="94"/>
  <c r="P76" i="94"/>
  <c r="H76" i="94"/>
  <c r="D76" i="94"/>
  <c r="Z74" i="94"/>
  <c r="X74" i="94"/>
  <c r="N74" i="94"/>
  <c r="L74" i="94"/>
  <c r="B74" i="94"/>
  <c r="Z73" i="94"/>
  <c r="X73" i="94"/>
  <c r="T73" i="94"/>
  <c r="P73" i="94"/>
  <c r="N73" i="94"/>
  <c r="L73" i="94"/>
  <c r="H73" i="94"/>
  <c r="D73" i="94"/>
  <c r="B73" i="94"/>
  <c r="Z72" i="94"/>
  <c r="X72" i="94"/>
  <c r="V72" i="94"/>
  <c r="N72" i="94"/>
  <c r="L72" i="94"/>
  <c r="J72" i="94"/>
  <c r="B72" i="94"/>
  <c r="T71" i="94"/>
  <c r="Z71" i="94" s="1"/>
  <c r="P71" i="94"/>
  <c r="H71" i="94"/>
  <c r="D71" i="94"/>
  <c r="B71" i="94"/>
  <c r="Z70" i="94"/>
  <c r="X70" i="94"/>
  <c r="V70" i="94"/>
  <c r="N70" i="94"/>
  <c r="L70" i="94"/>
  <c r="B70" i="94"/>
  <c r="T69" i="94"/>
  <c r="Z69" i="94" s="1"/>
  <c r="P69" i="94"/>
  <c r="X69" i="94" s="1"/>
  <c r="N69" i="94"/>
  <c r="L69" i="94"/>
  <c r="H69" i="94"/>
  <c r="D69" i="94"/>
  <c r="B69" i="94"/>
  <c r="Z68" i="94"/>
  <c r="X68" i="94"/>
  <c r="N68" i="94"/>
  <c r="L68" i="94"/>
  <c r="B68" i="94"/>
  <c r="Z67" i="94"/>
  <c r="X67" i="94"/>
  <c r="N67" i="94"/>
  <c r="L67" i="94"/>
  <c r="J67" i="94"/>
  <c r="B67" i="94"/>
  <c r="Z66" i="94"/>
  <c r="X66" i="94"/>
  <c r="N66" i="94"/>
  <c r="L66" i="94"/>
  <c r="B66" i="94"/>
  <c r="Z65" i="94"/>
  <c r="X65" i="94"/>
  <c r="T65" i="94"/>
  <c r="P65" i="94"/>
  <c r="N65" i="94"/>
  <c r="L65" i="94"/>
  <c r="H65" i="94"/>
  <c r="D65" i="94"/>
  <c r="B65" i="94"/>
  <c r="Z64" i="94"/>
  <c r="X64" i="94"/>
  <c r="V64" i="94"/>
  <c r="N64" i="94"/>
  <c r="L64" i="94"/>
  <c r="J64" i="94"/>
  <c r="B64" i="94"/>
  <c r="V63" i="94"/>
  <c r="T63" i="94"/>
  <c r="Z63" i="94" s="1"/>
  <c r="P63" i="94"/>
  <c r="X63" i="94" s="1"/>
  <c r="H63" i="94"/>
  <c r="D63" i="94"/>
  <c r="B63" i="94"/>
  <c r="Z62" i="94"/>
  <c r="X62" i="94"/>
  <c r="V62" i="94"/>
  <c r="N62" i="94"/>
  <c r="L62" i="94"/>
  <c r="B62" i="94"/>
  <c r="T61" i="94"/>
  <c r="Z61" i="94" s="1"/>
  <c r="P61" i="94"/>
  <c r="X61" i="94" s="1"/>
  <c r="N61" i="94"/>
  <c r="L61" i="94"/>
  <c r="H61" i="94"/>
  <c r="D61" i="94"/>
  <c r="B61" i="94"/>
  <c r="Z60" i="94"/>
  <c r="X60" i="94"/>
  <c r="N60" i="94"/>
  <c r="L60" i="94"/>
  <c r="B60" i="94"/>
  <c r="Z59" i="94"/>
  <c r="T59" i="94"/>
  <c r="P59" i="94"/>
  <c r="X59" i="94" s="1"/>
  <c r="N59" i="94"/>
  <c r="H59" i="94"/>
  <c r="L59" i="94" s="1"/>
  <c r="D59" i="94"/>
  <c r="B59" i="94"/>
  <c r="Z58" i="94"/>
  <c r="X58" i="94"/>
  <c r="N58" i="94"/>
  <c r="L58" i="94"/>
  <c r="B58" i="94"/>
  <c r="Z57" i="94"/>
  <c r="X57" i="94"/>
  <c r="N57" i="94"/>
  <c r="L57" i="94"/>
  <c r="B57" i="94"/>
  <c r="Z56" i="94"/>
  <c r="V56" i="94"/>
  <c r="T56" i="94"/>
  <c r="P56" i="94"/>
  <c r="N56" i="94"/>
  <c r="H56" i="94"/>
  <c r="D56" i="94"/>
  <c r="L56" i="94" s="1"/>
  <c r="B56" i="94"/>
  <c r="Z55" i="94"/>
  <c r="X55" i="94"/>
  <c r="V55" i="94"/>
  <c r="N55" i="94"/>
  <c r="L55" i="94"/>
  <c r="B55" i="94"/>
  <c r="Z54" i="94"/>
  <c r="V54" i="94"/>
  <c r="T54" i="94"/>
  <c r="P54" i="94"/>
  <c r="X54" i="94" s="1"/>
  <c r="J54" i="94"/>
  <c r="H54" i="94"/>
  <c r="N54" i="94" s="1"/>
  <c r="D54" i="94"/>
  <c r="L54" i="94" s="1"/>
  <c r="B54" i="94"/>
  <c r="Z53" i="94"/>
  <c r="X53" i="94"/>
  <c r="N53" i="94"/>
  <c r="L53" i="94"/>
  <c r="B53" i="94"/>
  <c r="V52" i="94"/>
  <c r="T52" i="94"/>
  <c r="P52" i="94"/>
  <c r="N52" i="94"/>
  <c r="L52" i="94"/>
  <c r="H52" i="94"/>
  <c r="D52" i="94"/>
  <c r="B52" i="94"/>
  <c r="Z51" i="94"/>
  <c r="X51" i="94"/>
  <c r="V51" i="94"/>
  <c r="N51" i="94"/>
  <c r="L51" i="94"/>
  <c r="B51" i="94"/>
  <c r="Z50" i="94"/>
  <c r="T50" i="94"/>
  <c r="P50" i="94"/>
  <c r="X50" i="94" s="1"/>
  <c r="H50" i="94"/>
  <c r="N50" i="94" s="1"/>
  <c r="D50" i="94"/>
  <c r="L50" i="94" s="1"/>
  <c r="B50" i="94"/>
  <c r="Z49" i="94"/>
  <c r="X49" i="94"/>
  <c r="V49" i="94"/>
  <c r="L49" i="94"/>
  <c r="N49" i="94" s="1"/>
  <c r="B49" i="94"/>
  <c r="V48" i="94"/>
  <c r="T48" i="94"/>
  <c r="P48" i="94"/>
  <c r="X48" i="94" s="1"/>
  <c r="L48" i="94"/>
  <c r="N48" i="94" s="1"/>
  <c r="H48" i="94"/>
  <c r="D48" i="94"/>
  <c r="B48" i="94"/>
  <c r="Z47" i="94"/>
  <c r="X47" i="94"/>
  <c r="N47" i="94"/>
  <c r="L47" i="94"/>
  <c r="J47" i="94"/>
  <c r="B47" i="94"/>
  <c r="Z46" i="94"/>
  <c r="X46" i="94"/>
  <c r="T46" i="94"/>
  <c r="P46" i="94"/>
  <c r="L46" i="94"/>
  <c r="H46" i="94"/>
  <c r="N46" i="94" s="1"/>
  <c r="D46" i="94"/>
  <c r="B46" i="94"/>
  <c r="Z45" i="94"/>
  <c r="X45" i="94"/>
  <c r="N45" i="94"/>
  <c r="L45" i="94"/>
  <c r="B45" i="94"/>
  <c r="V44" i="94"/>
  <c r="T44" i="94"/>
  <c r="Z44" i="94" s="1"/>
  <c r="P44" i="94"/>
  <c r="N44" i="94"/>
  <c r="H44" i="94"/>
  <c r="D44" i="94"/>
  <c r="B44" i="94"/>
  <c r="Z43" i="94"/>
  <c r="X43" i="94"/>
  <c r="V43" i="94"/>
  <c r="N43" i="94"/>
  <c r="L43" i="94"/>
  <c r="B43" i="94"/>
  <c r="Z42" i="94"/>
  <c r="X42" i="94"/>
  <c r="V42" i="94"/>
  <c r="N42" i="94"/>
  <c r="L42" i="94"/>
  <c r="B42" i="94"/>
  <c r="Z41" i="94"/>
  <c r="X41" i="94"/>
  <c r="V41" i="94"/>
  <c r="N41" i="94"/>
  <c r="L41" i="94"/>
  <c r="B41" i="94"/>
  <c r="Z40" i="94"/>
  <c r="X40" i="94"/>
  <c r="V40" i="94"/>
  <c r="N40" i="94"/>
  <c r="L40" i="94"/>
  <c r="B40" i="94"/>
  <c r="Z39" i="94"/>
  <c r="X39" i="94"/>
  <c r="V39" i="94"/>
  <c r="N39" i="94"/>
  <c r="L39" i="94"/>
  <c r="B39" i="94"/>
  <c r="Z38" i="94"/>
  <c r="X38" i="94"/>
  <c r="V38" i="94"/>
  <c r="N38" i="94"/>
  <c r="L38" i="94"/>
  <c r="B38" i="94"/>
  <c r="Z37" i="94"/>
  <c r="X37" i="94"/>
  <c r="V37" i="94"/>
  <c r="N37" i="94"/>
  <c r="L37" i="94"/>
  <c r="B37" i="94"/>
  <c r="Z36" i="94"/>
  <c r="X36" i="94"/>
  <c r="V36" i="94"/>
  <c r="N36" i="94"/>
  <c r="L36" i="94"/>
  <c r="B36" i="94"/>
  <c r="Z35" i="94"/>
  <c r="X35" i="94"/>
  <c r="V35" i="94"/>
  <c r="N35" i="94"/>
  <c r="L35" i="94"/>
  <c r="J35" i="94"/>
  <c r="B35" i="94"/>
  <c r="Z34" i="94"/>
  <c r="X34" i="94"/>
  <c r="N34" i="94"/>
  <c r="L34" i="94"/>
  <c r="B34" i="94"/>
  <c r="Z33" i="94"/>
  <c r="T33" i="94"/>
  <c r="P33" i="94"/>
  <c r="N33" i="94"/>
  <c r="H33" i="94"/>
  <c r="D33" i="94"/>
  <c r="L33" i="94" s="1"/>
  <c r="B33" i="94"/>
  <c r="Z32" i="94"/>
  <c r="X32" i="94"/>
  <c r="V32" i="94"/>
  <c r="N32" i="94"/>
  <c r="L32" i="94"/>
  <c r="B32" i="94"/>
  <c r="Z31" i="94"/>
  <c r="X31" i="94"/>
  <c r="V31" i="94"/>
  <c r="N31" i="94"/>
  <c r="L31" i="94"/>
  <c r="J31" i="94"/>
  <c r="B31" i="94"/>
  <c r="Z30" i="94"/>
  <c r="X30" i="94"/>
  <c r="N30" i="94"/>
  <c r="L30" i="94"/>
  <c r="B30" i="94"/>
  <c r="Z29" i="94"/>
  <c r="X29" i="94"/>
  <c r="V29" i="94"/>
  <c r="N29" i="94"/>
  <c r="L29" i="94"/>
  <c r="B29" i="94"/>
  <c r="Z28" i="94"/>
  <c r="X28" i="94"/>
  <c r="V28" i="94"/>
  <c r="N28" i="94"/>
  <c r="L28" i="94"/>
  <c r="B28" i="94"/>
  <c r="Z27" i="94"/>
  <c r="X27" i="94"/>
  <c r="V27" i="94"/>
  <c r="N27" i="94"/>
  <c r="L27" i="94"/>
  <c r="J27" i="94"/>
  <c r="B27" i="94"/>
  <c r="Z26" i="94"/>
  <c r="X26" i="94"/>
  <c r="N26" i="94"/>
  <c r="L26" i="94"/>
  <c r="B26" i="94"/>
  <c r="Z25" i="94"/>
  <c r="X25" i="94"/>
  <c r="V25" i="94"/>
  <c r="N25" i="94"/>
  <c r="L25" i="94"/>
  <c r="J25" i="94"/>
  <c r="B25" i="94"/>
  <c r="Z24" i="94"/>
  <c r="X24" i="94"/>
  <c r="V24" i="94"/>
  <c r="N24" i="94"/>
  <c r="L24" i="94"/>
  <c r="J24" i="94"/>
  <c r="B24" i="94"/>
  <c r="Z23" i="94"/>
  <c r="V23" i="94"/>
  <c r="T23" i="94"/>
  <c r="P23" i="94"/>
  <c r="X23" i="94" s="1"/>
  <c r="J23" i="94"/>
  <c r="H23" i="94"/>
  <c r="D23" i="94"/>
  <c r="B23" i="94"/>
  <c r="T22" i="94"/>
  <c r="P22" i="94"/>
  <c r="J22" i="94"/>
  <c r="H22" i="94"/>
  <c r="D22" i="94"/>
  <c r="Z18" i="94"/>
  <c r="X18" i="94"/>
  <c r="N18" i="94"/>
  <c r="L18" i="94"/>
  <c r="B18" i="94"/>
  <c r="Z17" i="94"/>
  <c r="V17" i="94"/>
  <c r="T17" i="94"/>
  <c r="X17" i="94" s="1"/>
  <c r="P17" i="94"/>
  <c r="L17" i="94"/>
  <c r="J17" i="94"/>
  <c r="H17" i="94"/>
  <c r="N17" i="94" s="1"/>
  <c r="D17" i="94"/>
  <c r="Z15" i="94"/>
  <c r="X15" i="94"/>
  <c r="P15" i="94"/>
  <c r="N15" i="94"/>
  <c r="L15" i="94"/>
  <c r="D15" i="94"/>
  <c r="B15" i="94"/>
  <c r="Z14" i="94"/>
  <c r="X14" i="94"/>
  <c r="P14" i="94"/>
  <c r="N14" i="94"/>
  <c r="D14" i="94"/>
  <c r="L14" i="94" s="1"/>
  <c r="B14" i="94"/>
  <c r="Z13" i="94"/>
  <c r="P13" i="94"/>
  <c r="N13" i="94"/>
  <c r="D13" i="94"/>
  <c r="L13" i="94" s="1"/>
  <c r="B13" i="94"/>
  <c r="Z12" i="94"/>
  <c r="T12" i="94"/>
  <c r="V71" i="94" s="1"/>
  <c r="N12" i="94"/>
  <c r="H12" i="94"/>
  <c r="J68" i="94" s="1"/>
  <c r="D6" i="94"/>
  <c r="D4" i="94"/>
  <c r="Z79" i="93"/>
  <c r="X79" i="93"/>
  <c r="V79" i="93"/>
  <c r="N79" i="93"/>
  <c r="L79" i="93"/>
  <c r="T75" i="93"/>
  <c r="Z75" i="93" s="1"/>
  <c r="P75" i="93"/>
  <c r="X75" i="93" s="1"/>
  <c r="N75" i="93"/>
  <c r="H75" i="93"/>
  <c r="D75" i="93"/>
  <c r="L75" i="93" s="1"/>
  <c r="Z73" i="93"/>
  <c r="X73" i="93"/>
  <c r="N73" i="93"/>
  <c r="L73" i="93"/>
  <c r="J73" i="93"/>
  <c r="B73" i="93"/>
  <c r="Z72" i="93"/>
  <c r="X72" i="93"/>
  <c r="T72" i="93"/>
  <c r="P72" i="93"/>
  <c r="N72" i="93"/>
  <c r="H72" i="93"/>
  <c r="L72" i="93" s="1"/>
  <c r="D72" i="93"/>
  <c r="B72" i="93"/>
  <c r="Z71" i="93"/>
  <c r="X71" i="93"/>
  <c r="N71" i="93"/>
  <c r="L71" i="93"/>
  <c r="B71" i="93"/>
  <c r="Z70" i="93"/>
  <c r="X70" i="93"/>
  <c r="V70" i="93"/>
  <c r="N70" i="93"/>
  <c r="L70" i="93"/>
  <c r="B70" i="93"/>
  <c r="T69" i="93"/>
  <c r="X69" i="93" s="1"/>
  <c r="R69" i="93"/>
  <c r="P69" i="93"/>
  <c r="N69" i="93"/>
  <c r="L69" i="93"/>
  <c r="H69" i="93"/>
  <c r="D69" i="93"/>
  <c r="B69" i="93"/>
  <c r="Z68" i="93"/>
  <c r="X68" i="93"/>
  <c r="N68" i="93"/>
  <c r="L68" i="93"/>
  <c r="J68" i="93"/>
  <c r="B68" i="93"/>
  <c r="Z67" i="93"/>
  <c r="X67" i="93"/>
  <c r="N67" i="93"/>
  <c r="L67" i="93"/>
  <c r="B67" i="93"/>
  <c r="Z66" i="93"/>
  <c r="X66" i="93"/>
  <c r="N66" i="93"/>
  <c r="L66" i="93"/>
  <c r="B66" i="93"/>
  <c r="Z65" i="93"/>
  <c r="X65" i="93"/>
  <c r="N65" i="93"/>
  <c r="L65" i="93"/>
  <c r="B65" i="93"/>
  <c r="Z64" i="93"/>
  <c r="X64" i="93"/>
  <c r="R64" i="93"/>
  <c r="N64" i="93"/>
  <c r="L64" i="93"/>
  <c r="B64" i="93"/>
  <c r="Z63" i="93"/>
  <c r="X63" i="93"/>
  <c r="N63" i="93"/>
  <c r="L63" i="93"/>
  <c r="J63" i="93"/>
  <c r="B63" i="93"/>
  <c r="Z62" i="93"/>
  <c r="X62" i="93"/>
  <c r="N62" i="93"/>
  <c r="L62" i="93"/>
  <c r="B62" i="93"/>
  <c r="Z61" i="93"/>
  <c r="X61" i="93"/>
  <c r="N61" i="93"/>
  <c r="L61" i="93"/>
  <c r="B61" i="93"/>
  <c r="Z60" i="93"/>
  <c r="T60" i="93"/>
  <c r="X60" i="93" s="1"/>
  <c r="P60" i="93"/>
  <c r="N60" i="93"/>
  <c r="L60" i="93"/>
  <c r="H60" i="93"/>
  <c r="D60" i="93"/>
  <c r="B60" i="93"/>
  <c r="Z59" i="93"/>
  <c r="X59" i="93"/>
  <c r="V59" i="93"/>
  <c r="R59" i="93"/>
  <c r="N59" i="93"/>
  <c r="L59" i="93"/>
  <c r="B59" i="93"/>
  <c r="Z58" i="93"/>
  <c r="X58" i="93"/>
  <c r="V58" i="93"/>
  <c r="N58" i="93"/>
  <c r="L58" i="93"/>
  <c r="J58" i="93"/>
  <c r="B58" i="93"/>
  <c r="Z57" i="93"/>
  <c r="T57" i="93"/>
  <c r="P57" i="93"/>
  <c r="X57" i="93" s="1"/>
  <c r="H57" i="93"/>
  <c r="N57" i="93" s="1"/>
  <c r="D57" i="93"/>
  <c r="B57" i="93"/>
  <c r="Z56" i="93"/>
  <c r="X56" i="93"/>
  <c r="N56" i="93"/>
  <c r="L56" i="93"/>
  <c r="B56" i="93"/>
  <c r="Z55" i="93"/>
  <c r="X55" i="93"/>
  <c r="N55" i="93"/>
  <c r="L55" i="93"/>
  <c r="B55" i="93"/>
  <c r="Z54" i="93"/>
  <c r="X54" i="93"/>
  <c r="V54" i="93"/>
  <c r="N54" i="93"/>
  <c r="L54" i="93"/>
  <c r="B54" i="93"/>
  <c r="X53" i="93"/>
  <c r="T53" i="93"/>
  <c r="Z53" i="93" s="1"/>
  <c r="P53" i="93"/>
  <c r="L53" i="93"/>
  <c r="H53" i="93"/>
  <c r="N53" i="93" s="1"/>
  <c r="D53" i="93"/>
  <c r="B53" i="93"/>
  <c r="Z52" i="93"/>
  <c r="X52" i="93"/>
  <c r="N52" i="93"/>
  <c r="L52" i="93"/>
  <c r="B52" i="93"/>
  <c r="T51" i="93"/>
  <c r="Z51" i="93" s="1"/>
  <c r="P51" i="93"/>
  <c r="N51" i="93"/>
  <c r="H51" i="93"/>
  <c r="L51" i="93" s="1"/>
  <c r="D51" i="93"/>
  <c r="B51" i="93"/>
  <c r="X50" i="93"/>
  <c r="Z50" i="93" s="1"/>
  <c r="V50" i="93"/>
  <c r="L50" i="93"/>
  <c r="N50" i="93" s="1"/>
  <c r="B50" i="93"/>
  <c r="T49" i="93"/>
  <c r="P49" i="93"/>
  <c r="X49" i="93" s="1"/>
  <c r="Z49" i="93" s="1"/>
  <c r="H49" i="93"/>
  <c r="D49" i="93"/>
  <c r="L49" i="93" s="1"/>
  <c r="B49" i="93"/>
  <c r="Z48" i="93"/>
  <c r="X48" i="93"/>
  <c r="N48" i="93"/>
  <c r="L48" i="93"/>
  <c r="B48" i="93"/>
  <c r="X47" i="93"/>
  <c r="V47" i="93"/>
  <c r="T47" i="93"/>
  <c r="Z47" i="93" s="1"/>
  <c r="P47" i="93"/>
  <c r="H47" i="93"/>
  <c r="N47" i="93" s="1"/>
  <c r="D47" i="93"/>
  <c r="L47" i="93" s="1"/>
  <c r="B47" i="93"/>
  <c r="Z46" i="93"/>
  <c r="X46" i="93"/>
  <c r="N46" i="93"/>
  <c r="L46" i="93"/>
  <c r="B46" i="93"/>
  <c r="T45" i="93"/>
  <c r="Z45" i="93" s="1"/>
  <c r="P45" i="93"/>
  <c r="H45" i="93"/>
  <c r="N45" i="93" s="1"/>
  <c r="D45" i="93"/>
  <c r="L45" i="93" s="1"/>
  <c r="B45" i="93"/>
  <c r="Z44" i="93"/>
  <c r="X44" i="93"/>
  <c r="V44" i="93"/>
  <c r="N44" i="93"/>
  <c r="L44" i="93"/>
  <c r="B44" i="93"/>
  <c r="V43" i="93"/>
  <c r="T43" i="93"/>
  <c r="Z43" i="93" s="1"/>
  <c r="P43" i="93"/>
  <c r="X43" i="93" s="1"/>
  <c r="N43" i="93"/>
  <c r="H43" i="93"/>
  <c r="D43" i="93"/>
  <c r="L43" i="93" s="1"/>
  <c r="B43" i="93"/>
  <c r="Z42" i="93"/>
  <c r="X42" i="93"/>
  <c r="V42" i="93"/>
  <c r="N42" i="93"/>
  <c r="L42" i="93"/>
  <c r="B42" i="93"/>
  <c r="Z41" i="93"/>
  <c r="X41" i="93"/>
  <c r="N41" i="93"/>
  <c r="L41" i="93"/>
  <c r="B41" i="93"/>
  <c r="Z40" i="93"/>
  <c r="X40" i="93"/>
  <c r="N40" i="93"/>
  <c r="L40" i="93"/>
  <c r="B40" i="93"/>
  <c r="Z39" i="93"/>
  <c r="X39" i="93"/>
  <c r="V39" i="93"/>
  <c r="N39" i="93"/>
  <c r="L39" i="93"/>
  <c r="B39" i="93"/>
  <c r="Z38" i="93"/>
  <c r="X38" i="93"/>
  <c r="V38" i="93"/>
  <c r="N38" i="93"/>
  <c r="L38" i="93"/>
  <c r="B38" i="93"/>
  <c r="Z37" i="93"/>
  <c r="X37" i="93"/>
  <c r="N37" i="93"/>
  <c r="L37" i="93"/>
  <c r="B37" i="93"/>
  <c r="Z36" i="93"/>
  <c r="X36" i="93"/>
  <c r="N36" i="93"/>
  <c r="L36" i="93"/>
  <c r="B36" i="93"/>
  <c r="Z35" i="93"/>
  <c r="X35" i="93"/>
  <c r="V35" i="93"/>
  <c r="N35" i="93"/>
  <c r="L35" i="93"/>
  <c r="B35" i="93"/>
  <c r="Z34" i="93"/>
  <c r="X34" i="93"/>
  <c r="V34" i="93"/>
  <c r="N34" i="93"/>
  <c r="L34" i="93"/>
  <c r="B34" i="93"/>
  <c r="Z33" i="93"/>
  <c r="X33" i="93"/>
  <c r="N33" i="93"/>
  <c r="L33" i="93"/>
  <c r="B33" i="93"/>
  <c r="Z32" i="93"/>
  <c r="T32" i="93"/>
  <c r="P32" i="93"/>
  <c r="X32" i="93" s="1"/>
  <c r="N32" i="93"/>
  <c r="L32" i="93"/>
  <c r="J32" i="93"/>
  <c r="H32" i="93"/>
  <c r="F32" i="93"/>
  <c r="D32" i="93"/>
  <c r="B32" i="93"/>
  <c r="Z31" i="93"/>
  <c r="X31" i="93"/>
  <c r="N31" i="93"/>
  <c r="L31" i="93"/>
  <c r="J31" i="93"/>
  <c r="B31" i="93"/>
  <c r="Z30" i="93"/>
  <c r="X30" i="93"/>
  <c r="N30" i="93"/>
  <c r="L30" i="93"/>
  <c r="B30" i="93"/>
  <c r="Z29" i="93"/>
  <c r="X29" i="93"/>
  <c r="N29" i="93"/>
  <c r="L29" i="93"/>
  <c r="B29" i="93"/>
  <c r="Z28" i="93"/>
  <c r="X28" i="93"/>
  <c r="V28" i="93"/>
  <c r="N28" i="93"/>
  <c r="L28" i="93"/>
  <c r="B28" i="93"/>
  <c r="Z27" i="93"/>
  <c r="X27" i="93"/>
  <c r="N27" i="93"/>
  <c r="L27" i="93"/>
  <c r="J27" i="93"/>
  <c r="B27" i="93"/>
  <c r="Z26" i="93"/>
  <c r="X26" i="93"/>
  <c r="N26" i="93"/>
  <c r="L26" i="93"/>
  <c r="B26" i="93"/>
  <c r="Z25" i="93"/>
  <c r="X25" i="93"/>
  <c r="R25" i="93"/>
  <c r="N25" i="93"/>
  <c r="L25" i="93"/>
  <c r="B25" i="93"/>
  <c r="Z24" i="93"/>
  <c r="X24" i="93"/>
  <c r="V24" i="93"/>
  <c r="N24" i="93"/>
  <c r="L24" i="93"/>
  <c r="J24" i="93"/>
  <c r="B24" i="93"/>
  <c r="Z23" i="93"/>
  <c r="X23" i="93"/>
  <c r="N23" i="93"/>
  <c r="L23" i="93"/>
  <c r="B23" i="93"/>
  <c r="Z22" i="93"/>
  <c r="X22" i="93"/>
  <c r="T22" i="93"/>
  <c r="P22" i="93"/>
  <c r="H22" i="93"/>
  <c r="L22" i="93" s="1"/>
  <c r="D22" i="93"/>
  <c r="B22" i="93"/>
  <c r="T21" i="93"/>
  <c r="P21" i="93"/>
  <c r="X21" i="93" s="1"/>
  <c r="Z21" i="93" s="1"/>
  <c r="H21" i="93"/>
  <c r="D21" i="93"/>
  <c r="J19" i="93"/>
  <c r="H19" i="93"/>
  <c r="Z17" i="93"/>
  <c r="X17" i="93"/>
  <c r="N17" i="93"/>
  <c r="L17" i="93"/>
  <c r="B17" i="93"/>
  <c r="V16" i="93"/>
  <c r="T16" i="93"/>
  <c r="Z16" i="93" s="1"/>
  <c r="P16" i="93"/>
  <c r="J16" i="93"/>
  <c r="H16" i="93"/>
  <c r="N16" i="93" s="1"/>
  <c r="D16" i="93"/>
  <c r="L16" i="93" s="1"/>
  <c r="Z14" i="93"/>
  <c r="P14" i="93"/>
  <c r="X14" i="93" s="1"/>
  <c r="N14" i="93"/>
  <c r="L14" i="93"/>
  <c r="D14" i="93"/>
  <c r="B14" i="93"/>
  <c r="Z13" i="93"/>
  <c r="X13" i="93"/>
  <c r="P13" i="93"/>
  <c r="P12" i="93" s="1"/>
  <c r="R52" i="93" s="1"/>
  <c r="N13" i="93"/>
  <c r="L13" i="93"/>
  <c r="D13" i="93"/>
  <c r="D12" i="93" s="1"/>
  <c r="D19" i="93" s="1"/>
  <c r="B13" i="93"/>
  <c r="Z12" i="93"/>
  <c r="T12" i="93"/>
  <c r="V71" i="93" s="1"/>
  <c r="H12" i="93"/>
  <c r="J67" i="93" s="1"/>
  <c r="D6" i="93"/>
  <c r="D4" i="93"/>
  <c r="V85" i="92"/>
  <c r="J85" i="92"/>
  <c r="Z80" i="92"/>
  <c r="X80" i="92"/>
  <c r="V80" i="92"/>
  <c r="R80" i="92"/>
  <c r="N80" i="92"/>
  <c r="L80" i="92"/>
  <c r="V76" i="92"/>
  <c r="T76" i="92"/>
  <c r="X76" i="92" s="1"/>
  <c r="R76" i="92"/>
  <c r="P76" i="92"/>
  <c r="N76" i="92"/>
  <c r="L76" i="92"/>
  <c r="H76" i="92"/>
  <c r="D76" i="92"/>
  <c r="Z74" i="92"/>
  <c r="X74" i="92"/>
  <c r="N74" i="92"/>
  <c r="L74" i="92"/>
  <c r="B74" i="92"/>
  <c r="T73" i="92"/>
  <c r="Z73" i="92" s="1"/>
  <c r="P73" i="92"/>
  <c r="X73" i="92" s="1"/>
  <c r="N73" i="92"/>
  <c r="H73" i="92"/>
  <c r="L73" i="92" s="1"/>
  <c r="D73" i="92"/>
  <c r="B73" i="92"/>
  <c r="Z72" i="92"/>
  <c r="X72" i="92"/>
  <c r="V72" i="92"/>
  <c r="N72" i="92"/>
  <c r="L72" i="92"/>
  <c r="B72" i="92"/>
  <c r="Z71" i="92"/>
  <c r="X71" i="92"/>
  <c r="N71" i="92"/>
  <c r="L71" i="92"/>
  <c r="B71" i="92"/>
  <c r="V70" i="92"/>
  <c r="T70" i="92"/>
  <c r="Z70" i="92" s="1"/>
  <c r="P70" i="92"/>
  <c r="H70" i="92"/>
  <c r="N70" i="92" s="1"/>
  <c r="D70" i="92"/>
  <c r="L70" i="92" s="1"/>
  <c r="B70" i="92"/>
  <c r="Z69" i="92"/>
  <c r="X69" i="92"/>
  <c r="V69" i="92"/>
  <c r="N69" i="92"/>
  <c r="L69" i="92"/>
  <c r="B69" i="92"/>
  <c r="Z68" i="92"/>
  <c r="X68" i="92"/>
  <c r="N68" i="92"/>
  <c r="L68" i="92"/>
  <c r="B68" i="92"/>
  <c r="Z67" i="92"/>
  <c r="X67" i="92"/>
  <c r="R67" i="92"/>
  <c r="N67" i="92"/>
  <c r="L67" i="92"/>
  <c r="B67" i="92"/>
  <c r="Z66" i="92"/>
  <c r="X66" i="92"/>
  <c r="N66" i="92"/>
  <c r="L66" i="92"/>
  <c r="B66" i="92"/>
  <c r="Z65" i="92"/>
  <c r="X65" i="92"/>
  <c r="V65" i="92"/>
  <c r="N65" i="92"/>
  <c r="L65" i="92"/>
  <c r="B65" i="92"/>
  <c r="Z64" i="92"/>
  <c r="V64" i="92"/>
  <c r="T64" i="92"/>
  <c r="R64" i="92"/>
  <c r="P64" i="92"/>
  <c r="X64" i="92" s="1"/>
  <c r="N64" i="92"/>
  <c r="H64" i="92"/>
  <c r="D64" i="92"/>
  <c r="L64" i="92" s="1"/>
  <c r="B64" i="92"/>
  <c r="Z63" i="92"/>
  <c r="X63" i="92"/>
  <c r="N63" i="92"/>
  <c r="L63" i="92"/>
  <c r="B63" i="92"/>
  <c r="Z62" i="92"/>
  <c r="X62" i="92"/>
  <c r="V62" i="92"/>
  <c r="N62" i="92"/>
  <c r="L62" i="92"/>
  <c r="B62" i="92"/>
  <c r="Z61" i="92"/>
  <c r="X61" i="92"/>
  <c r="R61" i="92"/>
  <c r="N61" i="92"/>
  <c r="L61" i="92"/>
  <c r="J61" i="92"/>
  <c r="B61" i="92"/>
  <c r="Z60" i="92"/>
  <c r="X60" i="92"/>
  <c r="N60" i="92"/>
  <c r="L60" i="92"/>
  <c r="B60" i="92"/>
  <c r="T59" i="92"/>
  <c r="R59" i="92"/>
  <c r="P59" i="92"/>
  <c r="H59" i="92"/>
  <c r="N59" i="92" s="1"/>
  <c r="D59" i="92"/>
  <c r="L59" i="92" s="1"/>
  <c r="B59" i="92"/>
  <c r="Z58" i="92"/>
  <c r="X58" i="92"/>
  <c r="V58" i="92"/>
  <c r="R58" i="92"/>
  <c r="N58" i="92"/>
  <c r="L58" i="92"/>
  <c r="B58" i="92"/>
  <c r="X57" i="92"/>
  <c r="T57" i="92"/>
  <c r="Z57" i="92" s="1"/>
  <c r="P57" i="92"/>
  <c r="N57" i="92"/>
  <c r="H57" i="92"/>
  <c r="D57" i="92"/>
  <c r="L57" i="92" s="1"/>
  <c r="B57" i="92"/>
  <c r="Z56" i="92"/>
  <c r="X56" i="92"/>
  <c r="V56" i="92"/>
  <c r="N56" i="92"/>
  <c r="L56" i="92"/>
  <c r="B56" i="92"/>
  <c r="Z55" i="92"/>
  <c r="X55" i="92"/>
  <c r="N55" i="92"/>
  <c r="L55" i="92"/>
  <c r="B55" i="92"/>
  <c r="Z54" i="92"/>
  <c r="T54" i="92"/>
  <c r="R54" i="92"/>
  <c r="P54" i="92"/>
  <c r="X54" i="92" s="1"/>
  <c r="N54" i="92"/>
  <c r="L54" i="92"/>
  <c r="H54" i="92"/>
  <c r="D54" i="92"/>
  <c r="B54" i="92"/>
  <c r="Z53" i="92"/>
  <c r="X53" i="92"/>
  <c r="R53" i="92"/>
  <c r="N53" i="92"/>
  <c r="L53" i="92"/>
  <c r="B53" i="92"/>
  <c r="Z52" i="92"/>
  <c r="X52" i="92"/>
  <c r="T52" i="92"/>
  <c r="P52" i="92"/>
  <c r="N52" i="92"/>
  <c r="H52" i="92"/>
  <c r="L52" i="92" s="1"/>
  <c r="D52" i="92"/>
  <c r="B52" i="92"/>
  <c r="Z51" i="92"/>
  <c r="X51" i="92"/>
  <c r="N51" i="92"/>
  <c r="L51" i="92"/>
  <c r="B51" i="92"/>
  <c r="Z50" i="92"/>
  <c r="V50" i="92"/>
  <c r="T50" i="92"/>
  <c r="P50" i="92"/>
  <c r="X50" i="92" s="1"/>
  <c r="J50" i="92"/>
  <c r="H50" i="92"/>
  <c r="N50" i="92" s="1"/>
  <c r="D50" i="92"/>
  <c r="L50" i="92" s="1"/>
  <c r="B50" i="92"/>
  <c r="Z49" i="92"/>
  <c r="X49" i="92"/>
  <c r="V49" i="92"/>
  <c r="N49" i="92"/>
  <c r="L49" i="92"/>
  <c r="B49" i="92"/>
  <c r="Z48" i="92"/>
  <c r="V48" i="92"/>
  <c r="T48" i="92"/>
  <c r="P48" i="92"/>
  <c r="X48" i="92" s="1"/>
  <c r="N48" i="92"/>
  <c r="H48" i="92"/>
  <c r="D48" i="92"/>
  <c r="L48" i="92" s="1"/>
  <c r="B48" i="92"/>
  <c r="X47" i="92"/>
  <c r="Z47" i="92" s="1"/>
  <c r="N47" i="92"/>
  <c r="L47" i="92"/>
  <c r="B47" i="92"/>
  <c r="Z46" i="92"/>
  <c r="X46" i="92"/>
  <c r="V46" i="92"/>
  <c r="R46" i="92"/>
  <c r="N46" i="92"/>
  <c r="L46" i="92"/>
  <c r="J46" i="92"/>
  <c r="B46" i="92"/>
  <c r="T45" i="92"/>
  <c r="P45" i="92"/>
  <c r="X45" i="92" s="1"/>
  <c r="L45" i="92"/>
  <c r="H45" i="92"/>
  <c r="N45" i="92" s="1"/>
  <c r="D45" i="92"/>
  <c r="B45" i="92"/>
  <c r="Z44" i="92"/>
  <c r="X44" i="92"/>
  <c r="V44" i="92"/>
  <c r="N44" i="92"/>
  <c r="L44" i="92"/>
  <c r="B44" i="92"/>
  <c r="Z43" i="92"/>
  <c r="T43" i="92"/>
  <c r="P43" i="92"/>
  <c r="X43" i="92" s="1"/>
  <c r="H43" i="92"/>
  <c r="N43" i="92" s="1"/>
  <c r="D43" i="92"/>
  <c r="L43" i="92" s="1"/>
  <c r="B43" i="92"/>
  <c r="Z42" i="92"/>
  <c r="X42" i="92"/>
  <c r="N42" i="92"/>
  <c r="L42" i="92"/>
  <c r="B42" i="92"/>
  <c r="X41" i="92"/>
  <c r="V41" i="92"/>
  <c r="T41" i="92"/>
  <c r="Z41" i="92" s="1"/>
  <c r="P41" i="92"/>
  <c r="L41" i="92"/>
  <c r="H41" i="92"/>
  <c r="N41" i="92" s="1"/>
  <c r="D41" i="92"/>
  <c r="B41" i="92"/>
  <c r="Z40" i="92"/>
  <c r="X40" i="92"/>
  <c r="N40" i="92"/>
  <c r="L40" i="92"/>
  <c r="B40" i="92"/>
  <c r="Z39" i="92"/>
  <c r="X39" i="92"/>
  <c r="N39" i="92"/>
  <c r="L39" i="92"/>
  <c r="B39" i="92"/>
  <c r="Z38" i="92"/>
  <c r="X38" i="92"/>
  <c r="V38" i="92"/>
  <c r="R38" i="92"/>
  <c r="N38" i="92"/>
  <c r="L38" i="92"/>
  <c r="J38" i="92"/>
  <c r="F38" i="92"/>
  <c r="B38" i="92"/>
  <c r="Z37" i="92"/>
  <c r="X37" i="92"/>
  <c r="N37" i="92"/>
  <c r="L37" i="92"/>
  <c r="B37" i="92"/>
  <c r="Z36" i="92"/>
  <c r="X36" i="92"/>
  <c r="V36" i="92"/>
  <c r="N36" i="92"/>
  <c r="L36" i="92"/>
  <c r="B36" i="92"/>
  <c r="Z35" i="92"/>
  <c r="X35" i="92"/>
  <c r="R35" i="92"/>
  <c r="N35" i="92"/>
  <c r="L35" i="92"/>
  <c r="B35" i="92"/>
  <c r="Z34" i="92"/>
  <c r="X34" i="92"/>
  <c r="N34" i="92"/>
  <c r="L34" i="92"/>
  <c r="B34" i="92"/>
  <c r="Z33" i="92"/>
  <c r="X33" i="92"/>
  <c r="R33" i="92"/>
  <c r="N33" i="92"/>
  <c r="L33" i="92"/>
  <c r="B33" i="92"/>
  <c r="Z32" i="92"/>
  <c r="X32" i="92"/>
  <c r="V32" i="92"/>
  <c r="N32" i="92"/>
  <c r="L32" i="92"/>
  <c r="B32" i="92"/>
  <c r="Z31" i="92"/>
  <c r="X31" i="92"/>
  <c r="N31" i="92"/>
  <c r="L31" i="92"/>
  <c r="B31" i="92"/>
  <c r="V30" i="92"/>
  <c r="T30" i="92"/>
  <c r="X30" i="92" s="1"/>
  <c r="R30" i="92"/>
  <c r="P30" i="92"/>
  <c r="N30" i="92"/>
  <c r="L30" i="92"/>
  <c r="J30" i="92"/>
  <c r="H30" i="92"/>
  <c r="D30" i="92"/>
  <c r="B30" i="92"/>
  <c r="Z29" i="92"/>
  <c r="X29" i="92"/>
  <c r="V29" i="92"/>
  <c r="R29" i="92"/>
  <c r="N29" i="92"/>
  <c r="L29" i="92"/>
  <c r="B29" i="92"/>
  <c r="Z28" i="92"/>
  <c r="X28" i="92"/>
  <c r="V28" i="92"/>
  <c r="N28" i="92"/>
  <c r="L28" i="92"/>
  <c r="B28" i="92"/>
  <c r="Z27" i="92"/>
  <c r="X27" i="92"/>
  <c r="N27" i="92"/>
  <c r="L27" i="92"/>
  <c r="B27" i="92"/>
  <c r="Z26" i="92"/>
  <c r="X26" i="92"/>
  <c r="R26" i="92"/>
  <c r="N26" i="92"/>
  <c r="L26" i="92"/>
  <c r="B26" i="92"/>
  <c r="Z25" i="92"/>
  <c r="X25" i="92"/>
  <c r="V25" i="92"/>
  <c r="R25" i="92"/>
  <c r="N25" i="92"/>
  <c r="L25" i="92"/>
  <c r="B25" i="92"/>
  <c r="Z24" i="92"/>
  <c r="X24" i="92"/>
  <c r="V24" i="92"/>
  <c r="R24" i="92"/>
  <c r="N24" i="92"/>
  <c r="L24" i="92"/>
  <c r="J24" i="92"/>
  <c r="B24" i="92"/>
  <c r="Z23" i="92"/>
  <c r="X23" i="92"/>
  <c r="N23" i="92"/>
  <c r="L23" i="92"/>
  <c r="B23" i="92"/>
  <c r="Z22" i="92"/>
  <c r="X22" i="92"/>
  <c r="V22" i="92"/>
  <c r="R22" i="92"/>
  <c r="N22" i="92"/>
  <c r="L22" i="92"/>
  <c r="B22" i="92"/>
  <c r="V21" i="92"/>
  <c r="T21" i="92"/>
  <c r="Z21" i="92" s="1"/>
  <c r="P21" i="92"/>
  <c r="X21" i="92" s="1"/>
  <c r="N21" i="92"/>
  <c r="H21" i="92"/>
  <c r="D21" i="92"/>
  <c r="L21" i="92" s="1"/>
  <c r="B21" i="92"/>
  <c r="T20" i="92"/>
  <c r="P20" i="92"/>
  <c r="X20" i="92" s="1"/>
  <c r="Z20" i="92" s="1"/>
  <c r="N20" i="92"/>
  <c r="H20" i="92"/>
  <c r="D20" i="92"/>
  <c r="L20" i="92" s="1"/>
  <c r="V18" i="92"/>
  <c r="R18" i="92"/>
  <c r="D18" i="92"/>
  <c r="Z16" i="92"/>
  <c r="X16" i="92"/>
  <c r="V16" i="92"/>
  <c r="R16" i="92"/>
  <c r="N16" i="92"/>
  <c r="L16" i="92"/>
  <c r="B16" i="92"/>
  <c r="V15" i="92"/>
  <c r="T15" i="92"/>
  <c r="Z15" i="92" s="1"/>
  <c r="R15" i="92"/>
  <c r="P15" i="92"/>
  <c r="X15" i="92" s="1"/>
  <c r="N15" i="92"/>
  <c r="L15" i="92"/>
  <c r="H15" i="92"/>
  <c r="D15" i="92"/>
  <c r="Z13" i="92"/>
  <c r="X13" i="92"/>
  <c r="P13" i="92"/>
  <c r="P12" i="92" s="1"/>
  <c r="R74" i="92" s="1"/>
  <c r="N13" i="92"/>
  <c r="L13" i="92"/>
  <c r="D13" i="92"/>
  <c r="D12" i="92" s="1"/>
  <c r="F74" i="92" s="1"/>
  <c r="B13" i="92"/>
  <c r="Z12" i="92"/>
  <c r="X12" i="92"/>
  <c r="T12" i="92"/>
  <c r="V82" i="92" s="1"/>
  <c r="H12" i="92"/>
  <c r="J82" i="92" s="1"/>
  <c r="D6" i="92"/>
  <c r="D4" i="92"/>
  <c r="V84" i="91"/>
  <c r="Z82" i="91"/>
  <c r="X82" i="91"/>
  <c r="R82" i="91"/>
  <c r="N82" i="91"/>
  <c r="L82" i="91"/>
  <c r="J80" i="91"/>
  <c r="Z78" i="91"/>
  <c r="X78" i="91"/>
  <c r="P78" i="91"/>
  <c r="P76" i="91" s="1"/>
  <c r="N78" i="91"/>
  <c r="D78" i="91"/>
  <c r="L78" i="91" s="1"/>
  <c r="B78" i="91"/>
  <c r="Z77" i="91"/>
  <c r="X77" i="91"/>
  <c r="V77" i="91"/>
  <c r="P77" i="91"/>
  <c r="N77" i="91"/>
  <c r="D77" i="91"/>
  <c r="L77" i="91" s="1"/>
  <c r="B77" i="91"/>
  <c r="V76" i="91"/>
  <c r="T76" i="91"/>
  <c r="Z76" i="91" s="1"/>
  <c r="N76" i="91"/>
  <c r="H76" i="91"/>
  <c r="X74" i="91"/>
  <c r="Z74" i="91" s="1"/>
  <c r="V74" i="91"/>
  <c r="L74" i="91"/>
  <c r="N74" i="91" s="1"/>
  <c r="B74" i="91"/>
  <c r="V73" i="91"/>
  <c r="T73" i="91"/>
  <c r="P73" i="91"/>
  <c r="X73" i="91" s="1"/>
  <c r="H73" i="91"/>
  <c r="D73" i="91"/>
  <c r="L73" i="91" s="1"/>
  <c r="N73" i="91" s="1"/>
  <c r="B73" i="91"/>
  <c r="Z72" i="91"/>
  <c r="X72" i="91"/>
  <c r="N72" i="91"/>
  <c r="L72" i="91"/>
  <c r="B72" i="91"/>
  <c r="T71" i="91"/>
  <c r="Z71" i="91" s="1"/>
  <c r="P71" i="91"/>
  <c r="X71" i="91" s="1"/>
  <c r="N71" i="91"/>
  <c r="L71" i="91"/>
  <c r="J71" i="91"/>
  <c r="H71" i="91"/>
  <c r="D71" i="91"/>
  <c r="B71" i="91"/>
  <c r="Z70" i="91"/>
  <c r="X70" i="91"/>
  <c r="L70" i="91"/>
  <c r="N70" i="91" s="1"/>
  <c r="B70" i="91"/>
  <c r="X69" i="91"/>
  <c r="T69" i="91"/>
  <c r="Z69" i="91" s="1"/>
  <c r="P69" i="91"/>
  <c r="N69" i="91"/>
  <c r="H69" i="91"/>
  <c r="L69" i="91" s="1"/>
  <c r="D69" i="91"/>
  <c r="B69" i="91"/>
  <c r="Z68" i="91"/>
  <c r="X68" i="91"/>
  <c r="N68" i="91"/>
  <c r="L68" i="91"/>
  <c r="B68" i="91"/>
  <c r="Z67" i="91"/>
  <c r="X67" i="91"/>
  <c r="N67" i="91"/>
  <c r="L67" i="91"/>
  <c r="B67" i="91"/>
  <c r="Z66" i="91"/>
  <c r="X66" i="91"/>
  <c r="V66" i="91"/>
  <c r="N66" i="91"/>
  <c r="L66" i="91"/>
  <c r="B66" i="91"/>
  <c r="Z65" i="91"/>
  <c r="X65" i="91"/>
  <c r="V65" i="91"/>
  <c r="N65" i="91"/>
  <c r="L65" i="91"/>
  <c r="B65" i="91"/>
  <c r="Z64" i="91"/>
  <c r="X64" i="91"/>
  <c r="N64" i="91"/>
  <c r="L64" i="91"/>
  <c r="B64" i="91"/>
  <c r="Z63" i="91"/>
  <c r="X63" i="91"/>
  <c r="N63" i="91"/>
  <c r="L63" i="91"/>
  <c r="B63" i="91"/>
  <c r="Z62" i="91"/>
  <c r="X62" i="91"/>
  <c r="V62" i="91"/>
  <c r="N62" i="91"/>
  <c r="L62" i="91"/>
  <c r="B62" i="91"/>
  <c r="V61" i="91"/>
  <c r="T61" i="91"/>
  <c r="Z61" i="91" s="1"/>
  <c r="P61" i="91"/>
  <c r="X61" i="91" s="1"/>
  <c r="N61" i="91"/>
  <c r="H61" i="91"/>
  <c r="D61" i="91"/>
  <c r="L61" i="91" s="1"/>
  <c r="B61" i="91"/>
  <c r="Z60" i="91"/>
  <c r="X60" i="91"/>
  <c r="N60" i="91"/>
  <c r="L60" i="91"/>
  <c r="B60" i="91"/>
  <c r="X59" i="91"/>
  <c r="Z59" i="91" s="1"/>
  <c r="N59" i="91"/>
  <c r="L59" i="91"/>
  <c r="F59" i="91"/>
  <c r="B59" i="91"/>
  <c r="Z58" i="91"/>
  <c r="X58" i="91"/>
  <c r="V58" i="91"/>
  <c r="N58" i="91"/>
  <c r="L58" i="91"/>
  <c r="B58" i="91"/>
  <c r="X57" i="91"/>
  <c r="Z57" i="91" s="1"/>
  <c r="V57" i="91"/>
  <c r="L57" i="91"/>
  <c r="N57" i="91" s="1"/>
  <c r="B57" i="91"/>
  <c r="T56" i="91"/>
  <c r="P56" i="91"/>
  <c r="X56" i="91" s="1"/>
  <c r="H56" i="91"/>
  <c r="D56" i="91"/>
  <c r="L56" i="91" s="1"/>
  <c r="N56" i="91" s="1"/>
  <c r="B56" i="91"/>
  <c r="Z55" i="91"/>
  <c r="X55" i="91"/>
  <c r="R55" i="91"/>
  <c r="N55" i="91"/>
  <c r="L55" i="91"/>
  <c r="B55" i="91"/>
  <c r="Z54" i="91"/>
  <c r="X54" i="91"/>
  <c r="N54" i="91"/>
  <c r="L54" i="91"/>
  <c r="J54" i="91"/>
  <c r="B54" i="91"/>
  <c r="X53" i="91"/>
  <c r="T53" i="91"/>
  <c r="Z53" i="91" s="1"/>
  <c r="P53" i="91"/>
  <c r="N53" i="91"/>
  <c r="H53" i="91"/>
  <c r="L53" i="91" s="1"/>
  <c r="D53" i="91"/>
  <c r="B53" i="91"/>
  <c r="Z52" i="91"/>
  <c r="X52" i="91"/>
  <c r="L52" i="91"/>
  <c r="N52" i="91" s="1"/>
  <c r="B52" i="91"/>
  <c r="T51" i="91"/>
  <c r="P51" i="91"/>
  <c r="J51" i="91"/>
  <c r="H51" i="91"/>
  <c r="N51" i="91" s="1"/>
  <c r="D51" i="91"/>
  <c r="L51" i="91" s="1"/>
  <c r="B51" i="91"/>
  <c r="Z50" i="91"/>
  <c r="X50" i="91"/>
  <c r="V50" i="91"/>
  <c r="N50" i="91"/>
  <c r="L50" i="91"/>
  <c r="F50" i="91"/>
  <c r="B50" i="91"/>
  <c r="Z49" i="91"/>
  <c r="X49" i="91"/>
  <c r="V49" i="91"/>
  <c r="T49" i="91"/>
  <c r="P49" i="91"/>
  <c r="H49" i="91"/>
  <c r="N49" i="91" s="1"/>
  <c r="D49" i="91"/>
  <c r="L49" i="91" s="1"/>
  <c r="B49" i="91"/>
  <c r="Z48" i="91"/>
  <c r="X48" i="91"/>
  <c r="N48" i="91"/>
  <c r="L48" i="91"/>
  <c r="B48" i="91"/>
  <c r="Z47" i="91"/>
  <c r="V47" i="91"/>
  <c r="T47" i="91"/>
  <c r="X47" i="91" s="1"/>
  <c r="P47" i="91"/>
  <c r="L47" i="91"/>
  <c r="H47" i="91"/>
  <c r="N47" i="91" s="1"/>
  <c r="D47" i="91"/>
  <c r="B47" i="91"/>
  <c r="X46" i="91"/>
  <c r="Z46" i="91" s="1"/>
  <c r="V46" i="91"/>
  <c r="L46" i="91"/>
  <c r="N46" i="91" s="1"/>
  <c r="B46" i="91"/>
  <c r="Z45" i="91"/>
  <c r="X45" i="91"/>
  <c r="V45" i="91"/>
  <c r="N45" i="91"/>
  <c r="L45" i="91"/>
  <c r="J45" i="91"/>
  <c r="B45" i="91"/>
  <c r="T44" i="91"/>
  <c r="P44" i="91"/>
  <c r="X44" i="91" s="1"/>
  <c r="Z44" i="91" s="1"/>
  <c r="H44" i="91"/>
  <c r="D44" i="91"/>
  <c r="B44" i="91"/>
  <c r="Z43" i="91"/>
  <c r="X43" i="91"/>
  <c r="N43" i="91"/>
  <c r="L43" i="91"/>
  <c r="B43" i="91"/>
  <c r="Z42" i="91"/>
  <c r="X42" i="91"/>
  <c r="V42" i="91"/>
  <c r="T42" i="91"/>
  <c r="P42" i="91"/>
  <c r="J42" i="91"/>
  <c r="H42" i="91"/>
  <c r="N42" i="91" s="1"/>
  <c r="D42" i="91"/>
  <c r="L42" i="91" s="1"/>
  <c r="B42" i="91"/>
  <c r="Z41" i="91"/>
  <c r="X41" i="91"/>
  <c r="N41" i="91"/>
  <c r="L41" i="91"/>
  <c r="J41" i="91"/>
  <c r="B41" i="91"/>
  <c r="Z40" i="91"/>
  <c r="X40" i="91"/>
  <c r="T40" i="91"/>
  <c r="P40" i="91"/>
  <c r="H40" i="91"/>
  <c r="N40" i="91" s="1"/>
  <c r="F40" i="91"/>
  <c r="D40" i="91"/>
  <c r="L40" i="91" s="1"/>
  <c r="B40" i="91"/>
  <c r="Z39" i="91"/>
  <c r="X39" i="91"/>
  <c r="N39" i="91"/>
  <c r="L39" i="91"/>
  <c r="B39" i="91"/>
  <c r="Z38" i="91"/>
  <c r="X38" i="91"/>
  <c r="V38" i="91"/>
  <c r="N38" i="91"/>
  <c r="L38" i="91"/>
  <c r="J38" i="91"/>
  <c r="B38" i="91"/>
  <c r="Z37" i="91"/>
  <c r="X37" i="91"/>
  <c r="V37" i="91"/>
  <c r="N37" i="91"/>
  <c r="L37" i="91"/>
  <c r="B37" i="91"/>
  <c r="Z36" i="91"/>
  <c r="X36" i="91"/>
  <c r="N36" i="91"/>
  <c r="L36" i="91"/>
  <c r="J36" i="91"/>
  <c r="F36" i="91"/>
  <c r="B36" i="91"/>
  <c r="Z35" i="91"/>
  <c r="X35" i="91"/>
  <c r="N35" i="91"/>
  <c r="L35" i="91"/>
  <c r="B35" i="91"/>
  <c r="Z34" i="91"/>
  <c r="X34" i="91"/>
  <c r="V34" i="91"/>
  <c r="N34" i="91"/>
  <c r="L34" i="91"/>
  <c r="B34" i="91"/>
  <c r="Z33" i="91"/>
  <c r="X33" i="91"/>
  <c r="V33" i="91"/>
  <c r="N33" i="91"/>
  <c r="L33" i="91"/>
  <c r="B33" i="91"/>
  <c r="Z32" i="91"/>
  <c r="X32" i="91"/>
  <c r="N32" i="91"/>
  <c r="L32" i="91"/>
  <c r="B32" i="91"/>
  <c r="Z31" i="91"/>
  <c r="X31" i="91"/>
  <c r="N31" i="91"/>
  <c r="L31" i="91"/>
  <c r="B31" i="91"/>
  <c r="Z30" i="91"/>
  <c r="X30" i="91"/>
  <c r="V30" i="91"/>
  <c r="N30" i="91"/>
  <c r="L30" i="91"/>
  <c r="B30" i="91"/>
  <c r="V29" i="91"/>
  <c r="T29" i="91"/>
  <c r="Z29" i="91" s="1"/>
  <c r="P29" i="91"/>
  <c r="X29" i="91" s="1"/>
  <c r="N29" i="91"/>
  <c r="H29" i="91"/>
  <c r="D29" i="91"/>
  <c r="L29" i="91" s="1"/>
  <c r="B29" i="91"/>
  <c r="X28" i="91"/>
  <c r="Z28" i="91" s="1"/>
  <c r="V28" i="91"/>
  <c r="N28" i="91"/>
  <c r="L28" i="91"/>
  <c r="B28" i="91"/>
  <c r="Z27" i="91"/>
  <c r="X27" i="91"/>
  <c r="N27" i="91"/>
  <c r="L27" i="91"/>
  <c r="J27" i="91"/>
  <c r="B27" i="91"/>
  <c r="Z26" i="91"/>
  <c r="X26" i="91"/>
  <c r="V26" i="91"/>
  <c r="N26" i="91"/>
  <c r="L26" i="91"/>
  <c r="B26" i="91"/>
  <c r="Z25" i="91"/>
  <c r="X25" i="91"/>
  <c r="V25" i="91"/>
  <c r="N25" i="91"/>
  <c r="L25" i="91"/>
  <c r="B25" i="91"/>
  <c r="Z24" i="91"/>
  <c r="X24" i="91"/>
  <c r="V24" i="91"/>
  <c r="N24" i="91"/>
  <c r="L24" i="91"/>
  <c r="B24" i="91"/>
  <c r="Z23" i="91"/>
  <c r="X23" i="91"/>
  <c r="N23" i="91"/>
  <c r="L23" i="91"/>
  <c r="J23" i="91"/>
  <c r="B23" i="91"/>
  <c r="X22" i="91"/>
  <c r="Z22" i="91" s="1"/>
  <c r="V22" i="91"/>
  <c r="N22" i="91"/>
  <c r="L22" i="91"/>
  <c r="F22" i="91"/>
  <c r="B22" i="91"/>
  <c r="Z21" i="91"/>
  <c r="X21" i="91"/>
  <c r="V21" i="91"/>
  <c r="N21" i="91"/>
  <c r="L21" i="91"/>
  <c r="B21" i="91"/>
  <c r="Z20" i="91"/>
  <c r="X20" i="91"/>
  <c r="V20" i="91"/>
  <c r="N20" i="91"/>
  <c r="L20" i="91"/>
  <c r="B20" i="91"/>
  <c r="T19" i="91"/>
  <c r="P19" i="91"/>
  <c r="X19" i="91" s="1"/>
  <c r="L19" i="91"/>
  <c r="N19" i="91" s="1"/>
  <c r="J19" i="91"/>
  <c r="H19" i="91"/>
  <c r="D19" i="91"/>
  <c r="B19" i="91"/>
  <c r="T18" i="91"/>
  <c r="P18" i="91"/>
  <c r="H18" i="91"/>
  <c r="D18" i="91"/>
  <c r="L18" i="91" s="1"/>
  <c r="N18" i="91" s="1"/>
  <c r="T16" i="91"/>
  <c r="T14" i="91"/>
  <c r="Z14" i="91" s="1"/>
  <c r="P14" i="91"/>
  <c r="N14" i="91"/>
  <c r="L14" i="91"/>
  <c r="H14" i="91"/>
  <c r="F14" i="91"/>
  <c r="D14" i="91"/>
  <c r="Z12" i="91"/>
  <c r="T12" i="91"/>
  <c r="V78" i="91" s="1"/>
  <c r="P12" i="91"/>
  <c r="R71" i="91" s="1"/>
  <c r="N12" i="91"/>
  <c r="L12" i="91"/>
  <c r="H12" i="91"/>
  <c r="J37" i="91" s="1"/>
  <c r="D12" i="91"/>
  <c r="F54" i="91" s="1"/>
  <c r="D6" i="91"/>
  <c r="D4" i="91"/>
  <c r="V29" i="90"/>
  <c r="J29" i="90"/>
  <c r="V26" i="90"/>
  <c r="Z24" i="90"/>
  <c r="X24" i="90"/>
  <c r="V24" i="90"/>
  <c r="N24" i="90"/>
  <c r="L24" i="90"/>
  <c r="F24" i="90"/>
  <c r="F22" i="90"/>
  <c r="Z20" i="90"/>
  <c r="T20" i="90"/>
  <c r="X20" i="90" s="1"/>
  <c r="R20" i="90"/>
  <c r="P20" i="90"/>
  <c r="N20" i="90"/>
  <c r="H20" i="90"/>
  <c r="F20" i="90"/>
  <c r="D20" i="90"/>
  <c r="Z18" i="90"/>
  <c r="X18" i="90"/>
  <c r="T18" i="90"/>
  <c r="R18" i="90"/>
  <c r="P18" i="90"/>
  <c r="H18" i="90"/>
  <c r="N18" i="90" s="1"/>
  <c r="F18" i="90"/>
  <c r="D18" i="90"/>
  <c r="L18" i="90" s="1"/>
  <c r="R16" i="90"/>
  <c r="F16" i="90"/>
  <c r="T14" i="90"/>
  <c r="R14" i="90"/>
  <c r="P14" i="90"/>
  <c r="J14" i="90"/>
  <c r="H14" i="90"/>
  <c r="N14" i="90" s="1"/>
  <c r="F14" i="90"/>
  <c r="D14" i="90"/>
  <c r="D16" i="90" s="1"/>
  <c r="Z12" i="90"/>
  <c r="X12" i="90"/>
  <c r="T12" i="90"/>
  <c r="V22" i="90" s="1"/>
  <c r="P12" i="90"/>
  <c r="N12" i="90"/>
  <c r="H12" i="90"/>
  <c r="J16" i="90" s="1"/>
  <c r="D12" i="90"/>
  <c r="F29" i="90" s="1"/>
  <c r="D6" i="90"/>
  <c r="D4" i="90"/>
  <c r="V26" i="89"/>
  <c r="Z24" i="89"/>
  <c r="X24" i="89"/>
  <c r="V24" i="89"/>
  <c r="N24" i="89"/>
  <c r="L24" i="89"/>
  <c r="J24" i="89"/>
  <c r="V20" i="89"/>
  <c r="T20" i="89"/>
  <c r="Z20" i="89" s="1"/>
  <c r="P20" i="89"/>
  <c r="H20" i="89"/>
  <c r="N20" i="89" s="1"/>
  <c r="D20" i="89"/>
  <c r="Z18" i="89"/>
  <c r="T18" i="89"/>
  <c r="R18" i="89"/>
  <c r="P18" i="89"/>
  <c r="X18" i="89" s="1"/>
  <c r="L18" i="89"/>
  <c r="H18" i="89"/>
  <c r="N18" i="89" s="1"/>
  <c r="D18" i="89"/>
  <c r="V16" i="89"/>
  <c r="T14" i="89"/>
  <c r="T16" i="89" s="1"/>
  <c r="P14" i="89"/>
  <c r="N14" i="89"/>
  <c r="H14" i="89"/>
  <c r="L14" i="89" s="1"/>
  <c r="D14" i="89"/>
  <c r="T12" i="89"/>
  <c r="V18" i="89" s="1"/>
  <c r="P12" i="89"/>
  <c r="R22" i="89" s="1"/>
  <c r="N12" i="89"/>
  <c r="H12" i="89"/>
  <c r="D12" i="89"/>
  <c r="D6" i="89"/>
  <c r="D4" i="89"/>
  <c r="V39" i="88"/>
  <c r="R39" i="88"/>
  <c r="V36" i="88"/>
  <c r="Z34" i="88"/>
  <c r="X34" i="88"/>
  <c r="N34" i="88"/>
  <c r="L34" i="88"/>
  <c r="R32" i="88"/>
  <c r="Z30" i="88"/>
  <c r="T30" i="88"/>
  <c r="X30" i="88" s="1"/>
  <c r="R30" i="88"/>
  <c r="P30" i="88"/>
  <c r="J30" i="88"/>
  <c r="H30" i="88"/>
  <c r="N30" i="88" s="1"/>
  <c r="D30" i="88"/>
  <c r="L30" i="88" s="1"/>
  <c r="Z28" i="88"/>
  <c r="X28" i="88"/>
  <c r="R28" i="88"/>
  <c r="N28" i="88"/>
  <c r="L28" i="88"/>
  <c r="J28" i="88"/>
  <c r="B28" i="88"/>
  <c r="X27" i="88"/>
  <c r="T27" i="88"/>
  <c r="Z27" i="88" s="1"/>
  <c r="R27" i="88"/>
  <c r="P27" i="88"/>
  <c r="N27" i="88"/>
  <c r="H27" i="88"/>
  <c r="D27" i="88"/>
  <c r="L27" i="88" s="1"/>
  <c r="B27" i="88"/>
  <c r="Z26" i="88"/>
  <c r="X26" i="88"/>
  <c r="N26" i="88"/>
  <c r="L26" i="88"/>
  <c r="J26" i="88"/>
  <c r="B26" i="88"/>
  <c r="V25" i="88"/>
  <c r="T25" i="88"/>
  <c r="Z25" i="88" s="1"/>
  <c r="P25" i="88"/>
  <c r="X25" i="88" s="1"/>
  <c r="H25" i="88"/>
  <c r="N25" i="88" s="1"/>
  <c r="D25" i="88"/>
  <c r="B25" i="88"/>
  <c r="Z24" i="88"/>
  <c r="X24" i="88"/>
  <c r="R24" i="88"/>
  <c r="N24" i="88"/>
  <c r="L24" i="88"/>
  <c r="B24" i="88"/>
  <c r="V23" i="88"/>
  <c r="T23" i="88"/>
  <c r="Z23" i="88" s="1"/>
  <c r="R23" i="88"/>
  <c r="P23" i="88"/>
  <c r="X23" i="88" s="1"/>
  <c r="N23" i="88"/>
  <c r="J23" i="88"/>
  <c r="H23" i="88"/>
  <c r="D23" i="88"/>
  <c r="L23" i="88" s="1"/>
  <c r="B23" i="88"/>
  <c r="X22" i="88"/>
  <c r="Z22" i="88" s="1"/>
  <c r="R22" i="88"/>
  <c r="N22" i="88"/>
  <c r="L22" i="88"/>
  <c r="B22" i="88"/>
  <c r="X21" i="88"/>
  <c r="T21" i="88"/>
  <c r="Z21" i="88" s="1"/>
  <c r="R21" i="88"/>
  <c r="P21" i="88"/>
  <c r="H21" i="88"/>
  <c r="D21" i="88"/>
  <c r="L21" i="88" s="1"/>
  <c r="N21" i="88" s="1"/>
  <c r="B21" i="88"/>
  <c r="Z20" i="88"/>
  <c r="X20" i="88"/>
  <c r="R20" i="88"/>
  <c r="N20" i="88"/>
  <c r="L20" i="88"/>
  <c r="J20" i="88"/>
  <c r="B20" i="88"/>
  <c r="Z19" i="88"/>
  <c r="X19" i="88"/>
  <c r="T19" i="88"/>
  <c r="P19" i="88"/>
  <c r="N19" i="88"/>
  <c r="J19" i="88"/>
  <c r="H19" i="88"/>
  <c r="D19" i="88"/>
  <c r="L19" i="88" s="1"/>
  <c r="B19" i="88"/>
  <c r="T18" i="88"/>
  <c r="P18" i="88"/>
  <c r="J18" i="88"/>
  <c r="H18" i="88"/>
  <c r="D18" i="88"/>
  <c r="L18" i="88" s="1"/>
  <c r="J16" i="88"/>
  <c r="Z14" i="88"/>
  <c r="T14" i="88"/>
  <c r="P14" i="88"/>
  <c r="X14" i="88" s="1"/>
  <c r="L14" i="88"/>
  <c r="J14" i="88"/>
  <c r="H14" i="88"/>
  <c r="H16" i="88" s="1"/>
  <c r="D14" i="88"/>
  <c r="Z12" i="88"/>
  <c r="T12" i="88"/>
  <c r="V27" i="88" s="1"/>
  <c r="P12" i="88"/>
  <c r="R34" i="88" s="1"/>
  <c r="H12" i="88"/>
  <c r="D12" i="88"/>
  <c r="D6" i="88"/>
  <c r="D4" i="88"/>
  <c r="Z88" i="87"/>
  <c r="X88" i="87"/>
  <c r="N88" i="87"/>
  <c r="L88" i="87"/>
  <c r="X84" i="87"/>
  <c r="T84" i="87"/>
  <c r="Z84" i="87" s="1"/>
  <c r="P84" i="87"/>
  <c r="N84" i="87"/>
  <c r="H84" i="87"/>
  <c r="D84" i="87"/>
  <c r="L84" i="87" s="1"/>
  <c r="Z82" i="87"/>
  <c r="X82" i="87"/>
  <c r="N82" i="87"/>
  <c r="L82" i="87"/>
  <c r="B82" i="87"/>
  <c r="Z81" i="87"/>
  <c r="T81" i="87"/>
  <c r="R81" i="87"/>
  <c r="P81" i="87"/>
  <c r="X81" i="87" s="1"/>
  <c r="H81" i="87"/>
  <c r="N81" i="87" s="1"/>
  <c r="D81" i="87"/>
  <c r="L81" i="87" s="1"/>
  <c r="B81" i="87"/>
  <c r="Z80" i="87"/>
  <c r="X80" i="87"/>
  <c r="N80" i="87"/>
  <c r="L80" i="87"/>
  <c r="B80" i="87"/>
  <c r="X79" i="87"/>
  <c r="T79" i="87"/>
  <c r="Z79" i="87" s="1"/>
  <c r="P79" i="87"/>
  <c r="N79" i="87"/>
  <c r="H79" i="87"/>
  <c r="D79" i="87"/>
  <c r="L79" i="87" s="1"/>
  <c r="B79" i="87"/>
  <c r="Z78" i="87"/>
  <c r="X78" i="87"/>
  <c r="N78" i="87"/>
  <c r="L78" i="87"/>
  <c r="B78" i="87"/>
  <c r="Z77" i="87"/>
  <c r="X77" i="87"/>
  <c r="T77" i="87"/>
  <c r="P77" i="87"/>
  <c r="N77" i="87"/>
  <c r="H77" i="87"/>
  <c r="D77" i="87"/>
  <c r="L77" i="87" s="1"/>
  <c r="B77" i="87"/>
  <c r="Z76" i="87"/>
  <c r="X76" i="87"/>
  <c r="N76" i="87"/>
  <c r="L76" i="87"/>
  <c r="F76" i="87"/>
  <c r="B76" i="87"/>
  <c r="Z75" i="87"/>
  <c r="X75" i="87"/>
  <c r="N75" i="87"/>
  <c r="L75" i="87"/>
  <c r="B75" i="87"/>
  <c r="Z74" i="87"/>
  <c r="X74" i="87"/>
  <c r="N74" i="87"/>
  <c r="L74" i="87"/>
  <c r="B74" i="87"/>
  <c r="Z73" i="87"/>
  <c r="X73" i="87"/>
  <c r="N73" i="87"/>
  <c r="L73" i="87"/>
  <c r="B73" i="87"/>
  <c r="Z72" i="87"/>
  <c r="X72" i="87"/>
  <c r="N72" i="87"/>
  <c r="L72" i="87"/>
  <c r="F72" i="87"/>
  <c r="B72" i="87"/>
  <c r="Z71" i="87"/>
  <c r="X71" i="87"/>
  <c r="N71" i="87"/>
  <c r="L71" i="87"/>
  <c r="B71" i="87"/>
  <c r="Z70" i="87"/>
  <c r="X70" i="87"/>
  <c r="N70" i="87"/>
  <c r="L70" i="87"/>
  <c r="B70" i="87"/>
  <c r="Z69" i="87"/>
  <c r="X69" i="87"/>
  <c r="N69" i="87"/>
  <c r="L69" i="87"/>
  <c r="B69" i="87"/>
  <c r="Z68" i="87"/>
  <c r="X68" i="87"/>
  <c r="N68" i="87"/>
  <c r="L68" i="87"/>
  <c r="B68" i="87"/>
  <c r="T67" i="87"/>
  <c r="Z67" i="87" s="1"/>
  <c r="P67" i="87"/>
  <c r="X67" i="87" s="1"/>
  <c r="N67" i="87"/>
  <c r="H67" i="87"/>
  <c r="F67" i="87"/>
  <c r="D67" i="87"/>
  <c r="L67" i="87" s="1"/>
  <c r="B67" i="87"/>
  <c r="Z66" i="87"/>
  <c r="X66" i="87"/>
  <c r="N66" i="87"/>
  <c r="L66" i="87"/>
  <c r="B66" i="87"/>
  <c r="Z65" i="87"/>
  <c r="T65" i="87"/>
  <c r="P65" i="87"/>
  <c r="X65" i="87" s="1"/>
  <c r="L65" i="87"/>
  <c r="H65" i="87"/>
  <c r="N65" i="87" s="1"/>
  <c r="D65" i="87"/>
  <c r="B65" i="87"/>
  <c r="Z64" i="87"/>
  <c r="X64" i="87"/>
  <c r="N64" i="87"/>
  <c r="L64" i="87"/>
  <c r="B64" i="87"/>
  <c r="Z63" i="87"/>
  <c r="X63" i="87"/>
  <c r="V63" i="87"/>
  <c r="N63" i="87"/>
  <c r="L63" i="87"/>
  <c r="B63" i="87"/>
  <c r="Z62" i="87"/>
  <c r="X62" i="87"/>
  <c r="N62" i="87"/>
  <c r="L62" i="87"/>
  <c r="B62" i="87"/>
  <c r="Z61" i="87"/>
  <c r="X61" i="87"/>
  <c r="N61" i="87"/>
  <c r="L61" i="87"/>
  <c r="B61" i="87"/>
  <c r="Z60" i="87"/>
  <c r="T60" i="87"/>
  <c r="X60" i="87" s="1"/>
  <c r="P60" i="87"/>
  <c r="H60" i="87"/>
  <c r="N60" i="87" s="1"/>
  <c r="D60" i="87"/>
  <c r="L60" i="87" s="1"/>
  <c r="B60" i="87"/>
  <c r="Z59" i="87"/>
  <c r="X59" i="87"/>
  <c r="N59" i="87"/>
  <c r="L59" i="87"/>
  <c r="B59" i="87"/>
  <c r="X58" i="87"/>
  <c r="T58" i="87"/>
  <c r="Z58" i="87" s="1"/>
  <c r="P58" i="87"/>
  <c r="N58" i="87"/>
  <c r="H58" i="87"/>
  <c r="D58" i="87"/>
  <c r="L58" i="87" s="1"/>
  <c r="B58" i="87"/>
  <c r="Z57" i="87"/>
  <c r="X57" i="87"/>
  <c r="N57" i="87"/>
  <c r="L57" i="87"/>
  <c r="B57" i="87"/>
  <c r="Z56" i="87"/>
  <c r="X56" i="87"/>
  <c r="N56" i="87"/>
  <c r="L56" i="87"/>
  <c r="B56" i="87"/>
  <c r="X55" i="87"/>
  <c r="T55" i="87"/>
  <c r="Z55" i="87" s="1"/>
  <c r="P55" i="87"/>
  <c r="N55" i="87"/>
  <c r="H55" i="87"/>
  <c r="D55" i="87"/>
  <c r="L55" i="87" s="1"/>
  <c r="B55" i="87"/>
  <c r="Z54" i="87"/>
  <c r="X54" i="87"/>
  <c r="L54" i="87"/>
  <c r="N54" i="87" s="1"/>
  <c r="B54" i="87"/>
  <c r="X53" i="87"/>
  <c r="Z53" i="87" s="1"/>
  <c r="T53" i="87"/>
  <c r="P53" i="87"/>
  <c r="J53" i="87"/>
  <c r="H53" i="87"/>
  <c r="D53" i="87"/>
  <c r="L53" i="87" s="1"/>
  <c r="N53" i="87" s="1"/>
  <c r="B53" i="87"/>
  <c r="Z52" i="87"/>
  <c r="X52" i="87"/>
  <c r="N52" i="87"/>
  <c r="L52" i="87"/>
  <c r="B52" i="87"/>
  <c r="T51" i="87"/>
  <c r="Z51" i="87" s="1"/>
  <c r="P51" i="87"/>
  <c r="N51" i="87"/>
  <c r="H51" i="87"/>
  <c r="F51" i="87"/>
  <c r="D51" i="87"/>
  <c r="L51" i="87" s="1"/>
  <c r="B51" i="87"/>
  <c r="X50" i="87"/>
  <c r="Z50" i="87" s="1"/>
  <c r="V50" i="87"/>
  <c r="N50" i="87"/>
  <c r="L50" i="87"/>
  <c r="B50" i="87"/>
  <c r="T49" i="87"/>
  <c r="P49" i="87"/>
  <c r="X49" i="87" s="1"/>
  <c r="Z49" i="87" s="1"/>
  <c r="L49" i="87"/>
  <c r="H49" i="87"/>
  <c r="N49" i="87" s="1"/>
  <c r="D49" i="87"/>
  <c r="B49" i="87"/>
  <c r="Z48" i="87"/>
  <c r="X48" i="87"/>
  <c r="N48" i="87"/>
  <c r="L48" i="87"/>
  <c r="B48" i="87"/>
  <c r="Z47" i="87"/>
  <c r="X47" i="87"/>
  <c r="V47" i="87"/>
  <c r="N47" i="87"/>
  <c r="L47" i="87"/>
  <c r="F47" i="87"/>
  <c r="B47" i="87"/>
  <c r="T46" i="87"/>
  <c r="Z46" i="87" s="1"/>
  <c r="P46" i="87"/>
  <c r="X46" i="87" s="1"/>
  <c r="H46" i="87"/>
  <c r="D46" i="87"/>
  <c r="B46" i="87"/>
  <c r="Z45" i="87"/>
  <c r="X45" i="87"/>
  <c r="N45" i="87"/>
  <c r="L45" i="87"/>
  <c r="B45" i="87"/>
  <c r="Z44" i="87"/>
  <c r="T44" i="87"/>
  <c r="P44" i="87"/>
  <c r="X44" i="87" s="1"/>
  <c r="L44" i="87"/>
  <c r="H44" i="87"/>
  <c r="N44" i="87" s="1"/>
  <c r="D44" i="87"/>
  <c r="B44" i="87"/>
  <c r="Z43" i="87"/>
  <c r="X43" i="87"/>
  <c r="N43" i="87"/>
  <c r="L43" i="87"/>
  <c r="J43" i="87"/>
  <c r="B43" i="87"/>
  <c r="Z42" i="87"/>
  <c r="X42" i="87"/>
  <c r="V42" i="87"/>
  <c r="T42" i="87"/>
  <c r="P42" i="87"/>
  <c r="H42" i="87"/>
  <c r="D42" i="87"/>
  <c r="B42" i="87"/>
  <c r="Z41" i="87"/>
  <c r="X41" i="87"/>
  <c r="N41" i="87"/>
  <c r="L41" i="87"/>
  <c r="B41" i="87"/>
  <c r="Z40" i="87"/>
  <c r="X40" i="87"/>
  <c r="N40" i="87"/>
  <c r="L40" i="87"/>
  <c r="B40" i="87"/>
  <c r="Z39" i="87"/>
  <c r="X39" i="87"/>
  <c r="N39" i="87"/>
  <c r="L39" i="87"/>
  <c r="F39" i="87"/>
  <c r="B39" i="87"/>
  <c r="Z38" i="87"/>
  <c r="X38" i="87"/>
  <c r="N38" i="87"/>
  <c r="L38" i="87"/>
  <c r="B38" i="87"/>
  <c r="Z37" i="87"/>
  <c r="X37" i="87"/>
  <c r="N37" i="87"/>
  <c r="L37" i="87"/>
  <c r="B37" i="87"/>
  <c r="Z36" i="87"/>
  <c r="X36" i="87"/>
  <c r="N36" i="87"/>
  <c r="L36" i="87"/>
  <c r="B36" i="87"/>
  <c r="Z35" i="87"/>
  <c r="X35" i="87"/>
  <c r="N35" i="87"/>
  <c r="L35" i="87"/>
  <c r="F35" i="87"/>
  <c r="B35" i="87"/>
  <c r="Z34" i="87"/>
  <c r="X34" i="87"/>
  <c r="N34" i="87"/>
  <c r="L34" i="87"/>
  <c r="B34" i="87"/>
  <c r="Z33" i="87"/>
  <c r="X33" i="87"/>
  <c r="N33" i="87"/>
  <c r="L33" i="87"/>
  <c r="B33" i="87"/>
  <c r="Z32" i="87"/>
  <c r="X32" i="87"/>
  <c r="N32" i="87"/>
  <c r="L32" i="87"/>
  <c r="B32" i="87"/>
  <c r="Z31" i="87"/>
  <c r="T31" i="87"/>
  <c r="P31" i="87"/>
  <c r="X31" i="87" s="1"/>
  <c r="N31" i="87"/>
  <c r="L31" i="87"/>
  <c r="H31" i="87"/>
  <c r="D31" i="87"/>
  <c r="B31" i="87"/>
  <c r="Z30" i="87"/>
  <c r="X30" i="87"/>
  <c r="N30" i="87"/>
  <c r="L30" i="87"/>
  <c r="B30" i="87"/>
  <c r="Z29" i="87"/>
  <c r="X29" i="87"/>
  <c r="N29" i="87"/>
  <c r="L29" i="87"/>
  <c r="B29" i="87"/>
  <c r="Z28" i="87"/>
  <c r="X28" i="87"/>
  <c r="N28" i="87"/>
  <c r="L28" i="87"/>
  <c r="F28" i="87"/>
  <c r="B28" i="87"/>
  <c r="Z27" i="87"/>
  <c r="X27" i="87"/>
  <c r="N27" i="87"/>
  <c r="L27" i="87"/>
  <c r="B27" i="87"/>
  <c r="Z26" i="87"/>
  <c r="X26" i="87"/>
  <c r="N26" i="87"/>
  <c r="L26" i="87"/>
  <c r="J26" i="87"/>
  <c r="B26" i="87"/>
  <c r="Z25" i="87"/>
  <c r="X25" i="87"/>
  <c r="N25" i="87"/>
  <c r="L25" i="87"/>
  <c r="B25" i="87"/>
  <c r="Z24" i="87"/>
  <c r="X24" i="87"/>
  <c r="N24" i="87"/>
  <c r="L24" i="87"/>
  <c r="F24" i="87"/>
  <c r="B24" i="87"/>
  <c r="Z23" i="87"/>
  <c r="X23" i="87"/>
  <c r="N23" i="87"/>
  <c r="L23" i="87"/>
  <c r="B23" i="87"/>
  <c r="X22" i="87"/>
  <c r="T22" i="87"/>
  <c r="Z22" i="87" s="1"/>
  <c r="P22" i="87"/>
  <c r="N22" i="87"/>
  <c r="H22" i="87"/>
  <c r="D22" i="87"/>
  <c r="L22" i="87" s="1"/>
  <c r="B22" i="87"/>
  <c r="T21" i="87"/>
  <c r="P21" i="87"/>
  <c r="H21" i="87"/>
  <c r="F21" i="87"/>
  <c r="D21" i="87"/>
  <c r="L21" i="87" s="1"/>
  <c r="R19" i="87"/>
  <c r="F19" i="87"/>
  <c r="Z17" i="87"/>
  <c r="X17" i="87"/>
  <c r="N17" i="87"/>
  <c r="L17" i="87"/>
  <c r="B17" i="87"/>
  <c r="T16" i="87"/>
  <c r="Z16" i="87" s="1"/>
  <c r="P16" i="87"/>
  <c r="N16" i="87"/>
  <c r="L16" i="87"/>
  <c r="J16" i="87"/>
  <c r="H16" i="87"/>
  <c r="D16" i="87"/>
  <c r="Z14" i="87"/>
  <c r="X14" i="87"/>
  <c r="P14" i="87"/>
  <c r="N14" i="87"/>
  <c r="L14" i="87"/>
  <c r="D14" i="87"/>
  <c r="B14" i="87"/>
  <c r="Z13" i="87"/>
  <c r="X13" i="87"/>
  <c r="P13" i="87"/>
  <c r="P12" i="87" s="1"/>
  <c r="N13" i="87"/>
  <c r="D13" i="87"/>
  <c r="D12" i="87" s="1"/>
  <c r="F68" i="87" s="1"/>
  <c r="B13" i="87"/>
  <c r="T12" i="87"/>
  <c r="V39" i="87" s="1"/>
  <c r="L12" i="87"/>
  <c r="H12" i="87"/>
  <c r="D6" i="87"/>
  <c r="D4" i="87"/>
  <c r="X30" i="85"/>
  <c r="Z30" i="85" s="1"/>
  <c r="V30" i="85"/>
  <c r="N30" i="85"/>
  <c r="L30" i="85"/>
  <c r="Z26" i="85"/>
  <c r="X26" i="85"/>
  <c r="V26" i="85"/>
  <c r="T26" i="85"/>
  <c r="P26" i="85"/>
  <c r="N26" i="85"/>
  <c r="H26" i="85"/>
  <c r="D26" i="85"/>
  <c r="L26" i="85" s="1"/>
  <c r="X24" i="85"/>
  <c r="Z24" i="85" s="1"/>
  <c r="V24" i="85"/>
  <c r="N24" i="85"/>
  <c r="L24" i="85"/>
  <c r="J24" i="85"/>
  <c r="B24" i="85"/>
  <c r="V23" i="85"/>
  <c r="T23" i="85"/>
  <c r="P23" i="85"/>
  <c r="X23" i="85" s="1"/>
  <c r="H23" i="85"/>
  <c r="D23" i="85"/>
  <c r="B23" i="85"/>
  <c r="T22" i="85"/>
  <c r="P22" i="85"/>
  <c r="N22" i="85"/>
  <c r="L22" i="85"/>
  <c r="J22" i="85"/>
  <c r="H22" i="85"/>
  <c r="D22" i="85"/>
  <c r="T20" i="85"/>
  <c r="Z18" i="85"/>
  <c r="X18" i="85"/>
  <c r="N18" i="85"/>
  <c r="L18" i="85"/>
  <c r="J18" i="85"/>
  <c r="B18" i="85"/>
  <c r="X17" i="85"/>
  <c r="Z17" i="85" s="1"/>
  <c r="N17" i="85"/>
  <c r="L17" i="85"/>
  <c r="J17" i="85"/>
  <c r="B17" i="85"/>
  <c r="X16" i="85"/>
  <c r="Z16" i="85" s="1"/>
  <c r="V16" i="85"/>
  <c r="T16" i="85"/>
  <c r="P16" i="85"/>
  <c r="H16" i="85"/>
  <c r="D16" i="85"/>
  <c r="Z14" i="85"/>
  <c r="P14" i="85"/>
  <c r="X14" i="85" s="1"/>
  <c r="N14" i="85"/>
  <c r="D14" i="85"/>
  <c r="L14" i="85" s="1"/>
  <c r="B14" i="85"/>
  <c r="P13" i="85"/>
  <c r="D13" i="85"/>
  <c r="B13" i="85"/>
  <c r="T12" i="85"/>
  <c r="V17" i="85" s="1"/>
  <c r="H12" i="85"/>
  <c r="D6" i="85"/>
  <c r="D4" i="85"/>
  <c r="X116" i="84"/>
  <c r="Z116" i="84" s="1"/>
  <c r="L116" i="84"/>
  <c r="N116" i="84" s="1"/>
  <c r="T112" i="84"/>
  <c r="Z112" i="84" s="1"/>
  <c r="P112" i="84"/>
  <c r="X112" i="84" s="1"/>
  <c r="N112" i="84"/>
  <c r="H112" i="84"/>
  <c r="D112" i="84"/>
  <c r="L112" i="84" s="1"/>
  <c r="X110" i="84"/>
  <c r="Z110" i="84" s="1"/>
  <c r="L110" i="84"/>
  <c r="N110" i="84" s="1"/>
  <c r="B110" i="84"/>
  <c r="T109" i="84"/>
  <c r="P109" i="84"/>
  <c r="X109" i="84" s="1"/>
  <c r="Z109" i="84" s="1"/>
  <c r="L109" i="84"/>
  <c r="H109" i="84"/>
  <c r="D109" i="84"/>
  <c r="B109" i="84"/>
  <c r="X108" i="84"/>
  <c r="Z108" i="84" s="1"/>
  <c r="N108" i="84"/>
  <c r="L108" i="84"/>
  <c r="B108" i="84"/>
  <c r="Z107" i="84"/>
  <c r="X107" i="84"/>
  <c r="N107" i="84"/>
  <c r="L107" i="84"/>
  <c r="B107" i="84"/>
  <c r="X106" i="84"/>
  <c r="Z106" i="84" s="1"/>
  <c r="T106" i="84"/>
  <c r="P106" i="84"/>
  <c r="L106" i="84"/>
  <c r="H106" i="84"/>
  <c r="D106" i="84"/>
  <c r="B106" i="84"/>
  <c r="Z105" i="84"/>
  <c r="X105" i="84"/>
  <c r="N105" i="84"/>
  <c r="L105" i="84"/>
  <c r="B105" i="84"/>
  <c r="Z104" i="84"/>
  <c r="T104" i="84"/>
  <c r="X104" i="84" s="1"/>
  <c r="P104" i="84"/>
  <c r="H104" i="84"/>
  <c r="N104" i="84" s="1"/>
  <c r="D104" i="84"/>
  <c r="L104" i="84" s="1"/>
  <c r="B104" i="84"/>
  <c r="Z103" i="84"/>
  <c r="X103" i="84"/>
  <c r="V103" i="84"/>
  <c r="N103" i="84"/>
  <c r="L103" i="84"/>
  <c r="B103" i="84"/>
  <c r="X102" i="84"/>
  <c r="Z102" i="84" s="1"/>
  <c r="N102" i="84"/>
  <c r="L102" i="84"/>
  <c r="B102" i="84"/>
  <c r="X101" i="84"/>
  <c r="Z101" i="84" s="1"/>
  <c r="T101" i="84"/>
  <c r="P101" i="84"/>
  <c r="H101" i="84"/>
  <c r="D101" i="84"/>
  <c r="L101" i="84" s="1"/>
  <c r="B101" i="84"/>
  <c r="X100" i="84"/>
  <c r="Z100" i="84" s="1"/>
  <c r="N100" i="84"/>
  <c r="L100" i="84"/>
  <c r="B100" i="84"/>
  <c r="X99" i="84"/>
  <c r="Z99" i="84" s="1"/>
  <c r="N99" i="84"/>
  <c r="L99" i="84"/>
  <c r="B99" i="84"/>
  <c r="Z98" i="84"/>
  <c r="X98" i="84"/>
  <c r="L98" i="84"/>
  <c r="N98" i="84" s="1"/>
  <c r="B98" i="84"/>
  <c r="X97" i="84"/>
  <c r="Z97" i="84" s="1"/>
  <c r="N97" i="84"/>
  <c r="L97" i="84"/>
  <c r="B97" i="84"/>
  <c r="Z96" i="84"/>
  <c r="X96" i="84"/>
  <c r="L96" i="84"/>
  <c r="N96" i="84" s="1"/>
  <c r="B96" i="84"/>
  <c r="Z95" i="84"/>
  <c r="X95" i="84"/>
  <c r="N95" i="84"/>
  <c r="L95" i="84"/>
  <c r="B95" i="84"/>
  <c r="X94" i="84"/>
  <c r="Z94" i="84" s="1"/>
  <c r="T94" i="84"/>
  <c r="P94" i="84"/>
  <c r="H94" i="84"/>
  <c r="D94" i="84"/>
  <c r="L94" i="84" s="1"/>
  <c r="N94" i="84" s="1"/>
  <c r="B94" i="84"/>
  <c r="Z93" i="84"/>
  <c r="X93" i="84"/>
  <c r="N93" i="84"/>
  <c r="L93" i="84"/>
  <c r="B93" i="84"/>
  <c r="X92" i="84"/>
  <c r="Z92" i="84" s="1"/>
  <c r="V92" i="84"/>
  <c r="N92" i="84"/>
  <c r="L92" i="84"/>
  <c r="B92" i="84"/>
  <c r="T91" i="84"/>
  <c r="Z91" i="84" s="1"/>
  <c r="P91" i="84"/>
  <c r="X91" i="84" s="1"/>
  <c r="N91" i="84"/>
  <c r="H91" i="84"/>
  <c r="D91" i="84"/>
  <c r="L91" i="84" s="1"/>
  <c r="B91" i="84"/>
  <c r="Z90" i="84"/>
  <c r="X90" i="84"/>
  <c r="N90" i="84"/>
  <c r="L90" i="84"/>
  <c r="B90" i="84"/>
  <c r="X89" i="84"/>
  <c r="Z89" i="84" s="1"/>
  <c r="L89" i="84"/>
  <c r="N89" i="84" s="1"/>
  <c r="B89" i="84"/>
  <c r="Z88" i="84"/>
  <c r="X88" i="84"/>
  <c r="N88" i="84"/>
  <c r="L88" i="84"/>
  <c r="B88" i="84"/>
  <c r="X87" i="84"/>
  <c r="T87" i="84"/>
  <c r="P87" i="84"/>
  <c r="H87" i="84"/>
  <c r="D87" i="84"/>
  <c r="B87" i="84"/>
  <c r="X86" i="84"/>
  <c r="Z86" i="84" s="1"/>
  <c r="L86" i="84"/>
  <c r="N86" i="84" s="1"/>
  <c r="B86" i="84"/>
  <c r="Z85" i="84"/>
  <c r="X85" i="84"/>
  <c r="N85" i="84"/>
  <c r="L85" i="84"/>
  <c r="B85" i="84"/>
  <c r="T84" i="84"/>
  <c r="P84" i="84"/>
  <c r="X84" i="84" s="1"/>
  <c r="Z84" i="84" s="1"/>
  <c r="L84" i="84"/>
  <c r="N84" i="84" s="1"/>
  <c r="H84" i="84"/>
  <c r="D84" i="84"/>
  <c r="B84" i="84"/>
  <c r="X83" i="84"/>
  <c r="Z83" i="84" s="1"/>
  <c r="L83" i="84"/>
  <c r="N83" i="84" s="1"/>
  <c r="B83" i="84"/>
  <c r="X82" i="84"/>
  <c r="T82" i="84"/>
  <c r="Z82" i="84" s="1"/>
  <c r="P82" i="84"/>
  <c r="H82" i="84"/>
  <c r="D82" i="84"/>
  <c r="B82" i="84"/>
  <c r="X81" i="84"/>
  <c r="Z81" i="84" s="1"/>
  <c r="N81" i="84"/>
  <c r="L81" i="84"/>
  <c r="B81" i="84"/>
  <c r="Z80" i="84"/>
  <c r="X80" i="84"/>
  <c r="T80" i="84"/>
  <c r="P80" i="84"/>
  <c r="N80" i="84"/>
  <c r="H80" i="84"/>
  <c r="D80" i="84"/>
  <c r="L80" i="84" s="1"/>
  <c r="B80" i="84"/>
  <c r="Z79" i="84"/>
  <c r="X79" i="84"/>
  <c r="L79" i="84"/>
  <c r="N79" i="84" s="1"/>
  <c r="B79" i="84"/>
  <c r="X78" i="84"/>
  <c r="Z78" i="84" s="1"/>
  <c r="T78" i="84"/>
  <c r="P78" i="84"/>
  <c r="H78" i="84"/>
  <c r="D78" i="84"/>
  <c r="L78" i="84" s="1"/>
  <c r="N78" i="84" s="1"/>
  <c r="B78" i="84"/>
  <c r="Z77" i="84"/>
  <c r="X77" i="84"/>
  <c r="L77" i="84"/>
  <c r="N77" i="84" s="1"/>
  <c r="B77" i="84"/>
  <c r="T76" i="84"/>
  <c r="P76" i="84"/>
  <c r="X76" i="84" s="1"/>
  <c r="L76" i="84"/>
  <c r="N76" i="84" s="1"/>
  <c r="H76" i="84"/>
  <c r="D76" i="84"/>
  <c r="B76" i="84"/>
  <c r="Z75" i="84"/>
  <c r="X75" i="84"/>
  <c r="N75" i="84"/>
  <c r="L75" i="84"/>
  <c r="B75" i="84"/>
  <c r="Z74" i="84"/>
  <c r="X74" i="84"/>
  <c r="N74" i="84"/>
  <c r="L74" i="84"/>
  <c r="B74" i="84"/>
  <c r="T73" i="84"/>
  <c r="P73" i="84"/>
  <c r="L73" i="84"/>
  <c r="H73" i="84"/>
  <c r="N73" i="84" s="1"/>
  <c r="D73" i="84"/>
  <c r="B73" i="84"/>
  <c r="Z72" i="84"/>
  <c r="X72" i="84"/>
  <c r="L72" i="84"/>
  <c r="N72" i="84" s="1"/>
  <c r="B72" i="84"/>
  <c r="T71" i="84"/>
  <c r="Z71" i="84" s="1"/>
  <c r="P71" i="84"/>
  <c r="X71" i="84" s="1"/>
  <c r="H71" i="84"/>
  <c r="D71" i="84"/>
  <c r="L71" i="84" s="1"/>
  <c r="B71" i="84"/>
  <c r="Z70" i="84"/>
  <c r="X70" i="84"/>
  <c r="N70" i="84"/>
  <c r="L70" i="84"/>
  <c r="B70" i="84"/>
  <c r="Z69" i="84"/>
  <c r="T69" i="84"/>
  <c r="P69" i="84"/>
  <c r="X69" i="84" s="1"/>
  <c r="H69" i="84"/>
  <c r="N69" i="84" s="1"/>
  <c r="D69" i="84"/>
  <c r="L69" i="84" s="1"/>
  <c r="B69" i="84"/>
  <c r="Z68" i="84"/>
  <c r="X68" i="84"/>
  <c r="N68" i="84"/>
  <c r="L68" i="84"/>
  <c r="B68" i="84"/>
  <c r="X67" i="84"/>
  <c r="T67" i="84"/>
  <c r="Z67" i="84" s="1"/>
  <c r="P67" i="84"/>
  <c r="H67" i="84"/>
  <c r="D67" i="84"/>
  <c r="B67" i="84"/>
  <c r="Z66" i="84"/>
  <c r="X66" i="84"/>
  <c r="N66" i="84"/>
  <c r="L66" i="84"/>
  <c r="B66" i="84"/>
  <c r="T65" i="84"/>
  <c r="P65" i="84"/>
  <c r="X65" i="84" s="1"/>
  <c r="H65" i="84"/>
  <c r="N65" i="84" s="1"/>
  <c r="D65" i="84"/>
  <c r="L65" i="84" s="1"/>
  <c r="B65" i="84"/>
  <c r="X64" i="84"/>
  <c r="Z64" i="84" s="1"/>
  <c r="N64" i="84"/>
  <c r="L64" i="84"/>
  <c r="B64" i="84"/>
  <c r="T63" i="84"/>
  <c r="Z63" i="84" s="1"/>
  <c r="P63" i="84"/>
  <c r="X63" i="84" s="1"/>
  <c r="N63" i="84"/>
  <c r="H63" i="84"/>
  <c r="D63" i="84"/>
  <c r="L63" i="84" s="1"/>
  <c r="B63" i="84"/>
  <c r="Z62" i="84"/>
  <c r="X62" i="84"/>
  <c r="L62" i="84"/>
  <c r="N62" i="84" s="1"/>
  <c r="B62" i="84"/>
  <c r="T61" i="84"/>
  <c r="P61" i="84"/>
  <c r="L61" i="84"/>
  <c r="J61" i="84"/>
  <c r="H61" i="84"/>
  <c r="N61" i="84" s="1"/>
  <c r="D61" i="84"/>
  <c r="B61" i="84"/>
  <c r="Z60" i="84"/>
  <c r="X60" i="84"/>
  <c r="N60" i="84"/>
  <c r="L60" i="84"/>
  <c r="B60" i="84"/>
  <c r="Z59" i="84"/>
  <c r="X59" i="84"/>
  <c r="N59" i="84"/>
  <c r="L59" i="84"/>
  <c r="B59" i="84"/>
  <c r="Z58" i="84"/>
  <c r="X58" i="84"/>
  <c r="N58" i="84"/>
  <c r="L58" i="84"/>
  <c r="B58" i="84"/>
  <c r="X57" i="84"/>
  <c r="Z57" i="84" s="1"/>
  <c r="N57" i="84"/>
  <c r="L57" i="84"/>
  <c r="B57" i="84"/>
  <c r="Z56" i="84"/>
  <c r="X56" i="84"/>
  <c r="N56" i="84"/>
  <c r="L56" i="84"/>
  <c r="B56" i="84"/>
  <c r="Z55" i="84"/>
  <c r="X55" i="84"/>
  <c r="N55" i="84"/>
  <c r="L55" i="84"/>
  <c r="B55" i="84"/>
  <c r="X54" i="84"/>
  <c r="Z54" i="84" s="1"/>
  <c r="N54" i="84"/>
  <c r="L54" i="84"/>
  <c r="B54" i="84"/>
  <c r="Z53" i="84"/>
  <c r="X53" i="84"/>
  <c r="N53" i="84"/>
  <c r="L53" i="84"/>
  <c r="B53" i="84"/>
  <c r="Z52" i="84"/>
  <c r="X52" i="84"/>
  <c r="L52" i="84"/>
  <c r="N52" i="84" s="1"/>
  <c r="B52" i="84"/>
  <c r="Z51" i="84"/>
  <c r="X51" i="84"/>
  <c r="N51" i="84"/>
  <c r="L51" i="84"/>
  <c r="B51" i="84"/>
  <c r="Z50" i="84"/>
  <c r="X50" i="84"/>
  <c r="T50" i="84"/>
  <c r="P50" i="84"/>
  <c r="H50" i="84"/>
  <c r="D50" i="84"/>
  <c r="L50" i="84" s="1"/>
  <c r="N50" i="84" s="1"/>
  <c r="B50" i="84"/>
  <c r="Z49" i="84"/>
  <c r="X49" i="84"/>
  <c r="L49" i="84"/>
  <c r="N49" i="84" s="1"/>
  <c r="B49" i="84"/>
  <c r="X48" i="84"/>
  <c r="Z48" i="84" s="1"/>
  <c r="N48" i="84"/>
  <c r="L48" i="84"/>
  <c r="B48" i="84"/>
  <c r="X47" i="84"/>
  <c r="Z47" i="84" s="1"/>
  <c r="L47" i="84"/>
  <c r="N47" i="84" s="1"/>
  <c r="B47" i="84"/>
  <c r="Z46" i="84"/>
  <c r="X46" i="84"/>
  <c r="N46" i="84"/>
  <c r="L46" i="84"/>
  <c r="B46" i="84"/>
  <c r="Z45" i="84"/>
  <c r="X45" i="84"/>
  <c r="L45" i="84"/>
  <c r="N45" i="84" s="1"/>
  <c r="B45" i="84"/>
  <c r="X44" i="84"/>
  <c r="Z44" i="84" s="1"/>
  <c r="N44" i="84"/>
  <c r="L44" i="84"/>
  <c r="B44" i="84"/>
  <c r="X43" i="84"/>
  <c r="Z43" i="84" s="1"/>
  <c r="L43" i="84"/>
  <c r="N43" i="84" s="1"/>
  <c r="B43" i="84"/>
  <c r="X42" i="84"/>
  <c r="Z42" i="84" s="1"/>
  <c r="N42" i="84"/>
  <c r="L42" i="84"/>
  <c r="B42" i="84"/>
  <c r="Z41" i="84"/>
  <c r="X41" i="84"/>
  <c r="L41" i="84"/>
  <c r="N41" i="84" s="1"/>
  <c r="B41" i="84"/>
  <c r="T40" i="84"/>
  <c r="P40" i="84"/>
  <c r="H40" i="84"/>
  <c r="D40" i="84"/>
  <c r="L40" i="84" s="1"/>
  <c r="B40" i="84"/>
  <c r="T39" i="84"/>
  <c r="V39" i="84" s="1"/>
  <c r="P39" i="84"/>
  <c r="X39" i="84" s="1"/>
  <c r="H39" i="84"/>
  <c r="D39" i="84"/>
  <c r="Z35" i="84"/>
  <c r="X35" i="84"/>
  <c r="N35" i="84"/>
  <c r="L35" i="84"/>
  <c r="B35" i="84"/>
  <c r="Z34" i="84"/>
  <c r="X34" i="84"/>
  <c r="L34" i="84"/>
  <c r="N34" i="84" s="1"/>
  <c r="B34" i="84"/>
  <c r="T33" i="84"/>
  <c r="P33" i="84"/>
  <c r="L33" i="84"/>
  <c r="H33" i="84"/>
  <c r="N33" i="84" s="1"/>
  <c r="D33" i="84"/>
  <c r="Z31" i="84"/>
  <c r="X31" i="84"/>
  <c r="P31" i="84"/>
  <c r="N31" i="84"/>
  <c r="D31" i="84"/>
  <c r="L31" i="84" s="1"/>
  <c r="B31" i="84"/>
  <c r="Z30" i="84"/>
  <c r="X30" i="84"/>
  <c r="P30" i="84"/>
  <c r="N30" i="84"/>
  <c r="L30" i="84"/>
  <c r="D30" i="84"/>
  <c r="B30" i="84"/>
  <c r="Z29" i="84"/>
  <c r="X29" i="84"/>
  <c r="P29" i="84"/>
  <c r="N29" i="84"/>
  <c r="D29" i="84"/>
  <c r="L29" i="84" s="1"/>
  <c r="B29" i="84"/>
  <c r="Z28" i="84"/>
  <c r="X28" i="84"/>
  <c r="P28" i="84"/>
  <c r="N28" i="84"/>
  <c r="L28" i="84"/>
  <c r="D28" i="84"/>
  <c r="B28" i="84"/>
  <c r="Z27" i="84"/>
  <c r="X27" i="84"/>
  <c r="P27" i="84"/>
  <c r="N27" i="84"/>
  <c r="L27" i="84"/>
  <c r="D27" i="84"/>
  <c r="B27" i="84"/>
  <c r="Z26" i="84"/>
  <c r="P26" i="84"/>
  <c r="X26" i="84" s="1"/>
  <c r="N26" i="84"/>
  <c r="L26" i="84"/>
  <c r="D26" i="84"/>
  <c r="B26" i="84"/>
  <c r="Z25" i="84"/>
  <c r="X25" i="84"/>
  <c r="P25" i="84"/>
  <c r="N25" i="84"/>
  <c r="L25" i="84"/>
  <c r="D25" i="84"/>
  <c r="B25" i="84"/>
  <c r="Z24" i="84"/>
  <c r="P24" i="84"/>
  <c r="X24" i="84" s="1"/>
  <c r="N24" i="84"/>
  <c r="L24" i="84"/>
  <c r="D24" i="84"/>
  <c r="B24" i="84"/>
  <c r="Z23" i="84"/>
  <c r="X23" i="84"/>
  <c r="P23" i="84"/>
  <c r="N23" i="84"/>
  <c r="D23" i="84"/>
  <c r="L23" i="84" s="1"/>
  <c r="B23" i="84"/>
  <c r="Z22" i="84"/>
  <c r="P22" i="84"/>
  <c r="X22" i="84" s="1"/>
  <c r="N22" i="84"/>
  <c r="D22" i="84"/>
  <c r="L22" i="84" s="1"/>
  <c r="B22" i="84"/>
  <c r="Z21" i="84"/>
  <c r="X21" i="84"/>
  <c r="P21" i="84"/>
  <c r="N21" i="84"/>
  <c r="D21" i="84"/>
  <c r="L21" i="84" s="1"/>
  <c r="B21" i="84"/>
  <c r="Z20" i="84"/>
  <c r="P20" i="84"/>
  <c r="X20" i="84" s="1"/>
  <c r="N20" i="84"/>
  <c r="L20" i="84"/>
  <c r="D20" i="84"/>
  <c r="B20" i="84"/>
  <c r="Z19" i="84"/>
  <c r="X19" i="84"/>
  <c r="P19" i="84"/>
  <c r="N19" i="84"/>
  <c r="D19" i="84"/>
  <c r="L19" i="84" s="1"/>
  <c r="B19" i="84"/>
  <c r="Z18" i="84"/>
  <c r="X18" i="84"/>
  <c r="P18" i="84"/>
  <c r="N18" i="84"/>
  <c r="L18" i="84"/>
  <c r="D18" i="84"/>
  <c r="B18" i="84"/>
  <c r="Z17" i="84"/>
  <c r="X17" i="84"/>
  <c r="P17" i="84"/>
  <c r="N17" i="84"/>
  <c r="D17" i="84"/>
  <c r="L17" i="84" s="1"/>
  <c r="B17" i="84"/>
  <c r="Z16" i="84"/>
  <c r="X16" i="84"/>
  <c r="P16" i="84"/>
  <c r="N16" i="84"/>
  <c r="L16" i="84"/>
  <c r="D16" i="84"/>
  <c r="B16" i="84"/>
  <c r="Z15" i="84"/>
  <c r="X15" i="84"/>
  <c r="P15" i="84"/>
  <c r="N15" i="84"/>
  <c r="L15" i="84"/>
  <c r="D15" i="84"/>
  <c r="B15" i="84"/>
  <c r="Z14" i="84"/>
  <c r="P14" i="84"/>
  <c r="X14" i="84" s="1"/>
  <c r="N14" i="84"/>
  <c r="L14" i="84"/>
  <c r="D14" i="84"/>
  <c r="B14" i="84"/>
  <c r="P13" i="84"/>
  <c r="N13" i="84"/>
  <c r="L13" i="84"/>
  <c r="D13" i="84"/>
  <c r="B13" i="84"/>
  <c r="T12" i="84"/>
  <c r="H12" i="84"/>
  <c r="J52" i="84" s="1"/>
  <c r="D6" i="84"/>
  <c r="D4" i="84"/>
  <c r="Z85" i="83"/>
  <c r="X85" i="83"/>
  <c r="V85" i="83"/>
  <c r="N85" i="83"/>
  <c r="L85" i="83"/>
  <c r="Z81" i="83"/>
  <c r="X81" i="83"/>
  <c r="T81" i="83"/>
  <c r="P81" i="83"/>
  <c r="N81" i="83"/>
  <c r="J81" i="83"/>
  <c r="H81" i="83"/>
  <c r="D81" i="83"/>
  <c r="L81" i="83" s="1"/>
  <c r="Z79" i="83"/>
  <c r="X79" i="83"/>
  <c r="N79" i="83"/>
  <c r="L79" i="83"/>
  <c r="J79" i="83"/>
  <c r="B79" i="83"/>
  <c r="T78" i="83"/>
  <c r="P78" i="83"/>
  <c r="H78" i="83"/>
  <c r="D78" i="83"/>
  <c r="B78" i="83"/>
  <c r="Z77" i="83"/>
  <c r="X77" i="83"/>
  <c r="V77" i="83"/>
  <c r="N77" i="83"/>
  <c r="L77" i="83"/>
  <c r="B77" i="83"/>
  <c r="X76" i="83"/>
  <c r="Z76" i="83" s="1"/>
  <c r="L76" i="83"/>
  <c r="N76" i="83" s="1"/>
  <c r="J76" i="83"/>
  <c r="B76" i="83"/>
  <c r="V75" i="83"/>
  <c r="T75" i="83"/>
  <c r="P75" i="83"/>
  <c r="X75" i="83" s="1"/>
  <c r="Z75" i="83" s="1"/>
  <c r="J75" i="83"/>
  <c r="H75" i="83"/>
  <c r="D75" i="83"/>
  <c r="L75" i="83" s="1"/>
  <c r="B75" i="83"/>
  <c r="X74" i="83"/>
  <c r="Z74" i="83" s="1"/>
  <c r="L74" i="83"/>
  <c r="N74" i="83" s="1"/>
  <c r="B74" i="83"/>
  <c r="Z73" i="83"/>
  <c r="X73" i="83"/>
  <c r="N73" i="83"/>
  <c r="L73" i="83"/>
  <c r="J73" i="83"/>
  <c r="B73" i="83"/>
  <c r="Z72" i="83"/>
  <c r="X72" i="83"/>
  <c r="V72" i="83"/>
  <c r="N72" i="83"/>
  <c r="L72" i="83"/>
  <c r="B72" i="83"/>
  <c r="Z71" i="83"/>
  <c r="X71" i="83"/>
  <c r="N71" i="83"/>
  <c r="L71" i="83"/>
  <c r="B71" i="83"/>
  <c r="Z70" i="83"/>
  <c r="X70" i="83"/>
  <c r="N70" i="83"/>
  <c r="L70" i="83"/>
  <c r="B70" i="83"/>
  <c r="Z69" i="83"/>
  <c r="X69" i="83"/>
  <c r="T69" i="83"/>
  <c r="P69" i="83"/>
  <c r="N69" i="83"/>
  <c r="H69" i="83"/>
  <c r="D69" i="83"/>
  <c r="L69" i="83" s="1"/>
  <c r="B69" i="83"/>
  <c r="Z68" i="83"/>
  <c r="X68" i="83"/>
  <c r="L68" i="83"/>
  <c r="N68" i="83" s="1"/>
  <c r="B68" i="83"/>
  <c r="X67" i="83"/>
  <c r="Z67" i="83" s="1"/>
  <c r="V67" i="83"/>
  <c r="T67" i="83"/>
  <c r="P67" i="83"/>
  <c r="N67" i="83"/>
  <c r="J67" i="83"/>
  <c r="H67" i="83"/>
  <c r="D67" i="83"/>
  <c r="L67" i="83" s="1"/>
  <c r="B67" i="83"/>
  <c r="X66" i="83"/>
  <c r="Z66" i="83" s="1"/>
  <c r="L66" i="83"/>
  <c r="N66" i="83" s="1"/>
  <c r="B66" i="83"/>
  <c r="X65" i="83"/>
  <c r="Z65" i="83" s="1"/>
  <c r="V65" i="83"/>
  <c r="N65" i="83"/>
  <c r="L65" i="83"/>
  <c r="B65" i="83"/>
  <c r="X64" i="83"/>
  <c r="Z64" i="83" s="1"/>
  <c r="N64" i="83"/>
  <c r="L64" i="83"/>
  <c r="J64" i="83"/>
  <c r="B64" i="83"/>
  <c r="V63" i="83"/>
  <c r="T63" i="83"/>
  <c r="P63" i="83"/>
  <c r="X63" i="83" s="1"/>
  <c r="Z63" i="83" s="1"/>
  <c r="J63" i="83"/>
  <c r="H63" i="83"/>
  <c r="D63" i="83"/>
  <c r="B63" i="83"/>
  <c r="X62" i="83"/>
  <c r="Z62" i="83" s="1"/>
  <c r="L62" i="83"/>
  <c r="N62" i="83" s="1"/>
  <c r="B62" i="83"/>
  <c r="Z61" i="83"/>
  <c r="X61" i="83"/>
  <c r="N61" i="83"/>
  <c r="L61" i="83"/>
  <c r="J61" i="83"/>
  <c r="B61" i="83"/>
  <c r="X60" i="83"/>
  <c r="Z60" i="83" s="1"/>
  <c r="V60" i="83"/>
  <c r="N60" i="83"/>
  <c r="L60" i="83"/>
  <c r="B60" i="83"/>
  <c r="Z59" i="83"/>
  <c r="X59" i="83"/>
  <c r="N59" i="83"/>
  <c r="L59" i="83"/>
  <c r="J59" i="83"/>
  <c r="B59" i="83"/>
  <c r="T58" i="83"/>
  <c r="P58" i="83"/>
  <c r="H58" i="83"/>
  <c r="L58" i="83" s="1"/>
  <c r="D58" i="83"/>
  <c r="B58" i="83"/>
  <c r="Z57" i="83"/>
  <c r="X57" i="83"/>
  <c r="V57" i="83"/>
  <c r="N57" i="83"/>
  <c r="L57" i="83"/>
  <c r="J57" i="83"/>
  <c r="B57" i="83"/>
  <c r="T56" i="83"/>
  <c r="P56" i="83"/>
  <c r="X56" i="83" s="1"/>
  <c r="H56" i="83"/>
  <c r="D56" i="83"/>
  <c r="L56" i="83" s="1"/>
  <c r="B56" i="83"/>
  <c r="Z55" i="83"/>
  <c r="X55" i="83"/>
  <c r="V55" i="83"/>
  <c r="N55" i="83"/>
  <c r="L55" i="83"/>
  <c r="B55" i="83"/>
  <c r="X54" i="83"/>
  <c r="Z54" i="83" s="1"/>
  <c r="V54" i="83"/>
  <c r="T54" i="83"/>
  <c r="P54" i="83"/>
  <c r="H54" i="83"/>
  <c r="D54" i="83"/>
  <c r="L54" i="83" s="1"/>
  <c r="B54" i="83"/>
  <c r="Z53" i="83"/>
  <c r="X53" i="83"/>
  <c r="N53" i="83"/>
  <c r="L53" i="83"/>
  <c r="J53" i="83"/>
  <c r="B53" i="83"/>
  <c r="X52" i="83"/>
  <c r="V52" i="83"/>
  <c r="T52" i="83"/>
  <c r="P52" i="83"/>
  <c r="H52" i="83"/>
  <c r="D52" i="83"/>
  <c r="B52" i="83"/>
  <c r="X51" i="83"/>
  <c r="Z51" i="83" s="1"/>
  <c r="V51" i="83"/>
  <c r="N51" i="83"/>
  <c r="L51" i="83"/>
  <c r="J51" i="83"/>
  <c r="B51" i="83"/>
  <c r="Z50" i="83"/>
  <c r="X50" i="83"/>
  <c r="N50" i="83"/>
  <c r="L50" i="83"/>
  <c r="J50" i="83"/>
  <c r="B50" i="83"/>
  <c r="Z49" i="83"/>
  <c r="V49" i="83"/>
  <c r="T49" i="83"/>
  <c r="P49" i="83"/>
  <c r="X49" i="83" s="1"/>
  <c r="H49" i="83"/>
  <c r="D49" i="83"/>
  <c r="B49" i="83"/>
  <c r="X48" i="83"/>
  <c r="Z48" i="83" s="1"/>
  <c r="L48" i="83"/>
  <c r="N48" i="83" s="1"/>
  <c r="J48" i="83"/>
  <c r="B48" i="83"/>
  <c r="V47" i="83"/>
  <c r="T47" i="83"/>
  <c r="P47" i="83"/>
  <c r="X47" i="83" s="1"/>
  <c r="Z47" i="83" s="1"/>
  <c r="J47" i="83"/>
  <c r="H47" i="83"/>
  <c r="D47" i="83"/>
  <c r="L47" i="83" s="1"/>
  <c r="B47" i="83"/>
  <c r="X46" i="83"/>
  <c r="Z46" i="83" s="1"/>
  <c r="L46" i="83"/>
  <c r="N46" i="83" s="1"/>
  <c r="B46" i="83"/>
  <c r="X45" i="83"/>
  <c r="Z45" i="83" s="1"/>
  <c r="T45" i="83"/>
  <c r="P45" i="83"/>
  <c r="N45" i="83"/>
  <c r="H45" i="83"/>
  <c r="D45" i="83"/>
  <c r="L45" i="83" s="1"/>
  <c r="B45" i="83"/>
  <c r="Z44" i="83"/>
  <c r="X44" i="83"/>
  <c r="N44" i="83"/>
  <c r="L44" i="83"/>
  <c r="B44" i="83"/>
  <c r="X43" i="83"/>
  <c r="T43" i="83"/>
  <c r="V43" i="83" s="1"/>
  <c r="P43" i="83"/>
  <c r="N43" i="83"/>
  <c r="J43" i="83"/>
  <c r="H43" i="83"/>
  <c r="D43" i="83"/>
  <c r="L43" i="83" s="1"/>
  <c r="B43" i="83"/>
  <c r="Z42" i="83"/>
  <c r="X42" i="83"/>
  <c r="V42" i="83"/>
  <c r="N42" i="83"/>
  <c r="L42" i="83"/>
  <c r="B42" i="83"/>
  <c r="Z41" i="83"/>
  <c r="X41" i="83"/>
  <c r="V41" i="83"/>
  <c r="N41" i="83"/>
  <c r="L41" i="83"/>
  <c r="B41" i="83"/>
  <c r="X40" i="83"/>
  <c r="Z40" i="83" s="1"/>
  <c r="L40" i="83"/>
  <c r="N40" i="83" s="1"/>
  <c r="J40" i="83"/>
  <c r="B40" i="83"/>
  <c r="Z39" i="83"/>
  <c r="X39" i="83"/>
  <c r="V39" i="83"/>
  <c r="N39" i="83"/>
  <c r="L39" i="83"/>
  <c r="B39" i="83"/>
  <c r="Z38" i="83"/>
  <c r="X38" i="83"/>
  <c r="V38" i="83"/>
  <c r="N38" i="83"/>
  <c r="L38" i="83"/>
  <c r="B38" i="83"/>
  <c r="X37" i="83"/>
  <c r="Z37" i="83" s="1"/>
  <c r="V37" i="83"/>
  <c r="N37" i="83"/>
  <c r="L37" i="83"/>
  <c r="B37" i="83"/>
  <c r="Z36" i="83"/>
  <c r="X36" i="83"/>
  <c r="N36" i="83"/>
  <c r="L36" i="83"/>
  <c r="J36" i="83"/>
  <c r="B36" i="83"/>
  <c r="Z35" i="83"/>
  <c r="X35" i="83"/>
  <c r="V35" i="83"/>
  <c r="N35" i="83"/>
  <c r="L35" i="83"/>
  <c r="B35" i="83"/>
  <c r="Z34" i="83"/>
  <c r="X34" i="83"/>
  <c r="V34" i="83"/>
  <c r="L34" i="83"/>
  <c r="N34" i="83" s="1"/>
  <c r="B34" i="83"/>
  <c r="Z33" i="83"/>
  <c r="X33" i="83"/>
  <c r="V33" i="83"/>
  <c r="N33" i="83"/>
  <c r="L33" i="83"/>
  <c r="B33" i="83"/>
  <c r="T32" i="83"/>
  <c r="P32" i="83"/>
  <c r="X32" i="83" s="1"/>
  <c r="J32" i="83"/>
  <c r="H32" i="83"/>
  <c r="D32" i="83"/>
  <c r="L32" i="83" s="1"/>
  <c r="N32" i="83" s="1"/>
  <c r="B32" i="83"/>
  <c r="Z31" i="83"/>
  <c r="X31" i="83"/>
  <c r="N31" i="83"/>
  <c r="L31" i="83"/>
  <c r="J31" i="83"/>
  <c r="B31" i="83"/>
  <c r="X30" i="83"/>
  <c r="Z30" i="83" s="1"/>
  <c r="L30" i="83"/>
  <c r="N30" i="83" s="1"/>
  <c r="B30" i="83"/>
  <c r="Z29" i="83"/>
  <c r="X29" i="83"/>
  <c r="V29" i="83"/>
  <c r="N29" i="83"/>
  <c r="L29" i="83"/>
  <c r="J29" i="83"/>
  <c r="B29" i="83"/>
  <c r="X28" i="83"/>
  <c r="Z28" i="83" s="1"/>
  <c r="V28" i="83"/>
  <c r="L28" i="83"/>
  <c r="N28" i="83" s="1"/>
  <c r="B28" i="83"/>
  <c r="Z27" i="83"/>
  <c r="X27" i="83"/>
  <c r="L27" i="83"/>
  <c r="N27" i="83" s="1"/>
  <c r="J27" i="83"/>
  <c r="B27" i="83"/>
  <c r="X26" i="83"/>
  <c r="Z26" i="83" s="1"/>
  <c r="L26" i="83"/>
  <c r="N26" i="83" s="1"/>
  <c r="B26" i="83"/>
  <c r="Z25" i="83"/>
  <c r="X25" i="83"/>
  <c r="V25" i="83"/>
  <c r="N25" i="83"/>
  <c r="L25" i="83"/>
  <c r="J25" i="83"/>
  <c r="B25" i="83"/>
  <c r="X24" i="83"/>
  <c r="Z24" i="83" s="1"/>
  <c r="V24" i="83"/>
  <c r="L24" i="83"/>
  <c r="N24" i="83" s="1"/>
  <c r="B24" i="83"/>
  <c r="Z23" i="83"/>
  <c r="T23" i="83"/>
  <c r="P23" i="83"/>
  <c r="X23" i="83" s="1"/>
  <c r="N23" i="83"/>
  <c r="L23" i="83"/>
  <c r="J23" i="83"/>
  <c r="H23" i="83"/>
  <c r="D23" i="83"/>
  <c r="B23" i="83"/>
  <c r="T22" i="83"/>
  <c r="P22" i="83"/>
  <c r="X22" i="83" s="1"/>
  <c r="H22" i="83"/>
  <c r="D22" i="83"/>
  <c r="T20" i="83"/>
  <c r="H20" i="83"/>
  <c r="Z18" i="83"/>
  <c r="X18" i="83"/>
  <c r="N18" i="83"/>
  <c r="L18" i="83"/>
  <c r="J18" i="83"/>
  <c r="B18" i="83"/>
  <c r="Z17" i="83"/>
  <c r="X17" i="83"/>
  <c r="V17" i="83"/>
  <c r="N17" i="83"/>
  <c r="L17" i="83"/>
  <c r="J17" i="83"/>
  <c r="B17" i="83"/>
  <c r="X16" i="83"/>
  <c r="T16" i="83"/>
  <c r="P16" i="83"/>
  <c r="H16" i="83"/>
  <c r="D16" i="83"/>
  <c r="L16" i="83" s="1"/>
  <c r="X14" i="83"/>
  <c r="Z14" i="83" s="1"/>
  <c r="P14" i="83"/>
  <c r="D14" i="83"/>
  <c r="L14" i="83" s="1"/>
  <c r="N14" i="83" s="1"/>
  <c r="B14" i="83"/>
  <c r="P13" i="83"/>
  <c r="N13" i="83"/>
  <c r="D13" i="83"/>
  <c r="L13" i="83" s="1"/>
  <c r="B13" i="83"/>
  <c r="T12" i="83"/>
  <c r="V73" i="83" s="1"/>
  <c r="H12" i="83"/>
  <c r="J77" i="83" s="1"/>
  <c r="D6" i="83"/>
  <c r="D4" i="83"/>
  <c r="Z51" i="82"/>
  <c r="X51" i="82"/>
  <c r="L51" i="82"/>
  <c r="N51" i="82" s="1"/>
  <c r="T47" i="82"/>
  <c r="R47" i="82"/>
  <c r="P47" i="82"/>
  <c r="J47" i="82"/>
  <c r="H47" i="82"/>
  <c r="N47" i="82" s="1"/>
  <c r="D47" i="82"/>
  <c r="L47" i="82" s="1"/>
  <c r="Z45" i="82"/>
  <c r="X45" i="82"/>
  <c r="N45" i="82"/>
  <c r="L45" i="82"/>
  <c r="B45" i="82"/>
  <c r="Z44" i="82"/>
  <c r="X44" i="82"/>
  <c r="N44" i="82"/>
  <c r="L44" i="82"/>
  <c r="J44" i="82"/>
  <c r="B44" i="82"/>
  <c r="Z43" i="82"/>
  <c r="X43" i="82"/>
  <c r="N43" i="82"/>
  <c r="L43" i="82"/>
  <c r="J43" i="82"/>
  <c r="B43" i="82"/>
  <c r="Z42" i="82"/>
  <c r="X42" i="82"/>
  <c r="V42" i="82"/>
  <c r="N42" i="82"/>
  <c r="L42" i="82"/>
  <c r="B42" i="82"/>
  <c r="Z41" i="82"/>
  <c r="X41" i="82"/>
  <c r="N41" i="82"/>
  <c r="L41" i="82"/>
  <c r="B41" i="82"/>
  <c r="Z40" i="82"/>
  <c r="X40" i="82"/>
  <c r="N40" i="82"/>
  <c r="L40" i="82"/>
  <c r="B40" i="82"/>
  <c r="Z39" i="82"/>
  <c r="X39" i="82"/>
  <c r="N39" i="82"/>
  <c r="L39" i="82"/>
  <c r="J39" i="82"/>
  <c r="B39" i="82"/>
  <c r="Z38" i="82"/>
  <c r="X38" i="82"/>
  <c r="N38" i="82"/>
  <c r="L38" i="82"/>
  <c r="B38" i="82"/>
  <c r="Z37" i="82"/>
  <c r="X37" i="82"/>
  <c r="N37" i="82"/>
  <c r="L37" i="82"/>
  <c r="B37" i="82"/>
  <c r="Z36" i="82"/>
  <c r="X36" i="82"/>
  <c r="N36" i="82"/>
  <c r="L36" i="82"/>
  <c r="B36" i="82"/>
  <c r="X35" i="82"/>
  <c r="T35" i="82"/>
  <c r="Z35" i="82" s="1"/>
  <c r="P35" i="82"/>
  <c r="N35" i="82"/>
  <c r="J35" i="82"/>
  <c r="H35" i="82"/>
  <c r="D35" i="82"/>
  <c r="L35" i="82" s="1"/>
  <c r="B35" i="82"/>
  <c r="Z34" i="82"/>
  <c r="X34" i="82"/>
  <c r="N34" i="82"/>
  <c r="L34" i="82"/>
  <c r="B34" i="82"/>
  <c r="Z33" i="82"/>
  <c r="X33" i="82"/>
  <c r="N33" i="82"/>
  <c r="L33" i="82"/>
  <c r="B33" i="82"/>
  <c r="Z32" i="82"/>
  <c r="X32" i="82"/>
  <c r="N32" i="82"/>
  <c r="L32" i="82"/>
  <c r="J32" i="82"/>
  <c r="B32" i="82"/>
  <c r="Z31" i="82"/>
  <c r="X31" i="82"/>
  <c r="N31" i="82"/>
  <c r="L31" i="82"/>
  <c r="B31" i="82"/>
  <c r="Z30" i="82"/>
  <c r="X30" i="82"/>
  <c r="N30" i="82"/>
  <c r="L30" i="82"/>
  <c r="J30" i="82"/>
  <c r="B30" i="82"/>
  <c r="Z29" i="82"/>
  <c r="X29" i="82"/>
  <c r="N29" i="82"/>
  <c r="L29" i="82"/>
  <c r="B29" i="82"/>
  <c r="Z28" i="82"/>
  <c r="X28" i="82"/>
  <c r="N28" i="82"/>
  <c r="L28" i="82"/>
  <c r="J28" i="82"/>
  <c r="B28" i="82"/>
  <c r="Z27" i="82"/>
  <c r="X27" i="82"/>
  <c r="N27" i="82"/>
  <c r="L27" i="82"/>
  <c r="J27" i="82"/>
  <c r="B27" i="82"/>
  <c r="Z26" i="82"/>
  <c r="X26" i="82"/>
  <c r="T26" i="82"/>
  <c r="P26" i="82"/>
  <c r="N26" i="82"/>
  <c r="L26" i="82"/>
  <c r="H26" i="82"/>
  <c r="D26" i="82"/>
  <c r="B26" i="82"/>
  <c r="T25" i="82"/>
  <c r="Z25" i="82" s="1"/>
  <c r="P25" i="82"/>
  <c r="X25" i="82" s="1"/>
  <c r="H25" i="82"/>
  <c r="N25" i="82" s="1"/>
  <c r="D25" i="82"/>
  <c r="Z21" i="82"/>
  <c r="X21" i="82"/>
  <c r="N21" i="82"/>
  <c r="L21" i="82"/>
  <c r="J21" i="82"/>
  <c r="B21" i="82"/>
  <c r="Z20" i="82"/>
  <c r="X20" i="82"/>
  <c r="V20" i="82"/>
  <c r="R20" i="82"/>
  <c r="N20" i="82"/>
  <c r="L20" i="82"/>
  <c r="J20" i="82"/>
  <c r="B20" i="82"/>
  <c r="Z19" i="82"/>
  <c r="X19" i="82"/>
  <c r="L19" i="82"/>
  <c r="N19" i="82" s="1"/>
  <c r="J19" i="82"/>
  <c r="B19" i="82"/>
  <c r="T18" i="82"/>
  <c r="X18" i="82" s="1"/>
  <c r="Z18" i="82" s="1"/>
  <c r="P18" i="82"/>
  <c r="J18" i="82"/>
  <c r="H18" i="82"/>
  <c r="D18" i="82"/>
  <c r="L18" i="82" s="1"/>
  <c r="Z16" i="82"/>
  <c r="P16" i="82"/>
  <c r="X16" i="82" s="1"/>
  <c r="N16" i="82"/>
  <c r="D16" i="82"/>
  <c r="L16" i="82" s="1"/>
  <c r="B16" i="82"/>
  <c r="Z15" i="82"/>
  <c r="X15" i="82"/>
  <c r="P15" i="82"/>
  <c r="N15" i="82"/>
  <c r="D15" i="82"/>
  <c r="L15" i="82" s="1"/>
  <c r="B15" i="82"/>
  <c r="Z14" i="82"/>
  <c r="X14" i="82"/>
  <c r="P14" i="82"/>
  <c r="N14" i="82"/>
  <c r="L14" i="82"/>
  <c r="D14" i="82"/>
  <c r="B14" i="82"/>
  <c r="P13" i="82"/>
  <c r="P12" i="82" s="1"/>
  <c r="D13" i="82"/>
  <c r="L13" i="82" s="1"/>
  <c r="N13" i="82" s="1"/>
  <c r="B13" i="82"/>
  <c r="T12" i="82"/>
  <c r="H12" i="82"/>
  <c r="J42" i="82" s="1"/>
  <c r="D6" i="82"/>
  <c r="D4" i="82"/>
  <c r="Z72" i="80"/>
  <c r="X72" i="80"/>
  <c r="N72" i="80"/>
  <c r="L72" i="80"/>
  <c r="V70" i="80"/>
  <c r="V68" i="80"/>
  <c r="T68" i="80"/>
  <c r="Z68" i="80" s="1"/>
  <c r="P68" i="80"/>
  <c r="X68" i="80" s="1"/>
  <c r="H68" i="80"/>
  <c r="N68" i="80" s="1"/>
  <c r="D68" i="80"/>
  <c r="L68" i="80" s="1"/>
  <c r="Z66" i="80"/>
  <c r="X66" i="80"/>
  <c r="V66" i="80"/>
  <c r="N66" i="80"/>
  <c r="L66" i="80"/>
  <c r="B66" i="80"/>
  <c r="Z65" i="80"/>
  <c r="V65" i="80"/>
  <c r="T65" i="80"/>
  <c r="P65" i="80"/>
  <c r="X65" i="80" s="1"/>
  <c r="L65" i="80"/>
  <c r="H65" i="80"/>
  <c r="N65" i="80" s="1"/>
  <c r="D65" i="80"/>
  <c r="B65" i="80"/>
  <c r="Z64" i="80"/>
  <c r="X64" i="80"/>
  <c r="N64" i="80"/>
  <c r="L64" i="80"/>
  <c r="J64" i="80"/>
  <c r="B64" i="80"/>
  <c r="X63" i="80"/>
  <c r="V63" i="80"/>
  <c r="T63" i="80"/>
  <c r="Z63" i="80" s="1"/>
  <c r="P63" i="80"/>
  <c r="L63" i="80"/>
  <c r="H63" i="80"/>
  <c r="N63" i="80" s="1"/>
  <c r="D63" i="80"/>
  <c r="B63" i="80"/>
  <c r="Z62" i="80"/>
  <c r="X62" i="80"/>
  <c r="N62" i="80"/>
  <c r="L62" i="80"/>
  <c r="B62" i="80"/>
  <c r="Z61" i="80"/>
  <c r="X61" i="80"/>
  <c r="N61" i="80"/>
  <c r="L61" i="80"/>
  <c r="B61" i="80"/>
  <c r="Z60" i="80"/>
  <c r="X60" i="80"/>
  <c r="V60" i="80"/>
  <c r="R60" i="80"/>
  <c r="N60" i="80"/>
  <c r="L60" i="80"/>
  <c r="B60" i="80"/>
  <c r="Z59" i="80"/>
  <c r="X59" i="80"/>
  <c r="N59" i="80"/>
  <c r="L59" i="80"/>
  <c r="B59" i="80"/>
  <c r="Z58" i="80"/>
  <c r="V58" i="80"/>
  <c r="T58" i="80"/>
  <c r="X58" i="80" s="1"/>
  <c r="P58" i="80"/>
  <c r="N58" i="80"/>
  <c r="H58" i="80"/>
  <c r="D58" i="80"/>
  <c r="L58" i="80" s="1"/>
  <c r="B58" i="80"/>
  <c r="Z57" i="80"/>
  <c r="X57" i="80"/>
  <c r="V57" i="80"/>
  <c r="N57" i="80"/>
  <c r="L57" i="80"/>
  <c r="B57" i="80"/>
  <c r="Z56" i="80"/>
  <c r="X56" i="80"/>
  <c r="V56" i="80"/>
  <c r="N56" i="80"/>
  <c r="L56" i="80"/>
  <c r="B56" i="80"/>
  <c r="V55" i="80"/>
  <c r="T55" i="80"/>
  <c r="Z55" i="80" s="1"/>
  <c r="P55" i="80"/>
  <c r="X55" i="80" s="1"/>
  <c r="N55" i="80"/>
  <c r="H55" i="80"/>
  <c r="D55" i="80"/>
  <c r="L55" i="80" s="1"/>
  <c r="B55" i="80"/>
  <c r="Z54" i="80"/>
  <c r="X54" i="80"/>
  <c r="N54" i="80"/>
  <c r="L54" i="80"/>
  <c r="B54" i="80"/>
  <c r="Z53" i="80"/>
  <c r="X53" i="80"/>
  <c r="N53" i="80"/>
  <c r="L53" i="80"/>
  <c r="B53" i="80"/>
  <c r="Z52" i="80"/>
  <c r="X52" i="80"/>
  <c r="T52" i="80"/>
  <c r="P52" i="80"/>
  <c r="N52" i="80"/>
  <c r="L52" i="80"/>
  <c r="H52" i="80"/>
  <c r="D52" i="80"/>
  <c r="B52" i="80"/>
  <c r="Z51" i="80"/>
  <c r="X51" i="80"/>
  <c r="N51" i="80"/>
  <c r="L51" i="80"/>
  <c r="B51" i="80"/>
  <c r="Z50" i="80"/>
  <c r="V50" i="80"/>
  <c r="T50" i="80"/>
  <c r="X50" i="80" s="1"/>
  <c r="P50" i="80"/>
  <c r="N50" i="80"/>
  <c r="H50" i="80"/>
  <c r="D50" i="80"/>
  <c r="L50" i="80" s="1"/>
  <c r="B50" i="80"/>
  <c r="Z49" i="80"/>
  <c r="X49" i="80"/>
  <c r="V49" i="80"/>
  <c r="N49" i="80"/>
  <c r="L49" i="80"/>
  <c r="B49" i="80"/>
  <c r="V48" i="80"/>
  <c r="T48" i="80"/>
  <c r="Z48" i="80" s="1"/>
  <c r="P48" i="80"/>
  <c r="X48" i="80" s="1"/>
  <c r="H48" i="80"/>
  <c r="N48" i="80" s="1"/>
  <c r="D48" i="80"/>
  <c r="L48" i="80" s="1"/>
  <c r="B48" i="80"/>
  <c r="X47" i="80"/>
  <c r="Z47" i="80" s="1"/>
  <c r="V47" i="80"/>
  <c r="N47" i="80"/>
  <c r="L47" i="80"/>
  <c r="B47" i="80"/>
  <c r="X46" i="80"/>
  <c r="Z46" i="80" s="1"/>
  <c r="T46" i="80"/>
  <c r="P46" i="80"/>
  <c r="N46" i="80"/>
  <c r="L46" i="80"/>
  <c r="H46" i="80"/>
  <c r="D46" i="80"/>
  <c r="B46" i="80"/>
  <c r="Z45" i="80"/>
  <c r="X45" i="80"/>
  <c r="N45" i="80"/>
  <c r="L45" i="80"/>
  <c r="B45" i="80"/>
  <c r="Z44" i="80"/>
  <c r="V44" i="80"/>
  <c r="T44" i="80"/>
  <c r="P44" i="80"/>
  <c r="X44" i="80" s="1"/>
  <c r="N44" i="80"/>
  <c r="H44" i="80"/>
  <c r="L44" i="80" s="1"/>
  <c r="D44" i="80"/>
  <c r="B44" i="80"/>
  <c r="Z43" i="80"/>
  <c r="X43" i="80"/>
  <c r="V43" i="80"/>
  <c r="N43" i="80"/>
  <c r="L43" i="80"/>
  <c r="B43" i="80"/>
  <c r="V42" i="80"/>
  <c r="T42" i="80"/>
  <c r="Z42" i="80" s="1"/>
  <c r="P42" i="80"/>
  <c r="X42" i="80" s="1"/>
  <c r="H42" i="80"/>
  <c r="N42" i="80" s="1"/>
  <c r="D42" i="80"/>
  <c r="L42" i="80" s="1"/>
  <c r="B42" i="80"/>
  <c r="Z41" i="80"/>
  <c r="X41" i="80"/>
  <c r="R41" i="80"/>
  <c r="N41" i="80"/>
  <c r="L41" i="80"/>
  <c r="B41" i="80"/>
  <c r="Z40" i="80"/>
  <c r="X40" i="80"/>
  <c r="N40" i="80"/>
  <c r="L40" i="80"/>
  <c r="B40" i="80"/>
  <c r="Z39" i="80"/>
  <c r="X39" i="80"/>
  <c r="V39" i="80"/>
  <c r="N39" i="80"/>
  <c r="L39" i="80"/>
  <c r="B39" i="80"/>
  <c r="Z38" i="80"/>
  <c r="X38" i="80"/>
  <c r="N38" i="80"/>
  <c r="L38" i="80"/>
  <c r="B38" i="80"/>
  <c r="Z37" i="80"/>
  <c r="X37" i="80"/>
  <c r="N37" i="80"/>
  <c r="L37" i="80"/>
  <c r="B37" i="80"/>
  <c r="Z36" i="80"/>
  <c r="X36" i="80"/>
  <c r="N36" i="80"/>
  <c r="L36" i="80"/>
  <c r="B36" i="80"/>
  <c r="Z35" i="80"/>
  <c r="X35" i="80"/>
  <c r="V35" i="80"/>
  <c r="N35" i="80"/>
  <c r="L35" i="80"/>
  <c r="B35" i="80"/>
  <c r="Z34" i="80"/>
  <c r="X34" i="80"/>
  <c r="N34" i="80"/>
  <c r="L34" i="80"/>
  <c r="B34" i="80"/>
  <c r="Z33" i="80"/>
  <c r="X33" i="80"/>
  <c r="N33" i="80"/>
  <c r="L33" i="80"/>
  <c r="B33" i="80"/>
  <c r="Z32" i="80"/>
  <c r="X32" i="80"/>
  <c r="N32" i="80"/>
  <c r="L32" i="80"/>
  <c r="J32" i="80"/>
  <c r="B32" i="80"/>
  <c r="V31" i="80"/>
  <c r="T31" i="80"/>
  <c r="Z31" i="80" s="1"/>
  <c r="P31" i="80"/>
  <c r="H31" i="80"/>
  <c r="N31" i="80" s="1"/>
  <c r="D31" i="80"/>
  <c r="B31" i="80"/>
  <c r="Z30" i="80"/>
  <c r="X30" i="80"/>
  <c r="V30" i="80"/>
  <c r="N30" i="80"/>
  <c r="L30" i="80"/>
  <c r="B30" i="80"/>
  <c r="Z29" i="80"/>
  <c r="X29" i="80"/>
  <c r="R29" i="80"/>
  <c r="N29" i="80"/>
  <c r="L29" i="80"/>
  <c r="J29" i="80"/>
  <c r="B29" i="80"/>
  <c r="Z28" i="80"/>
  <c r="X28" i="80"/>
  <c r="V28" i="80"/>
  <c r="N28" i="80"/>
  <c r="L28" i="80"/>
  <c r="B28" i="80"/>
  <c r="Z27" i="80"/>
  <c r="X27" i="80"/>
  <c r="V27" i="80"/>
  <c r="N27" i="80"/>
  <c r="L27" i="80"/>
  <c r="B27" i="80"/>
  <c r="Z26" i="80"/>
  <c r="X26" i="80"/>
  <c r="V26" i="80"/>
  <c r="R26" i="80"/>
  <c r="N26" i="80"/>
  <c r="L26" i="80"/>
  <c r="B26" i="80"/>
  <c r="Z25" i="80"/>
  <c r="X25" i="80"/>
  <c r="V25" i="80"/>
  <c r="N25" i="80"/>
  <c r="L25" i="80"/>
  <c r="J25" i="80"/>
  <c r="B25" i="80"/>
  <c r="Z24" i="80"/>
  <c r="X24" i="80"/>
  <c r="V24" i="80"/>
  <c r="N24" i="80"/>
  <c r="L24" i="80"/>
  <c r="J24" i="80"/>
  <c r="B24" i="80"/>
  <c r="Z23" i="80"/>
  <c r="X23" i="80"/>
  <c r="V23" i="80"/>
  <c r="N23" i="80"/>
  <c r="L23" i="80"/>
  <c r="J23" i="80"/>
  <c r="B23" i="80"/>
  <c r="V22" i="80"/>
  <c r="T22" i="80"/>
  <c r="Z22" i="80" s="1"/>
  <c r="P22" i="80"/>
  <c r="N22" i="80"/>
  <c r="J22" i="80"/>
  <c r="H22" i="80"/>
  <c r="D22" i="80"/>
  <c r="L22" i="80" s="1"/>
  <c r="B22" i="80"/>
  <c r="X21" i="80"/>
  <c r="V21" i="80"/>
  <c r="T21" i="80"/>
  <c r="Z21" i="80" s="1"/>
  <c r="P21" i="80"/>
  <c r="H21" i="80"/>
  <c r="D21" i="80"/>
  <c r="L21" i="80" s="1"/>
  <c r="V19" i="80"/>
  <c r="Z17" i="80"/>
  <c r="X17" i="80"/>
  <c r="V17" i="80"/>
  <c r="N17" i="80"/>
  <c r="L17" i="80"/>
  <c r="B17" i="80"/>
  <c r="Z16" i="80"/>
  <c r="X16" i="80"/>
  <c r="V16" i="80"/>
  <c r="N16" i="80"/>
  <c r="L16" i="80"/>
  <c r="B16" i="80"/>
  <c r="V15" i="80"/>
  <c r="T15" i="80"/>
  <c r="Z15" i="80" s="1"/>
  <c r="P15" i="80"/>
  <c r="X15" i="80" s="1"/>
  <c r="N15" i="80"/>
  <c r="J15" i="80"/>
  <c r="H15" i="80"/>
  <c r="D15" i="80"/>
  <c r="L15" i="80" s="1"/>
  <c r="Z13" i="80"/>
  <c r="P13" i="80"/>
  <c r="P12" i="80" s="1"/>
  <c r="R68" i="80" s="1"/>
  <c r="N13" i="80"/>
  <c r="D13" i="80"/>
  <c r="B13" i="80"/>
  <c r="Z12" i="80"/>
  <c r="T12" i="80"/>
  <c r="V62" i="80" s="1"/>
  <c r="N12" i="80"/>
  <c r="H12" i="80"/>
  <c r="J19" i="80" s="1"/>
  <c r="D6" i="80"/>
  <c r="D4" i="80"/>
  <c r="Z79" i="79"/>
  <c r="X79" i="79"/>
  <c r="L79" i="79"/>
  <c r="N79" i="79" s="1"/>
  <c r="Z75" i="79"/>
  <c r="X75" i="79"/>
  <c r="T75" i="79"/>
  <c r="P75" i="79"/>
  <c r="N75" i="79"/>
  <c r="L75" i="79"/>
  <c r="H75" i="79"/>
  <c r="D75" i="79"/>
  <c r="X73" i="79"/>
  <c r="Z73" i="79" s="1"/>
  <c r="V73" i="79"/>
  <c r="L73" i="79"/>
  <c r="N73" i="79" s="1"/>
  <c r="B73" i="79"/>
  <c r="T72" i="79"/>
  <c r="P72" i="79"/>
  <c r="X72" i="79" s="1"/>
  <c r="J72" i="79"/>
  <c r="H72" i="79"/>
  <c r="D72" i="79"/>
  <c r="B72" i="79"/>
  <c r="Z71" i="79"/>
  <c r="X71" i="79"/>
  <c r="N71" i="79"/>
  <c r="L71" i="79"/>
  <c r="F71" i="79"/>
  <c r="B71" i="79"/>
  <c r="Z70" i="79"/>
  <c r="T70" i="79"/>
  <c r="P70" i="79"/>
  <c r="X70" i="79" s="1"/>
  <c r="H70" i="79"/>
  <c r="N70" i="79" s="1"/>
  <c r="D70" i="79"/>
  <c r="L70" i="79" s="1"/>
  <c r="B70" i="79"/>
  <c r="Z69" i="79"/>
  <c r="X69" i="79"/>
  <c r="N69" i="79"/>
  <c r="L69" i="79"/>
  <c r="B69" i="79"/>
  <c r="X68" i="79"/>
  <c r="Z68" i="79" s="1"/>
  <c r="N68" i="79"/>
  <c r="L68" i="79"/>
  <c r="B68" i="79"/>
  <c r="Z67" i="79"/>
  <c r="T67" i="79"/>
  <c r="P67" i="79"/>
  <c r="X67" i="79" s="1"/>
  <c r="L67" i="79"/>
  <c r="N67" i="79" s="1"/>
  <c r="H67" i="79"/>
  <c r="D67" i="79"/>
  <c r="B67" i="79"/>
  <c r="X66" i="79"/>
  <c r="Z66" i="79" s="1"/>
  <c r="N66" i="79"/>
  <c r="L66" i="79"/>
  <c r="B66" i="79"/>
  <c r="X65" i="79"/>
  <c r="Z65" i="79" s="1"/>
  <c r="N65" i="79"/>
  <c r="L65" i="79"/>
  <c r="B65" i="79"/>
  <c r="X64" i="79"/>
  <c r="Z64" i="79" s="1"/>
  <c r="L64" i="79"/>
  <c r="N64" i="79" s="1"/>
  <c r="F64" i="79"/>
  <c r="B64" i="79"/>
  <c r="X63" i="79"/>
  <c r="Z63" i="79" s="1"/>
  <c r="T63" i="79"/>
  <c r="P63" i="79"/>
  <c r="H63" i="79"/>
  <c r="D63" i="79"/>
  <c r="L63" i="79" s="1"/>
  <c r="B63" i="79"/>
  <c r="Z62" i="79"/>
  <c r="X62" i="79"/>
  <c r="L62" i="79"/>
  <c r="N62" i="79" s="1"/>
  <c r="B62" i="79"/>
  <c r="Z61" i="79"/>
  <c r="X61" i="79"/>
  <c r="V61" i="79"/>
  <c r="N61" i="79"/>
  <c r="L61" i="79"/>
  <c r="B61" i="79"/>
  <c r="Z60" i="79"/>
  <c r="X60" i="79"/>
  <c r="T60" i="79"/>
  <c r="P60" i="79"/>
  <c r="N60" i="79"/>
  <c r="J60" i="79"/>
  <c r="H60" i="79"/>
  <c r="D60" i="79"/>
  <c r="L60" i="79" s="1"/>
  <c r="B60" i="79"/>
  <c r="X59" i="79"/>
  <c r="Z59" i="79" s="1"/>
  <c r="L59" i="79"/>
  <c r="N59" i="79" s="1"/>
  <c r="B59" i="79"/>
  <c r="X58" i="79"/>
  <c r="T58" i="79"/>
  <c r="P58" i="79"/>
  <c r="N58" i="79"/>
  <c r="L58" i="79"/>
  <c r="H58" i="79"/>
  <c r="D58" i="79"/>
  <c r="B58" i="79"/>
  <c r="Z57" i="79"/>
  <c r="X57" i="79"/>
  <c r="L57" i="79"/>
  <c r="N57" i="79" s="1"/>
  <c r="B57" i="79"/>
  <c r="Z56" i="79"/>
  <c r="X56" i="79"/>
  <c r="N56" i="79"/>
  <c r="L56" i="79"/>
  <c r="B56" i="79"/>
  <c r="Z55" i="79"/>
  <c r="X55" i="79"/>
  <c r="T55" i="79"/>
  <c r="P55" i="79"/>
  <c r="L55" i="79"/>
  <c r="J55" i="79"/>
  <c r="H55" i="79"/>
  <c r="D55" i="79"/>
  <c r="B55" i="79"/>
  <c r="Z54" i="79"/>
  <c r="X54" i="79"/>
  <c r="N54" i="79"/>
  <c r="L54" i="79"/>
  <c r="J54" i="79"/>
  <c r="B54" i="79"/>
  <c r="T53" i="79"/>
  <c r="P53" i="79"/>
  <c r="X53" i="79" s="1"/>
  <c r="Z53" i="79" s="1"/>
  <c r="H53" i="79"/>
  <c r="N53" i="79" s="1"/>
  <c r="D53" i="79"/>
  <c r="L53" i="79" s="1"/>
  <c r="B53" i="79"/>
  <c r="Z52" i="79"/>
  <c r="X52" i="79"/>
  <c r="L52" i="79"/>
  <c r="N52" i="79" s="1"/>
  <c r="B52" i="79"/>
  <c r="T51" i="79"/>
  <c r="P51" i="79"/>
  <c r="H51" i="79"/>
  <c r="D51" i="79"/>
  <c r="L51" i="79" s="1"/>
  <c r="N51" i="79" s="1"/>
  <c r="B51" i="79"/>
  <c r="Z50" i="79"/>
  <c r="X50" i="79"/>
  <c r="V50" i="79"/>
  <c r="N50" i="79"/>
  <c r="L50" i="79"/>
  <c r="B50" i="79"/>
  <c r="T49" i="79"/>
  <c r="Z49" i="79" s="1"/>
  <c r="P49" i="79"/>
  <c r="X49" i="79" s="1"/>
  <c r="N49" i="79"/>
  <c r="L49" i="79"/>
  <c r="H49" i="79"/>
  <c r="D49" i="79"/>
  <c r="B49" i="79"/>
  <c r="Z48" i="79"/>
  <c r="X48" i="79"/>
  <c r="N48" i="79"/>
  <c r="L48" i="79"/>
  <c r="B48" i="79"/>
  <c r="Z47" i="79"/>
  <c r="T47" i="79"/>
  <c r="P47" i="79"/>
  <c r="X47" i="79" s="1"/>
  <c r="L47" i="79"/>
  <c r="J47" i="79"/>
  <c r="H47" i="79"/>
  <c r="N47" i="79" s="1"/>
  <c r="D47" i="79"/>
  <c r="B47" i="79"/>
  <c r="Z46" i="79"/>
  <c r="X46" i="79"/>
  <c r="N46" i="79"/>
  <c r="L46" i="79"/>
  <c r="J46" i="79"/>
  <c r="B46" i="79"/>
  <c r="T45" i="79"/>
  <c r="Z45" i="79" s="1"/>
  <c r="P45" i="79"/>
  <c r="X45" i="79" s="1"/>
  <c r="H45" i="79"/>
  <c r="D45" i="79"/>
  <c r="B45" i="79"/>
  <c r="Z44" i="79"/>
  <c r="X44" i="79"/>
  <c r="N44" i="79"/>
  <c r="L44" i="79"/>
  <c r="B44" i="79"/>
  <c r="Z43" i="79"/>
  <c r="X43" i="79"/>
  <c r="N43" i="79"/>
  <c r="L43" i="79"/>
  <c r="B43" i="79"/>
  <c r="Z42" i="79"/>
  <c r="X42" i="79"/>
  <c r="V42" i="79"/>
  <c r="N42" i="79"/>
  <c r="L42" i="79"/>
  <c r="B42" i="79"/>
  <c r="Z41" i="79"/>
  <c r="X41" i="79"/>
  <c r="N41" i="79"/>
  <c r="L41" i="79"/>
  <c r="J41" i="79"/>
  <c r="B41" i="79"/>
  <c r="Z40" i="79"/>
  <c r="X40" i="79"/>
  <c r="N40" i="79"/>
  <c r="L40" i="79"/>
  <c r="B40" i="79"/>
  <c r="Z39" i="79"/>
  <c r="X39" i="79"/>
  <c r="N39" i="79"/>
  <c r="L39" i="79"/>
  <c r="B39" i="79"/>
  <c r="Z38" i="79"/>
  <c r="X38" i="79"/>
  <c r="V38" i="79"/>
  <c r="N38" i="79"/>
  <c r="L38" i="79"/>
  <c r="B38" i="79"/>
  <c r="Z37" i="79"/>
  <c r="X37" i="79"/>
  <c r="N37" i="79"/>
  <c r="L37" i="79"/>
  <c r="J37" i="79"/>
  <c r="B37" i="79"/>
  <c r="Z36" i="79"/>
  <c r="X36" i="79"/>
  <c r="N36" i="79"/>
  <c r="L36" i="79"/>
  <c r="B36" i="79"/>
  <c r="Z35" i="79"/>
  <c r="X35" i="79"/>
  <c r="N35" i="79"/>
  <c r="L35" i="79"/>
  <c r="B35" i="79"/>
  <c r="V34" i="79"/>
  <c r="T34" i="79"/>
  <c r="P34" i="79"/>
  <c r="X34" i="79" s="1"/>
  <c r="L34" i="79"/>
  <c r="H34" i="79"/>
  <c r="N34" i="79" s="1"/>
  <c r="D34" i="79"/>
  <c r="B34" i="79"/>
  <c r="Z33" i="79"/>
  <c r="X33" i="79"/>
  <c r="V33" i="79"/>
  <c r="N33" i="79"/>
  <c r="L33" i="79"/>
  <c r="B33" i="79"/>
  <c r="Z32" i="79"/>
  <c r="X32" i="79"/>
  <c r="V32" i="79"/>
  <c r="N32" i="79"/>
  <c r="L32" i="79"/>
  <c r="B32" i="79"/>
  <c r="Z31" i="79"/>
  <c r="X31" i="79"/>
  <c r="N31" i="79"/>
  <c r="L31" i="79"/>
  <c r="B31" i="79"/>
  <c r="Z30" i="79"/>
  <c r="X30" i="79"/>
  <c r="N30" i="79"/>
  <c r="L30" i="79"/>
  <c r="B30" i="79"/>
  <c r="Z29" i="79"/>
  <c r="X29" i="79"/>
  <c r="V29" i="79"/>
  <c r="N29" i="79"/>
  <c r="L29" i="79"/>
  <c r="B29" i="79"/>
  <c r="Z28" i="79"/>
  <c r="X28" i="79"/>
  <c r="V28" i="79"/>
  <c r="L28" i="79"/>
  <c r="N28" i="79" s="1"/>
  <c r="B28" i="79"/>
  <c r="Z27" i="79"/>
  <c r="X27" i="79"/>
  <c r="N27" i="79"/>
  <c r="L27" i="79"/>
  <c r="B27" i="79"/>
  <c r="Z26" i="79"/>
  <c r="X26" i="79"/>
  <c r="N26" i="79"/>
  <c r="L26" i="79"/>
  <c r="B26" i="79"/>
  <c r="X25" i="79"/>
  <c r="Z25" i="79" s="1"/>
  <c r="V25" i="79"/>
  <c r="N25" i="79"/>
  <c r="L25" i="79"/>
  <c r="B25" i="79"/>
  <c r="V24" i="79"/>
  <c r="T24" i="79"/>
  <c r="P24" i="79"/>
  <c r="X24" i="79" s="1"/>
  <c r="Z24" i="79" s="1"/>
  <c r="N24" i="79"/>
  <c r="L24" i="79"/>
  <c r="H24" i="79"/>
  <c r="D24" i="79"/>
  <c r="B24" i="79"/>
  <c r="T23" i="79"/>
  <c r="P23" i="79"/>
  <c r="H23" i="79"/>
  <c r="D23" i="79"/>
  <c r="L23" i="79" s="1"/>
  <c r="T21" i="79"/>
  <c r="Z19" i="79"/>
  <c r="X19" i="79"/>
  <c r="N19" i="79"/>
  <c r="L19" i="79"/>
  <c r="B19" i="79"/>
  <c r="Z18" i="79"/>
  <c r="X18" i="79"/>
  <c r="N18" i="79"/>
  <c r="L18" i="79"/>
  <c r="J18" i="79"/>
  <c r="B18" i="79"/>
  <c r="T17" i="79"/>
  <c r="P17" i="79"/>
  <c r="X17" i="79" s="1"/>
  <c r="H17" i="79"/>
  <c r="D17" i="79"/>
  <c r="Z15" i="79"/>
  <c r="P15" i="79"/>
  <c r="X15" i="79" s="1"/>
  <c r="N15" i="79"/>
  <c r="D15" i="79"/>
  <c r="L15" i="79" s="1"/>
  <c r="B15" i="79"/>
  <c r="P14" i="79"/>
  <c r="N14" i="79"/>
  <c r="L14" i="79"/>
  <c r="D14" i="79"/>
  <c r="B14" i="79"/>
  <c r="Z13" i="79"/>
  <c r="X13" i="79"/>
  <c r="P13" i="79"/>
  <c r="N13" i="79"/>
  <c r="D13" i="79"/>
  <c r="D12" i="79" s="1"/>
  <c r="F31" i="79" s="1"/>
  <c r="B13" i="79"/>
  <c r="T12" i="79"/>
  <c r="V70" i="79" s="1"/>
  <c r="H12" i="79"/>
  <c r="J62" i="79" s="1"/>
  <c r="D6" i="79"/>
  <c r="D4" i="79"/>
  <c r="Z100" i="76"/>
  <c r="X100" i="76"/>
  <c r="N100" i="76"/>
  <c r="L100" i="76"/>
  <c r="P96" i="76"/>
  <c r="X96" i="76" s="1"/>
  <c r="Z96" i="76" s="1"/>
  <c r="L96" i="76"/>
  <c r="N96" i="76" s="1"/>
  <c r="J96" i="76"/>
  <c r="D96" i="76"/>
  <c r="B96" i="76"/>
  <c r="Z95" i="76"/>
  <c r="X95" i="76"/>
  <c r="P95" i="76"/>
  <c r="N95" i="76"/>
  <c r="J95" i="76"/>
  <c r="D95" i="76"/>
  <c r="L95" i="76" s="1"/>
  <c r="B95" i="76"/>
  <c r="T94" i="76"/>
  <c r="J94" i="76"/>
  <c r="H94" i="76"/>
  <c r="X92" i="76"/>
  <c r="Z92" i="76" s="1"/>
  <c r="N92" i="76"/>
  <c r="L92" i="76"/>
  <c r="B92" i="76"/>
  <c r="T91" i="76"/>
  <c r="P91" i="76"/>
  <c r="X91" i="76" s="1"/>
  <c r="Z91" i="76" s="1"/>
  <c r="H91" i="76"/>
  <c r="N91" i="76" s="1"/>
  <c r="D91" i="76"/>
  <c r="L91" i="76" s="1"/>
  <c r="B91" i="76"/>
  <c r="Z90" i="76"/>
  <c r="X90" i="76"/>
  <c r="N90" i="76"/>
  <c r="L90" i="76"/>
  <c r="B90" i="76"/>
  <c r="X89" i="76"/>
  <c r="Z89" i="76" s="1"/>
  <c r="N89" i="76"/>
  <c r="L89" i="76"/>
  <c r="B89" i="76"/>
  <c r="Z88" i="76"/>
  <c r="X88" i="76"/>
  <c r="N88" i="76"/>
  <c r="L88" i="76"/>
  <c r="B88" i="76"/>
  <c r="T87" i="76"/>
  <c r="Z87" i="76" s="1"/>
  <c r="P87" i="76"/>
  <c r="X87" i="76" s="1"/>
  <c r="L87" i="76"/>
  <c r="J87" i="76"/>
  <c r="H87" i="76"/>
  <c r="N87" i="76" s="1"/>
  <c r="D87" i="76"/>
  <c r="B87" i="76"/>
  <c r="Z86" i="76"/>
  <c r="X86" i="76"/>
  <c r="N86" i="76"/>
  <c r="L86" i="76"/>
  <c r="J86" i="76"/>
  <c r="B86" i="76"/>
  <c r="T85" i="76"/>
  <c r="Z85" i="76" s="1"/>
  <c r="P85" i="76"/>
  <c r="X85" i="76" s="1"/>
  <c r="H85" i="76"/>
  <c r="D85" i="76"/>
  <c r="B85" i="76"/>
  <c r="Z84" i="76"/>
  <c r="X84" i="76"/>
  <c r="N84" i="76"/>
  <c r="L84" i="76"/>
  <c r="B84" i="76"/>
  <c r="T83" i="76"/>
  <c r="P83" i="76"/>
  <c r="X83" i="76" s="1"/>
  <c r="Z83" i="76" s="1"/>
  <c r="H83" i="76"/>
  <c r="N83" i="76" s="1"/>
  <c r="D83" i="76"/>
  <c r="L83" i="76" s="1"/>
  <c r="B83" i="76"/>
  <c r="Z82" i="76"/>
  <c r="X82" i="76"/>
  <c r="N82" i="76"/>
  <c r="L82" i="76"/>
  <c r="B82" i="76"/>
  <c r="X81" i="76"/>
  <c r="T81" i="76"/>
  <c r="Z81" i="76" s="1"/>
  <c r="P81" i="76"/>
  <c r="H81" i="76"/>
  <c r="N81" i="76" s="1"/>
  <c r="D81" i="76"/>
  <c r="L81" i="76" s="1"/>
  <c r="B81" i="76"/>
  <c r="Z80" i="76"/>
  <c r="X80" i="76"/>
  <c r="N80" i="76"/>
  <c r="L80" i="76"/>
  <c r="B80" i="76"/>
  <c r="X79" i="76"/>
  <c r="Z79" i="76" s="1"/>
  <c r="N79" i="76"/>
  <c r="L79" i="76"/>
  <c r="B79" i="76"/>
  <c r="Z78" i="76"/>
  <c r="X78" i="76"/>
  <c r="T78" i="76"/>
  <c r="P78" i="76"/>
  <c r="N78" i="76"/>
  <c r="L78" i="76"/>
  <c r="H78" i="76"/>
  <c r="D78" i="76"/>
  <c r="B78" i="76"/>
  <c r="X77" i="76"/>
  <c r="Z77" i="76" s="1"/>
  <c r="L77" i="76"/>
  <c r="N77" i="76" s="1"/>
  <c r="J77" i="76"/>
  <c r="B77" i="76"/>
  <c r="T76" i="76"/>
  <c r="P76" i="76"/>
  <c r="H76" i="76"/>
  <c r="D76" i="76"/>
  <c r="B76" i="76"/>
  <c r="X75" i="76"/>
  <c r="Z75" i="76" s="1"/>
  <c r="L75" i="76"/>
  <c r="N75" i="76" s="1"/>
  <c r="B75" i="76"/>
  <c r="Z74" i="76"/>
  <c r="X74" i="76"/>
  <c r="T74" i="76"/>
  <c r="P74" i="76"/>
  <c r="H74" i="76"/>
  <c r="D74" i="76"/>
  <c r="L74" i="76" s="1"/>
  <c r="N74" i="76" s="1"/>
  <c r="B74" i="76"/>
  <c r="Z73" i="76"/>
  <c r="X73" i="76"/>
  <c r="L73" i="76"/>
  <c r="N73" i="76" s="1"/>
  <c r="B73" i="76"/>
  <c r="Z72" i="76"/>
  <c r="X72" i="76"/>
  <c r="T72" i="76"/>
  <c r="P72" i="76"/>
  <c r="N72" i="76"/>
  <c r="L72" i="76"/>
  <c r="H72" i="76"/>
  <c r="D72" i="76"/>
  <c r="B72" i="76"/>
  <c r="Z71" i="76"/>
  <c r="X71" i="76"/>
  <c r="L71" i="76"/>
  <c r="N71" i="76" s="1"/>
  <c r="B71" i="76"/>
  <c r="T70" i="76"/>
  <c r="P70" i="76"/>
  <c r="H70" i="76"/>
  <c r="D70" i="76"/>
  <c r="B70" i="76"/>
  <c r="Z69" i="76"/>
  <c r="X69" i="76"/>
  <c r="N69" i="76"/>
  <c r="L69" i="76"/>
  <c r="B69" i="76"/>
  <c r="Z68" i="76"/>
  <c r="X68" i="76"/>
  <c r="N68" i="76"/>
  <c r="L68" i="76"/>
  <c r="B68" i="76"/>
  <c r="X67" i="76"/>
  <c r="Z67" i="76" s="1"/>
  <c r="L67" i="76"/>
  <c r="N67" i="76" s="1"/>
  <c r="B67" i="76"/>
  <c r="Z66" i="76"/>
  <c r="X66" i="76"/>
  <c r="N66" i="76"/>
  <c r="L66" i="76"/>
  <c r="B66" i="76"/>
  <c r="Z65" i="76"/>
  <c r="X65" i="76"/>
  <c r="V65" i="76"/>
  <c r="N65" i="76"/>
  <c r="L65" i="76"/>
  <c r="B65" i="76"/>
  <c r="Z64" i="76"/>
  <c r="X64" i="76"/>
  <c r="N64" i="76"/>
  <c r="L64" i="76"/>
  <c r="B64" i="76"/>
  <c r="X63" i="76"/>
  <c r="Z63" i="76" s="1"/>
  <c r="L63" i="76"/>
  <c r="N63" i="76" s="1"/>
  <c r="B63" i="76"/>
  <c r="Z62" i="76"/>
  <c r="X62" i="76"/>
  <c r="N62" i="76"/>
  <c r="L62" i="76"/>
  <c r="B62" i="76"/>
  <c r="X61" i="76"/>
  <c r="Z61" i="76" s="1"/>
  <c r="V61" i="76"/>
  <c r="N61" i="76"/>
  <c r="L61" i="76"/>
  <c r="B61" i="76"/>
  <c r="Z60" i="76"/>
  <c r="X60" i="76"/>
  <c r="N60" i="76"/>
  <c r="L60" i="76"/>
  <c r="B60" i="76"/>
  <c r="T59" i="76"/>
  <c r="P59" i="76"/>
  <c r="X59" i="76" s="1"/>
  <c r="L59" i="76"/>
  <c r="J59" i="76"/>
  <c r="H59" i="76"/>
  <c r="N59" i="76" s="1"/>
  <c r="D59" i="76"/>
  <c r="B59" i="76"/>
  <c r="Z58" i="76"/>
  <c r="X58" i="76"/>
  <c r="N58" i="76"/>
  <c r="L58" i="76"/>
  <c r="J58" i="76"/>
  <c r="B58" i="76"/>
  <c r="Z57" i="76"/>
  <c r="X57" i="76"/>
  <c r="N57" i="76"/>
  <c r="L57" i="76"/>
  <c r="B57" i="76"/>
  <c r="X56" i="76"/>
  <c r="Z56" i="76" s="1"/>
  <c r="N56" i="76"/>
  <c r="L56" i="76"/>
  <c r="B56" i="76"/>
  <c r="Z55" i="76"/>
  <c r="X55" i="76"/>
  <c r="N55" i="76"/>
  <c r="L55" i="76"/>
  <c r="B55" i="76"/>
  <c r="Z54" i="76"/>
  <c r="X54" i="76"/>
  <c r="N54" i="76"/>
  <c r="L54" i="76"/>
  <c r="J54" i="76"/>
  <c r="B54" i="76"/>
  <c r="Z53" i="76"/>
  <c r="X53" i="76"/>
  <c r="N53" i="76"/>
  <c r="L53" i="76"/>
  <c r="B53" i="76"/>
  <c r="Z52" i="76"/>
  <c r="X52" i="76"/>
  <c r="N52" i="76"/>
  <c r="L52" i="76"/>
  <c r="B52" i="76"/>
  <c r="X51" i="76"/>
  <c r="Z51" i="76" s="1"/>
  <c r="N51" i="76"/>
  <c r="L51" i="76"/>
  <c r="B51" i="76"/>
  <c r="Z50" i="76"/>
  <c r="X50" i="76"/>
  <c r="N50" i="76"/>
  <c r="L50" i="76"/>
  <c r="J50" i="76"/>
  <c r="B50" i="76"/>
  <c r="Z49" i="76"/>
  <c r="X49" i="76"/>
  <c r="N49" i="76"/>
  <c r="L49" i="76"/>
  <c r="B49" i="76"/>
  <c r="X48" i="76"/>
  <c r="Z48" i="76" s="1"/>
  <c r="T48" i="76"/>
  <c r="P48" i="76"/>
  <c r="N48" i="76"/>
  <c r="L48" i="76"/>
  <c r="H48" i="76"/>
  <c r="D48" i="76"/>
  <c r="B48" i="76"/>
  <c r="T47" i="76"/>
  <c r="P47" i="76"/>
  <c r="X47" i="76" s="1"/>
  <c r="Z47" i="76" s="1"/>
  <c r="H47" i="76"/>
  <c r="D47" i="76"/>
  <c r="Z43" i="76"/>
  <c r="X43" i="76"/>
  <c r="N43" i="76"/>
  <c r="L43" i="76"/>
  <c r="B43" i="76"/>
  <c r="Z42" i="76"/>
  <c r="X42" i="76"/>
  <c r="V42" i="76"/>
  <c r="N42" i="76"/>
  <c r="L42" i="76"/>
  <c r="B42" i="76"/>
  <c r="Z41" i="76"/>
  <c r="X41" i="76"/>
  <c r="N41" i="76"/>
  <c r="L41" i="76"/>
  <c r="J41" i="76"/>
  <c r="B41" i="76"/>
  <c r="Z40" i="76"/>
  <c r="X40" i="76"/>
  <c r="N40" i="76"/>
  <c r="L40" i="76"/>
  <c r="J40" i="76"/>
  <c r="B40" i="76"/>
  <c r="Z39" i="76"/>
  <c r="X39" i="76"/>
  <c r="N39" i="76"/>
  <c r="L39" i="76"/>
  <c r="B39" i="76"/>
  <c r="Z38" i="76"/>
  <c r="X38" i="76"/>
  <c r="V38" i="76"/>
  <c r="N38" i="76"/>
  <c r="L38" i="76"/>
  <c r="B38" i="76"/>
  <c r="Z37" i="76"/>
  <c r="X37" i="76"/>
  <c r="N37" i="76"/>
  <c r="L37" i="76"/>
  <c r="J37" i="76"/>
  <c r="B37" i="76"/>
  <c r="Z36" i="76"/>
  <c r="X36" i="76"/>
  <c r="N36" i="76"/>
  <c r="L36" i="76"/>
  <c r="J36" i="76"/>
  <c r="B36" i="76"/>
  <c r="Z35" i="76"/>
  <c r="X35" i="76"/>
  <c r="N35" i="76"/>
  <c r="L35" i="76"/>
  <c r="B35" i="76"/>
  <c r="Z34" i="76"/>
  <c r="X34" i="76"/>
  <c r="V34" i="76"/>
  <c r="N34" i="76"/>
  <c r="L34" i="76"/>
  <c r="B34" i="76"/>
  <c r="Z33" i="76"/>
  <c r="X33" i="76"/>
  <c r="L33" i="76"/>
  <c r="N33" i="76" s="1"/>
  <c r="J33" i="76"/>
  <c r="B33" i="76"/>
  <c r="T32" i="76"/>
  <c r="P32" i="76"/>
  <c r="X32" i="76" s="1"/>
  <c r="Z32" i="76" s="1"/>
  <c r="J32" i="76"/>
  <c r="H32" i="76"/>
  <c r="D32" i="76"/>
  <c r="L32" i="76" s="1"/>
  <c r="Z30" i="76"/>
  <c r="P30" i="76"/>
  <c r="X30" i="76" s="1"/>
  <c r="N30" i="76"/>
  <c r="D30" i="76"/>
  <c r="L30" i="76" s="1"/>
  <c r="B30" i="76"/>
  <c r="Z29" i="76"/>
  <c r="P29" i="76"/>
  <c r="X29" i="76" s="1"/>
  <c r="N29" i="76"/>
  <c r="D29" i="76"/>
  <c r="L29" i="76" s="1"/>
  <c r="B29" i="76"/>
  <c r="Z28" i="76"/>
  <c r="X28" i="76"/>
  <c r="P28" i="76"/>
  <c r="N28" i="76"/>
  <c r="L28" i="76"/>
  <c r="D28" i="76"/>
  <c r="B28" i="76"/>
  <c r="Z27" i="76"/>
  <c r="X27" i="76"/>
  <c r="P27" i="76"/>
  <c r="N27" i="76"/>
  <c r="D27" i="76"/>
  <c r="L27" i="76" s="1"/>
  <c r="B27" i="76"/>
  <c r="Z26" i="76"/>
  <c r="P26" i="76"/>
  <c r="X26" i="76" s="1"/>
  <c r="N26" i="76"/>
  <c r="L26" i="76"/>
  <c r="D26" i="76"/>
  <c r="B26" i="76"/>
  <c r="Z25" i="76"/>
  <c r="X25" i="76"/>
  <c r="P25" i="76"/>
  <c r="N25" i="76"/>
  <c r="L25" i="76"/>
  <c r="D25" i="76"/>
  <c r="B25" i="76"/>
  <c r="Z24" i="76"/>
  <c r="P24" i="76"/>
  <c r="X24" i="76" s="1"/>
  <c r="N24" i="76"/>
  <c r="L24" i="76"/>
  <c r="D24" i="76"/>
  <c r="B24" i="76"/>
  <c r="Z23" i="76"/>
  <c r="X23" i="76"/>
  <c r="P23" i="76"/>
  <c r="N23" i="76"/>
  <c r="D23" i="76"/>
  <c r="L23" i="76" s="1"/>
  <c r="B23" i="76"/>
  <c r="Z22" i="76"/>
  <c r="X22" i="76"/>
  <c r="P22" i="76"/>
  <c r="N22" i="76"/>
  <c r="L22" i="76"/>
  <c r="D22" i="76"/>
  <c r="B22" i="76"/>
  <c r="Z21" i="76"/>
  <c r="P21" i="76"/>
  <c r="X21" i="76" s="1"/>
  <c r="N21" i="76"/>
  <c r="D21" i="76"/>
  <c r="L21" i="76" s="1"/>
  <c r="B21" i="76"/>
  <c r="Z20" i="76"/>
  <c r="P20" i="76"/>
  <c r="X20" i="76" s="1"/>
  <c r="N20" i="76"/>
  <c r="L20" i="76"/>
  <c r="D20" i="76"/>
  <c r="B20" i="76"/>
  <c r="X19" i="76"/>
  <c r="Z19" i="76" s="1"/>
  <c r="P19" i="76"/>
  <c r="N19" i="76"/>
  <c r="L19" i="76"/>
  <c r="D19" i="76"/>
  <c r="B19" i="76"/>
  <c r="Z18" i="76"/>
  <c r="P18" i="76"/>
  <c r="X18" i="76" s="1"/>
  <c r="N18" i="76"/>
  <c r="D18" i="76"/>
  <c r="L18" i="76" s="1"/>
  <c r="B18" i="76"/>
  <c r="Z17" i="76"/>
  <c r="X17" i="76"/>
  <c r="P17" i="76"/>
  <c r="N17" i="76"/>
  <c r="D17" i="76"/>
  <c r="L17" i="76" s="1"/>
  <c r="B17" i="76"/>
  <c r="Z16" i="76"/>
  <c r="X16" i="76"/>
  <c r="P16" i="76"/>
  <c r="N16" i="76"/>
  <c r="L16" i="76"/>
  <c r="D16" i="76"/>
  <c r="B16" i="76"/>
  <c r="Z15" i="76"/>
  <c r="X15" i="76"/>
  <c r="P15" i="76"/>
  <c r="N15" i="76"/>
  <c r="D15" i="76"/>
  <c r="L15" i="76" s="1"/>
  <c r="B15" i="76"/>
  <c r="Z14" i="76"/>
  <c r="P14" i="76"/>
  <c r="X14" i="76" s="1"/>
  <c r="N14" i="76"/>
  <c r="D14" i="76"/>
  <c r="B14" i="76"/>
  <c r="X13" i="76"/>
  <c r="Z13" i="76" s="1"/>
  <c r="P13" i="76"/>
  <c r="N13" i="76"/>
  <c r="L13" i="76"/>
  <c r="D13" i="76"/>
  <c r="B13" i="76"/>
  <c r="T12" i="76"/>
  <c r="V100" i="76" s="1"/>
  <c r="P12" i="76"/>
  <c r="R79" i="76" s="1"/>
  <c r="H12" i="76"/>
  <c r="J100" i="76" s="1"/>
  <c r="D6" i="76"/>
  <c r="D4" i="76"/>
  <c r="X81" i="75"/>
  <c r="Z81" i="75" s="1"/>
  <c r="V81" i="75"/>
  <c r="N81" i="75"/>
  <c r="L81" i="75"/>
  <c r="Z77" i="75"/>
  <c r="X77" i="75"/>
  <c r="P77" i="75"/>
  <c r="D77" i="75"/>
  <c r="B77" i="75"/>
  <c r="T76" i="75"/>
  <c r="X76" i="75" s="1"/>
  <c r="P76" i="75"/>
  <c r="H76" i="75"/>
  <c r="Z74" i="75"/>
  <c r="X74" i="75"/>
  <c r="N74" i="75"/>
  <c r="L74" i="75"/>
  <c r="B74" i="75"/>
  <c r="Z73" i="75"/>
  <c r="X73" i="75"/>
  <c r="T73" i="75"/>
  <c r="P73" i="75"/>
  <c r="N73" i="75"/>
  <c r="L73" i="75"/>
  <c r="H73" i="75"/>
  <c r="D73" i="75"/>
  <c r="B73" i="75"/>
  <c r="Z72" i="75"/>
  <c r="X72" i="75"/>
  <c r="L72" i="75"/>
  <c r="N72" i="75" s="1"/>
  <c r="B72" i="75"/>
  <c r="T71" i="75"/>
  <c r="P71" i="75"/>
  <c r="H71" i="75"/>
  <c r="D71" i="75"/>
  <c r="L71" i="75" s="1"/>
  <c r="N71" i="75" s="1"/>
  <c r="B71" i="75"/>
  <c r="X70" i="75"/>
  <c r="Z70" i="75" s="1"/>
  <c r="V70" i="75"/>
  <c r="L70" i="75"/>
  <c r="N70" i="75" s="1"/>
  <c r="B70" i="75"/>
  <c r="X69" i="75"/>
  <c r="Z69" i="75" s="1"/>
  <c r="V69" i="75"/>
  <c r="L69" i="75"/>
  <c r="N69" i="75" s="1"/>
  <c r="B69" i="75"/>
  <c r="X68" i="75"/>
  <c r="Z68" i="75" s="1"/>
  <c r="L68" i="75"/>
  <c r="N68" i="75" s="1"/>
  <c r="B68" i="75"/>
  <c r="Z67" i="75"/>
  <c r="X67" i="75"/>
  <c r="N67" i="75"/>
  <c r="L67" i="75"/>
  <c r="B67" i="75"/>
  <c r="Z66" i="75"/>
  <c r="X66" i="75"/>
  <c r="V66" i="75"/>
  <c r="N66" i="75"/>
  <c r="L66" i="75"/>
  <c r="B66" i="75"/>
  <c r="V65" i="75"/>
  <c r="T65" i="75"/>
  <c r="Z65" i="75" s="1"/>
  <c r="P65" i="75"/>
  <c r="X65" i="75" s="1"/>
  <c r="H65" i="75"/>
  <c r="D65" i="75"/>
  <c r="L65" i="75" s="1"/>
  <c r="N65" i="75" s="1"/>
  <c r="B65" i="75"/>
  <c r="X64" i="75"/>
  <c r="Z64" i="75" s="1"/>
  <c r="N64" i="75"/>
  <c r="L64" i="75"/>
  <c r="B64" i="75"/>
  <c r="Z63" i="75"/>
  <c r="X63" i="75"/>
  <c r="T63" i="75"/>
  <c r="P63" i="75"/>
  <c r="L63" i="75"/>
  <c r="N63" i="75" s="1"/>
  <c r="H63" i="75"/>
  <c r="D63" i="75"/>
  <c r="B63" i="75"/>
  <c r="Z62" i="75"/>
  <c r="X62" i="75"/>
  <c r="L62" i="75"/>
  <c r="N62" i="75" s="1"/>
  <c r="J62" i="75"/>
  <c r="B62" i="75"/>
  <c r="V61" i="75"/>
  <c r="T61" i="75"/>
  <c r="Z61" i="75" s="1"/>
  <c r="P61" i="75"/>
  <c r="X61" i="75" s="1"/>
  <c r="H61" i="75"/>
  <c r="D61" i="75"/>
  <c r="L61" i="75" s="1"/>
  <c r="B61" i="75"/>
  <c r="X60" i="75"/>
  <c r="Z60" i="75" s="1"/>
  <c r="L60" i="75"/>
  <c r="N60" i="75" s="1"/>
  <c r="B60" i="75"/>
  <c r="Z59" i="75"/>
  <c r="X59" i="75"/>
  <c r="N59" i="75"/>
  <c r="L59" i="75"/>
  <c r="B59" i="75"/>
  <c r="X58" i="75"/>
  <c r="V58" i="75"/>
  <c r="T58" i="75"/>
  <c r="Z58" i="75" s="1"/>
  <c r="P58" i="75"/>
  <c r="H58" i="75"/>
  <c r="D58" i="75"/>
  <c r="L58" i="75" s="1"/>
  <c r="N58" i="75" s="1"/>
  <c r="B58" i="75"/>
  <c r="Z57" i="75"/>
  <c r="X57" i="75"/>
  <c r="N57" i="75"/>
  <c r="L57" i="75"/>
  <c r="B57" i="75"/>
  <c r="T56" i="75"/>
  <c r="R56" i="75"/>
  <c r="P56" i="75"/>
  <c r="H56" i="75"/>
  <c r="L56" i="75" s="1"/>
  <c r="D56" i="75"/>
  <c r="B56" i="75"/>
  <c r="Z55" i="75"/>
  <c r="X55" i="75"/>
  <c r="V55" i="75"/>
  <c r="N55" i="75"/>
  <c r="L55" i="75"/>
  <c r="B55" i="75"/>
  <c r="T54" i="75"/>
  <c r="Z54" i="75" s="1"/>
  <c r="P54" i="75"/>
  <c r="X54" i="75" s="1"/>
  <c r="N54" i="75"/>
  <c r="H54" i="75"/>
  <c r="D54" i="75"/>
  <c r="L54" i="75" s="1"/>
  <c r="B54" i="75"/>
  <c r="X53" i="75"/>
  <c r="Z53" i="75" s="1"/>
  <c r="V53" i="75"/>
  <c r="N53" i="75"/>
  <c r="L53" i="75"/>
  <c r="B53" i="75"/>
  <c r="T52" i="75"/>
  <c r="P52" i="75"/>
  <c r="X52" i="75" s="1"/>
  <c r="Z52" i="75" s="1"/>
  <c r="L52" i="75"/>
  <c r="J52" i="75"/>
  <c r="H52" i="75"/>
  <c r="D52" i="75"/>
  <c r="B52" i="75"/>
  <c r="Z51" i="75"/>
  <c r="X51" i="75"/>
  <c r="N51" i="75"/>
  <c r="L51" i="75"/>
  <c r="J51" i="75"/>
  <c r="B51" i="75"/>
  <c r="T50" i="75"/>
  <c r="X50" i="75" s="1"/>
  <c r="P50" i="75"/>
  <c r="H50" i="75"/>
  <c r="D50" i="75"/>
  <c r="B50" i="75"/>
  <c r="Z49" i="75"/>
  <c r="X49" i="75"/>
  <c r="V49" i="75"/>
  <c r="N49" i="75"/>
  <c r="L49" i="75"/>
  <c r="B49" i="75"/>
  <c r="Z48" i="75"/>
  <c r="X48" i="75"/>
  <c r="N48" i="75"/>
  <c r="L48" i="75"/>
  <c r="B48" i="75"/>
  <c r="Z47" i="75"/>
  <c r="X47" i="75"/>
  <c r="V47" i="75"/>
  <c r="N47" i="75"/>
  <c r="L47" i="75"/>
  <c r="B47" i="75"/>
  <c r="Z46" i="75"/>
  <c r="X46" i="75"/>
  <c r="N46" i="75"/>
  <c r="L46" i="75"/>
  <c r="J46" i="75"/>
  <c r="B46" i="75"/>
  <c r="Z45" i="75"/>
  <c r="X45" i="75"/>
  <c r="V45" i="75"/>
  <c r="N45" i="75"/>
  <c r="L45" i="75"/>
  <c r="B45" i="75"/>
  <c r="Z44" i="75"/>
  <c r="X44" i="75"/>
  <c r="N44" i="75"/>
  <c r="L44" i="75"/>
  <c r="B44" i="75"/>
  <c r="Z43" i="75"/>
  <c r="X43" i="75"/>
  <c r="V43" i="75"/>
  <c r="N43" i="75"/>
  <c r="L43" i="75"/>
  <c r="B43" i="75"/>
  <c r="Z42" i="75"/>
  <c r="X42" i="75"/>
  <c r="N42" i="75"/>
  <c r="L42" i="75"/>
  <c r="J42" i="75"/>
  <c r="B42" i="75"/>
  <c r="Z41" i="75"/>
  <c r="X41" i="75"/>
  <c r="V41" i="75"/>
  <c r="L41" i="75"/>
  <c r="N41" i="75" s="1"/>
  <c r="B41" i="75"/>
  <c r="Z40" i="75"/>
  <c r="X40" i="75"/>
  <c r="N40" i="75"/>
  <c r="L40" i="75"/>
  <c r="B40" i="75"/>
  <c r="V39" i="75"/>
  <c r="T39" i="75"/>
  <c r="P39" i="75"/>
  <c r="H39" i="75"/>
  <c r="D39" i="75"/>
  <c r="L39" i="75" s="1"/>
  <c r="N39" i="75" s="1"/>
  <c r="B39" i="75"/>
  <c r="Z38" i="75"/>
  <c r="X38" i="75"/>
  <c r="V38" i="75"/>
  <c r="N38" i="75"/>
  <c r="L38" i="75"/>
  <c r="B38" i="75"/>
  <c r="X37" i="75"/>
  <c r="Z37" i="75" s="1"/>
  <c r="V37" i="75"/>
  <c r="L37" i="75"/>
  <c r="N37" i="75" s="1"/>
  <c r="B37" i="75"/>
  <c r="X36" i="75"/>
  <c r="Z36" i="75" s="1"/>
  <c r="L36" i="75"/>
  <c r="N36" i="75" s="1"/>
  <c r="B36" i="75"/>
  <c r="Z35" i="75"/>
  <c r="X35" i="75"/>
  <c r="N35" i="75"/>
  <c r="L35" i="75"/>
  <c r="B35" i="75"/>
  <c r="X34" i="75"/>
  <c r="Z34" i="75" s="1"/>
  <c r="V34" i="75"/>
  <c r="L34" i="75"/>
  <c r="N34" i="75" s="1"/>
  <c r="B34" i="75"/>
  <c r="X33" i="75"/>
  <c r="Z33" i="75" s="1"/>
  <c r="V33" i="75"/>
  <c r="L33" i="75"/>
  <c r="N33" i="75" s="1"/>
  <c r="B33" i="75"/>
  <c r="X32" i="75"/>
  <c r="Z32" i="75" s="1"/>
  <c r="L32" i="75"/>
  <c r="N32" i="75" s="1"/>
  <c r="B32" i="75"/>
  <c r="X31" i="75"/>
  <c r="Z31" i="75" s="1"/>
  <c r="N31" i="75"/>
  <c r="L31" i="75"/>
  <c r="B31" i="75"/>
  <c r="X30" i="75"/>
  <c r="Z30" i="75" s="1"/>
  <c r="V30" i="75"/>
  <c r="L30" i="75"/>
  <c r="N30" i="75" s="1"/>
  <c r="B30" i="75"/>
  <c r="V29" i="75"/>
  <c r="T29" i="75"/>
  <c r="Z29" i="75" s="1"/>
  <c r="P29" i="75"/>
  <c r="X29" i="75" s="1"/>
  <c r="H29" i="75"/>
  <c r="D29" i="75"/>
  <c r="L29" i="75" s="1"/>
  <c r="N29" i="75" s="1"/>
  <c r="B29" i="75"/>
  <c r="T28" i="75"/>
  <c r="P28" i="75"/>
  <c r="H28" i="75"/>
  <c r="L28" i="75" s="1"/>
  <c r="D28" i="75"/>
  <c r="T26" i="75"/>
  <c r="X24" i="75"/>
  <c r="T24" i="75"/>
  <c r="Z24" i="75" s="1"/>
  <c r="P24" i="75"/>
  <c r="H24" i="75"/>
  <c r="L24" i="75" s="1"/>
  <c r="D24" i="75"/>
  <c r="Z22" i="75"/>
  <c r="X22" i="75"/>
  <c r="P22" i="75"/>
  <c r="N22" i="75"/>
  <c r="L22" i="75"/>
  <c r="D22" i="75"/>
  <c r="B22" i="75"/>
  <c r="Z21" i="75"/>
  <c r="P21" i="75"/>
  <c r="X21" i="75" s="1"/>
  <c r="N21" i="75"/>
  <c r="D21" i="75"/>
  <c r="L21" i="75" s="1"/>
  <c r="B21" i="75"/>
  <c r="Z20" i="75"/>
  <c r="X20" i="75"/>
  <c r="P20" i="75"/>
  <c r="N20" i="75"/>
  <c r="D20" i="75"/>
  <c r="L20" i="75" s="1"/>
  <c r="B20" i="75"/>
  <c r="Z19" i="75"/>
  <c r="X19" i="75"/>
  <c r="P19" i="75"/>
  <c r="N19" i="75"/>
  <c r="L19" i="75"/>
  <c r="D19" i="75"/>
  <c r="B19" i="75"/>
  <c r="Z18" i="75"/>
  <c r="P18" i="75"/>
  <c r="X18" i="75" s="1"/>
  <c r="N18" i="75"/>
  <c r="D18" i="75"/>
  <c r="L18" i="75" s="1"/>
  <c r="B18" i="75"/>
  <c r="P17" i="75"/>
  <c r="X17" i="75" s="1"/>
  <c r="Z17" i="75" s="1"/>
  <c r="D17" i="75"/>
  <c r="L17" i="75" s="1"/>
  <c r="N17" i="75" s="1"/>
  <c r="B17" i="75"/>
  <c r="Z16" i="75"/>
  <c r="X16" i="75"/>
  <c r="P16" i="75"/>
  <c r="N16" i="75"/>
  <c r="L16" i="75"/>
  <c r="D16" i="75"/>
  <c r="B16" i="75"/>
  <c r="Z15" i="75"/>
  <c r="P15" i="75"/>
  <c r="X15" i="75" s="1"/>
  <c r="N15" i="75"/>
  <c r="L15" i="75"/>
  <c r="D15" i="75"/>
  <c r="B15" i="75"/>
  <c r="Z14" i="75"/>
  <c r="X14" i="75"/>
  <c r="P14" i="75"/>
  <c r="N14" i="75"/>
  <c r="D14" i="75"/>
  <c r="B14" i="75"/>
  <c r="X13" i="75"/>
  <c r="Z13" i="75" s="1"/>
  <c r="P13" i="75"/>
  <c r="L13" i="75"/>
  <c r="N13" i="75" s="1"/>
  <c r="D13" i="75"/>
  <c r="B13" i="75"/>
  <c r="T12" i="75"/>
  <c r="V67" i="75" s="1"/>
  <c r="P12" i="75"/>
  <c r="H12" i="75"/>
  <c r="J61" i="75" s="1"/>
  <c r="D6" i="75"/>
  <c r="D4" i="75"/>
  <c r="X141" i="74"/>
  <c r="Z141" i="74" s="1"/>
  <c r="L141" i="74"/>
  <c r="N141" i="74" s="1"/>
  <c r="Z137" i="74"/>
  <c r="X137" i="74"/>
  <c r="P137" i="74"/>
  <c r="N137" i="74"/>
  <c r="D137" i="74"/>
  <c r="B137" i="74"/>
  <c r="Z136" i="74"/>
  <c r="X136" i="74"/>
  <c r="P136" i="74"/>
  <c r="P134" i="74" s="1"/>
  <c r="X134" i="74" s="1"/>
  <c r="N136" i="74"/>
  <c r="L136" i="74"/>
  <c r="D136" i="74"/>
  <c r="B136" i="74"/>
  <c r="X135" i="74"/>
  <c r="Z135" i="74" s="1"/>
  <c r="P135" i="74"/>
  <c r="D135" i="74"/>
  <c r="L135" i="74" s="1"/>
  <c r="N135" i="74" s="1"/>
  <c r="B135" i="74"/>
  <c r="Z134" i="74"/>
  <c r="T134" i="74"/>
  <c r="J134" i="74"/>
  <c r="H134" i="74"/>
  <c r="Z132" i="74"/>
  <c r="X132" i="74"/>
  <c r="N132" i="74"/>
  <c r="L132" i="74"/>
  <c r="B132" i="74"/>
  <c r="Z131" i="74"/>
  <c r="X131" i="74"/>
  <c r="L131" i="74"/>
  <c r="N131" i="74" s="1"/>
  <c r="B131" i="74"/>
  <c r="T130" i="74"/>
  <c r="P130" i="74"/>
  <c r="X130" i="74" s="1"/>
  <c r="Z130" i="74" s="1"/>
  <c r="J130" i="74"/>
  <c r="H130" i="74"/>
  <c r="N130" i="74" s="1"/>
  <c r="D130" i="74"/>
  <c r="L130" i="74" s="1"/>
  <c r="B130" i="74"/>
  <c r="X129" i="74"/>
  <c r="Z129" i="74" s="1"/>
  <c r="L129" i="74"/>
  <c r="N129" i="74" s="1"/>
  <c r="B129" i="74"/>
  <c r="T128" i="74"/>
  <c r="P128" i="74"/>
  <c r="X128" i="74" s="1"/>
  <c r="Z128" i="74" s="1"/>
  <c r="H128" i="74"/>
  <c r="N128" i="74" s="1"/>
  <c r="D128" i="74"/>
  <c r="L128" i="74" s="1"/>
  <c r="B128" i="74"/>
  <c r="X127" i="74"/>
  <c r="Z127" i="74" s="1"/>
  <c r="N127" i="74"/>
  <c r="L127" i="74"/>
  <c r="B127" i="74"/>
  <c r="Z126" i="74"/>
  <c r="X126" i="74"/>
  <c r="N126" i="74"/>
  <c r="L126" i="74"/>
  <c r="B126" i="74"/>
  <c r="X125" i="74"/>
  <c r="Z125" i="74" s="1"/>
  <c r="N125" i="74"/>
  <c r="L125" i="74"/>
  <c r="B125" i="74"/>
  <c r="Z124" i="74"/>
  <c r="X124" i="74"/>
  <c r="N124" i="74"/>
  <c r="L124" i="74"/>
  <c r="B124" i="74"/>
  <c r="X123" i="74"/>
  <c r="Z123" i="74" s="1"/>
  <c r="N123" i="74"/>
  <c r="L123" i="74"/>
  <c r="B123" i="74"/>
  <c r="Z122" i="74"/>
  <c r="X122" i="74"/>
  <c r="N122" i="74"/>
  <c r="L122" i="74"/>
  <c r="B122" i="74"/>
  <c r="X121" i="74"/>
  <c r="Z121" i="74" s="1"/>
  <c r="N121" i="74"/>
  <c r="L121" i="74"/>
  <c r="B121" i="74"/>
  <c r="Z120" i="74"/>
  <c r="X120" i="74"/>
  <c r="T120" i="74"/>
  <c r="P120" i="74"/>
  <c r="N120" i="74"/>
  <c r="L120" i="74"/>
  <c r="H120" i="74"/>
  <c r="D120" i="74"/>
  <c r="B120" i="74"/>
  <c r="Z119" i="74"/>
  <c r="X119" i="74"/>
  <c r="N119" i="74"/>
  <c r="L119" i="74"/>
  <c r="J119" i="74"/>
  <c r="B119" i="74"/>
  <c r="Z118" i="74"/>
  <c r="X118" i="74"/>
  <c r="N118" i="74"/>
  <c r="L118" i="74"/>
  <c r="B118" i="74"/>
  <c r="T117" i="74"/>
  <c r="P117" i="74"/>
  <c r="X117" i="74" s="1"/>
  <c r="Z117" i="74" s="1"/>
  <c r="H117" i="74"/>
  <c r="N117" i="74" s="1"/>
  <c r="D117" i="74"/>
  <c r="B117" i="74"/>
  <c r="Z116" i="74"/>
  <c r="X116" i="74"/>
  <c r="N116" i="74"/>
  <c r="L116" i="74"/>
  <c r="B116" i="74"/>
  <c r="X115" i="74"/>
  <c r="Z115" i="74" s="1"/>
  <c r="L115" i="74"/>
  <c r="N115" i="74" s="1"/>
  <c r="B115" i="74"/>
  <c r="X114" i="74"/>
  <c r="Z114" i="74" s="1"/>
  <c r="N114" i="74"/>
  <c r="L114" i="74"/>
  <c r="B114" i="74"/>
  <c r="X113" i="74"/>
  <c r="Z113" i="74" s="1"/>
  <c r="T113" i="74"/>
  <c r="P113" i="74"/>
  <c r="L113" i="74"/>
  <c r="H113" i="74"/>
  <c r="N113" i="74" s="1"/>
  <c r="D113" i="74"/>
  <c r="B113" i="74"/>
  <c r="Z112" i="74"/>
  <c r="X112" i="74"/>
  <c r="N112" i="74"/>
  <c r="L112" i="74"/>
  <c r="B112" i="74"/>
  <c r="T111" i="74"/>
  <c r="P111" i="74"/>
  <c r="H111" i="74"/>
  <c r="D111" i="74"/>
  <c r="B111" i="74"/>
  <c r="Z110" i="74"/>
  <c r="X110" i="74"/>
  <c r="N110" i="74"/>
  <c r="L110" i="74"/>
  <c r="B110" i="74"/>
  <c r="T109" i="74"/>
  <c r="P109" i="74"/>
  <c r="X109" i="74" s="1"/>
  <c r="Z109" i="74" s="1"/>
  <c r="H109" i="74"/>
  <c r="N109" i="74" s="1"/>
  <c r="D109" i="74"/>
  <c r="B109" i="74"/>
  <c r="Z108" i="74"/>
  <c r="X108" i="74"/>
  <c r="N108" i="74"/>
  <c r="L108" i="74"/>
  <c r="B108" i="74"/>
  <c r="X107" i="74"/>
  <c r="T107" i="74"/>
  <c r="Z107" i="74" s="1"/>
  <c r="P107" i="74"/>
  <c r="L107" i="74"/>
  <c r="N107" i="74" s="1"/>
  <c r="H107" i="74"/>
  <c r="D107" i="74"/>
  <c r="B107" i="74"/>
  <c r="Z106" i="74"/>
  <c r="X106" i="74"/>
  <c r="N106" i="74"/>
  <c r="L106" i="74"/>
  <c r="B106" i="74"/>
  <c r="X105" i="74"/>
  <c r="T105" i="74"/>
  <c r="Z105" i="74" s="1"/>
  <c r="P105" i="74"/>
  <c r="H105" i="74"/>
  <c r="D105" i="74"/>
  <c r="B105" i="74"/>
  <c r="Z104" i="74"/>
  <c r="X104" i="74"/>
  <c r="N104" i="74"/>
  <c r="L104" i="74"/>
  <c r="B104" i="74"/>
  <c r="Z103" i="74"/>
  <c r="X103" i="74"/>
  <c r="N103" i="74"/>
  <c r="L103" i="74"/>
  <c r="B103" i="74"/>
  <c r="T102" i="74"/>
  <c r="P102" i="74"/>
  <c r="X102" i="74" s="1"/>
  <c r="Z102" i="74" s="1"/>
  <c r="H102" i="74"/>
  <c r="D102" i="74"/>
  <c r="B102" i="74"/>
  <c r="X101" i="74"/>
  <c r="Z101" i="74" s="1"/>
  <c r="L101" i="74"/>
  <c r="N101" i="74" s="1"/>
  <c r="B101" i="74"/>
  <c r="T100" i="74"/>
  <c r="P100" i="74"/>
  <c r="X100" i="74" s="1"/>
  <c r="Z100" i="74" s="1"/>
  <c r="J100" i="74"/>
  <c r="H100" i="74"/>
  <c r="N100" i="74" s="1"/>
  <c r="D100" i="74"/>
  <c r="L100" i="74" s="1"/>
  <c r="B100" i="74"/>
  <c r="X99" i="74"/>
  <c r="Z99" i="74" s="1"/>
  <c r="N99" i="74"/>
  <c r="L99" i="74"/>
  <c r="B99" i="74"/>
  <c r="X98" i="74"/>
  <c r="Z98" i="74" s="1"/>
  <c r="T98" i="74"/>
  <c r="P98" i="74"/>
  <c r="N98" i="74"/>
  <c r="L98" i="74"/>
  <c r="H98" i="74"/>
  <c r="D98" i="74"/>
  <c r="B98" i="74"/>
  <c r="Z97" i="74"/>
  <c r="X97" i="74"/>
  <c r="N97" i="74"/>
  <c r="L97" i="74"/>
  <c r="B97" i="74"/>
  <c r="Z96" i="74"/>
  <c r="T96" i="74"/>
  <c r="P96" i="74"/>
  <c r="X96" i="74" s="1"/>
  <c r="N96" i="74"/>
  <c r="H96" i="74"/>
  <c r="D96" i="74"/>
  <c r="L96" i="74" s="1"/>
  <c r="B96" i="74"/>
  <c r="Z95" i="74"/>
  <c r="X95" i="74"/>
  <c r="N95" i="74"/>
  <c r="L95" i="74"/>
  <c r="B95" i="74"/>
  <c r="T94" i="74"/>
  <c r="Z94" i="74" s="1"/>
  <c r="P94" i="74"/>
  <c r="X94" i="74" s="1"/>
  <c r="N94" i="74"/>
  <c r="H94" i="74"/>
  <c r="D94" i="74"/>
  <c r="L94" i="74" s="1"/>
  <c r="B94" i="74"/>
  <c r="X93" i="74"/>
  <c r="Z93" i="74" s="1"/>
  <c r="N93" i="74"/>
  <c r="L93" i="74"/>
  <c r="B93" i="74"/>
  <c r="Z92" i="74"/>
  <c r="X92" i="74"/>
  <c r="T92" i="74"/>
  <c r="P92" i="74"/>
  <c r="L92" i="74"/>
  <c r="N92" i="74" s="1"/>
  <c r="H92" i="74"/>
  <c r="D92" i="74"/>
  <c r="B92" i="74"/>
  <c r="Z91" i="74"/>
  <c r="X91" i="74"/>
  <c r="N91" i="74"/>
  <c r="L91" i="74"/>
  <c r="B91" i="74"/>
  <c r="Z90" i="74"/>
  <c r="X90" i="74"/>
  <c r="N90" i="74"/>
  <c r="L90" i="74"/>
  <c r="J90" i="74"/>
  <c r="B90" i="74"/>
  <c r="Z89" i="74"/>
  <c r="X89" i="74"/>
  <c r="L89" i="74"/>
  <c r="N89" i="74" s="1"/>
  <c r="B89" i="74"/>
  <c r="Z88" i="74"/>
  <c r="X88" i="74"/>
  <c r="N88" i="74"/>
  <c r="L88" i="74"/>
  <c r="B88" i="74"/>
  <c r="Z87" i="74"/>
  <c r="X87" i="74"/>
  <c r="N87" i="74"/>
  <c r="L87" i="74"/>
  <c r="J87" i="74"/>
  <c r="B87" i="74"/>
  <c r="Z86" i="74"/>
  <c r="X86" i="74"/>
  <c r="N86" i="74"/>
  <c r="L86" i="74"/>
  <c r="B86" i="74"/>
  <c r="Z85" i="74"/>
  <c r="X85" i="74"/>
  <c r="L85" i="74"/>
  <c r="N85" i="74" s="1"/>
  <c r="B85" i="74"/>
  <c r="Z84" i="74"/>
  <c r="X84" i="74"/>
  <c r="N84" i="74"/>
  <c r="L84" i="74"/>
  <c r="B84" i="74"/>
  <c r="Z83" i="74"/>
  <c r="X83" i="74"/>
  <c r="L83" i="74"/>
  <c r="N83" i="74" s="1"/>
  <c r="J83" i="74"/>
  <c r="B83" i="74"/>
  <c r="Z82" i="74"/>
  <c r="X82" i="74"/>
  <c r="N82" i="74"/>
  <c r="L82" i="74"/>
  <c r="B82" i="74"/>
  <c r="T81" i="74"/>
  <c r="P81" i="74"/>
  <c r="X81" i="74" s="1"/>
  <c r="Z81" i="74" s="1"/>
  <c r="H81" i="74"/>
  <c r="D81" i="74"/>
  <c r="B81" i="74"/>
  <c r="X80" i="74"/>
  <c r="Z80" i="74" s="1"/>
  <c r="N80" i="74"/>
  <c r="L80" i="74"/>
  <c r="B80" i="74"/>
  <c r="X79" i="74"/>
  <c r="Z79" i="74" s="1"/>
  <c r="L79" i="74"/>
  <c r="N79" i="74" s="1"/>
  <c r="B79" i="74"/>
  <c r="X78" i="74"/>
  <c r="Z78" i="74" s="1"/>
  <c r="N78" i="74"/>
  <c r="L78" i="74"/>
  <c r="B78" i="74"/>
  <c r="Z77" i="74"/>
  <c r="X77" i="74"/>
  <c r="N77" i="74"/>
  <c r="L77" i="74"/>
  <c r="B77" i="74"/>
  <c r="X76" i="74"/>
  <c r="Z76" i="74" s="1"/>
  <c r="N76" i="74"/>
  <c r="L76" i="74"/>
  <c r="B76" i="74"/>
  <c r="X75" i="74"/>
  <c r="Z75" i="74" s="1"/>
  <c r="L75" i="74"/>
  <c r="N75" i="74" s="1"/>
  <c r="B75" i="74"/>
  <c r="X74" i="74"/>
  <c r="Z74" i="74" s="1"/>
  <c r="N74" i="74"/>
  <c r="L74" i="74"/>
  <c r="B74" i="74"/>
  <c r="X73" i="74"/>
  <c r="Z73" i="74" s="1"/>
  <c r="L73" i="74"/>
  <c r="N73" i="74" s="1"/>
  <c r="B73" i="74"/>
  <c r="X72" i="74"/>
  <c r="Z72" i="74" s="1"/>
  <c r="N72" i="74"/>
  <c r="L72" i="74"/>
  <c r="B72" i="74"/>
  <c r="T71" i="74"/>
  <c r="P71" i="74"/>
  <c r="X71" i="74" s="1"/>
  <c r="H71" i="74"/>
  <c r="D71" i="74"/>
  <c r="L71" i="74" s="1"/>
  <c r="N71" i="74" s="1"/>
  <c r="B71" i="74"/>
  <c r="T70" i="74"/>
  <c r="P70" i="74"/>
  <c r="X70" i="74" s="1"/>
  <c r="Z70" i="74" s="1"/>
  <c r="H70" i="74"/>
  <c r="D70" i="74"/>
  <c r="L70" i="74" s="1"/>
  <c r="Z66" i="74"/>
  <c r="X66" i="74"/>
  <c r="N66" i="74"/>
  <c r="L66" i="74"/>
  <c r="J66" i="74"/>
  <c r="B66" i="74"/>
  <c r="Z65" i="74"/>
  <c r="X65" i="74"/>
  <c r="N65" i="74"/>
  <c r="L65" i="74"/>
  <c r="J65" i="74"/>
  <c r="B65" i="74"/>
  <c r="Z64" i="74"/>
  <c r="X64" i="74"/>
  <c r="N64" i="74"/>
  <c r="L64" i="74"/>
  <c r="B64" i="74"/>
  <c r="Z63" i="74"/>
  <c r="X63" i="74"/>
  <c r="N63" i="74"/>
  <c r="L63" i="74"/>
  <c r="B63" i="74"/>
  <c r="Z62" i="74"/>
  <c r="X62" i="74"/>
  <c r="N62" i="74"/>
  <c r="L62" i="74"/>
  <c r="B62" i="74"/>
  <c r="Z61" i="74"/>
  <c r="X61" i="74"/>
  <c r="N61" i="74"/>
  <c r="L61" i="74"/>
  <c r="B61" i="74"/>
  <c r="Z60" i="74"/>
  <c r="X60" i="74"/>
  <c r="N60" i="74"/>
  <c r="L60" i="74"/>
  <c r="B60" i="74"/>
  <c r="Z59" i="74"/>
  <c r="X59" i="74"/>
  <c r="V59" i="74"/>
  <c r="N59" i="74"/>
  <c r="L59" i="74"/>
  <c r="B59" i="74"/>
  <c r="Z58" i="74"/>
  <c r="X58" i="74"/>
  <c r="N58" i="74"/>
  <c r="L58" i="74"/>
  <c r="J58" i="74"/>
  <c r="B58" i="74"/>
  <c r="Z57" i="74"/>
  <c r="X57" i="74"/>
  <c r="N57" i="74"/>
  <c r="L57" i="74"/>
  <c r="B57" i="74"/>
  <c r="Z56" i="74"/>
  <c r="X56" i="74"/>
  <c r="N56" i="74"/>
  <c r="L56" i="74"/>
  <c r="J56" i="74"/>
  <c r="B56" i="74"/>
  <c r="Z55" i="74"/>
  <c r="X55" i="74"/>
  <c r="N55" i="74"/>
  <c r="L55" i="74"/>
  <c r="B55" i="74"/>
  <c r="Z54" i="74"/>
  <c r="X54" i="74"/>
  <c r="N54" i="74"/>
  <c r="L54" i="74"/>
  <c r="J54" i="74"/>
  <c r="B54" i="74"/>
  <c r="Z53" i="74"/>
  <c r="X53" i="74"/>
  <c r="N53" i="74"/>
  <c r="L53" i="74"/>
  <c r="B53" i="74"/>
  <c r="Z52" i="74"/>
  <c r="X52" i="74"/>
  <c r="N52" i="74"/>
  <c r="L52" i="74"/>
  <c r="J52" i="74"/>
  <c r="B52" i="74"/>
  <c r="Z51" i="74"/>
  <c r="X51" i="74"/>
  <c r="N51" i="74"/>
  <c r="L51" i="74"/>
  <c r="J51" i="74"/>
  <c r="B51" i="74"/>
  <c r="Z50" i="74"/>
  <c r="X50" i="74"/>
  <c r="T50" i="74"/>
  <c r="P50" i="74"/>
  <c r="L50" i="74"/>
  <c r="H50" i="74"/>
  <c r="N50" i="74" s="1"/>
  <c r="D50" i="74"/>
  <c r="Z48" i="74"/>
  <c r="X48" i="74"/>
  <c r="P48" i="74"/>
  <c r="N48" i="74"/>
  <c r="L48" i="74"/>
  <c r="D48" i="74"/>
  <c r="B48" i="74"/>
  <c r="Z47" i="74"/>
  <c r="P47" i="74"/>
  <c r="X47" i="74" s="1"/>
  <c r="N47" i="74"/>
  <c r="L47" i="74"/>
  <c r="D47" i="74"/>
  <c r="B47" i="74"/>
  <c r="Z46" i="74"/>
  <c r="X46" i="74"/>
  <c r="P46" i="74"/>
  <c r="N46" i="74"/>
  <c r="D46" i="74"/>
  <c r="L46" i="74" s="1"/>
  <c r="B46" i="74"/>
  <c r="Z45" i="74"/>
  <c r="P45" i="74"/>
  <c r="X45" i="74" s="1"/>
  <c r="N45" i="74"/>
  <c r="D45" i="74"/>
  <c r="L45" i="74" s="1"/>
  <c r="B45" i="74"/>
  <c r="Z44" i="74"/>
  <c r="X44" i="74"/>
  <c r="P44" i="74"/>
  <c r="N44" i="74"/>
  <c r="D44" i="74"/>
  <c r="L44" i="74" s="1"/>
  <c r="B44" i="74"/>
  <c r="Z43" i="74"/>
  <c r="P43" i="74"/>
  <c r="X43" i="74" s="1"/>
  <c r="N43" i="74"/>
  <c r="L43" i="74"/>
  <c r="D43" i="74"/>
  <c r="B43" i="74"/>
  <c r="Z42" i="74"/>
  <c r="X42" i="74"/>
  <c r="P42" i="74"/>
  <c r="N42" i="74"/>
  <c r="D42" i="74"/>
  <c r="L42" i="74" s="1"/>
  <c r="B42" i="74"/>
  <c r="Z41" i="74"/>
  <c r="X41" i="74"/>
  <c r="P41" i="74"/>
  <c r="N41" i="74"/>
  <c r="L41" i="74"/>
  <c r="D41" i="74"/>
  <c r="B41" i="74"/>
  <c r="Z40" i="74"/>
  <c r="X40" i="74"/>
  <c r="P40" i="74"/>
  <c r="N40" i="74"/>
  <c r="L40" i="74"/>
  <c r="D40" i="74"/>
  <c r="B40" i="74"/>
  <c r="Z39" i="74"/>
  <c r="P39" i="74"/>
  <c r="X39" i="74" s="1"/>
  <c r="N39" i="74"/>
  <c r="L39" i="74"/>
  <c r="D39" i="74"/>
  <c r="B39" i="74"/>
  <c r="Z38" i="74"/>
  <c r="X38" i="74"/>
  <c r="P38" i="74"/>
  <c r="N38" i="74"/>
  <c r="L38" i="74"/>
  <c r="D38" i="74"/>
  <c r="B38" i="74"/>
  <c r="Z37" i="74"/>
  <c r="P37" i="74"/>
  <c r="X37" i="74" s="1"/>
  <c r="N37" i="74"/>
  <c r="L37" i="74"/>
  <c r="D37" i="74"/>
  <c r="B37" i="74"/>
  <c r="Z36" i="74"/>
  <c r="P36" i="74"/>
  <c r="X36" i="74" s="1"/>
  <c r="N36" i="74"/>
  <c r="D36" i="74"/>
  <c r="L36" i="74" s="1"/>
  <c r="B36" i="74"/>
  <c r="Z35" i="74"/>
  <c r="P35" i="74"/>
  <c r="X35" i="74" s="1"/>
  <c r="N35" i="74"/>
  <c r="L35" i="74"/>
  <c r="D35" i="74"/>
  <c r="B35" i="74"/>
  <c r="Z34" i="74"/>
  <c r="X34" i="74"/>
  <c r="P34" i="74"/>
  <c r="N34" i="74"/>
  <c r="D34" i="74"/>
  <c r="L34" i="74" s="1"/>
  <c r="B34" i="74"/>
  <c r="Z33" i="74"/>
  <c r="P33" i="74"/>
  <c r="X33" i="74" s="1"/>
  <c r="N33" i="74"/>
  <c r="D33" i="74"/>
  <c r="L33" i="74" s="1"/>
  <c r="B33" i="74"/>
  <c r="Z32" i="74"/>
  <c r="X32" i="74"/>
  <c r="P32" i="74"/>
  <c r="N32" i="74"/>
  <c r="D32" i="74"/>
  <c r="L32" i="74" s="1"/>
  <c r="B32" i="74"/>
  <c r="Z31" i="74"/>
  <c r="P31" i="74"/>
  <c r="X31" i="74" s="1"/>
  <c r="N31" i="74"/>
  <c r="L31" i="74"/>
  <c r="D31" i="74"/>
  <c r="B31" i="74"/>
  <c r="Z30" i="74"/>
  <c r="X30" i="74"/>
  <c r="P30" i="74"/>
  <c r="N30" i="74"/>
  <c r="D30" i="74"/>
  <c r="L30" i="74" s="1"/>
  <c r="B30" i="74"/>
  <c r="Z29" i="74"/>
  <c r="X29" i="74"/>
  <c r="P29" i="74"/>
  <c r="N29" i="74"/>
  <c r="L29" i="74"/>
  <c r="D29" i="74"/>
  <c r="B29" i="74"/>
  <c r="Z28" i="74"/>
  <c r="X28" i="74"/>
  <c r="P28" i="74"/>
  <c r="N28" i="74"/>
  <c r="L28" i="74"/>
  <c r="D28" i="74"/>
  <c r="B28" i="74"/>
  <c r="Z27" i="74"/>
  <c r="P27" i="74"/>
  <c r="X27" i="74" s="1"/>
  <c r="N27" i="74"/>
  <c r="L27" i="74"/>
  <c r="D27" i="74"/>
  <c r="B27" i="74"/>
  <c r="Z26" i="74"/>
  <c r="X26" i="74"/>
  <c r="P26" i="74"/>
  <c r="N26" i="74"/>
  <c r="L26" i="74"/>
  <c r="D26" i="74"/>
  <c r="B26" i="74"/>
  <c r="Z25" i="74"/>
  <c r="P25" i="74"/>
  <c r="X25" i="74" s="1"/>
  <c r="N25" i="74"/>
  <c r="L25" i="74"/>
  <c r="D25" i="74"/>
  <c r="B25" i="74"/>
  <c r="Z24" i="74"/>
  <c r="P24" i="74"/>
  <c r="X24" i="74" s="1"/>
  <c r="N24" i="74"/>
  <c r="D24" i="74"/>
  <c r="L24" i="74" s="1"/>
  <c r="B24" i="74"/>
  <c r="Z23" i="74"/>
  <c r="P23" i="74"/>
  <c r="N23" i="74"/>
  <c r="L23" i="74"/>
  <c r="D23" i="74"/>
  <c r="B23" i="74"/>
  <c r="Z22" i="74"/>
  <c r="X22" i="74"/>
  <c r="P22" i="74"/>
  <c r="N22" i="74"/>
  <c r="D22" i="74"/>
  <c r="L22" i="74" s="1"/>
  <c r="B22" i="74"/>
  <c r="Z21" i="74"/>
  <c r="P21" i="74"/>
  <c r="X21" i="74" s="1"/>
  <c r="N21" i="74"/>
  <c r="D21" i="74"/>
  <c r="L21" i="74" s="1"/>
  <c r="B21" i="74"/>
  <c r="Z20" i="74"/>
  <c r="X20" i="74"/>
  <c r="P20" i="74"/>
  <c r="N20" i="74"/>
  <c r="D20" i="74"/>
  <c r="L20" i="74" s="1"/>
  <c r="B20" i="74"/>
  <c r="Z19" i="74"/>
  <c r="P19" i="74"/>
  <c r="X19" i="74" s="1"/>
  <c r="N19" i="74"/>
  <c r="L19" i="74"/>
  <c r="D19" i="74"/>
  <c r="B19" i="74"/>
  <c r="Z18" i="74"/>
  <c r="X18" i="74"/>
  <c r="P18" i="74"/>
  <c r="N18" i="74"/>
  <c r="D18" i="74"/>
  <c r="L18" i="74" s="1"/>
  <c r="B18" i="74"/>
  <c r="Z17" i="74"/>
  <c r="X17" i="74"/>
  <c r="P17" i="74"/>
  <c r="N17" i="74"/>
  <c r="L17" i="74"/>
  <c r="D17" i="74"/>
  <c r="B17" i="74"/>
  <c r="Z16" i="74"/>
  <c r="X16" i="74"/>
  <c r="P16" i="74"/>
  <c r="N16" i="74"/>
  <c r="L16" i="74"/>
  <c r="D16" i="74"/>
  <c r="B16" i="74"/>
  <c r="Z15" i="74"/>
  <c r="P15" i="74"/>
  <c r="X15" i="74" s="1"/>
  <c r="N15" i="74"/>
  <c r="L15" i="74"/>
  <c r="D15" i="74"/>
  <c r="B15" i="74"/>
  <c r="Z14" i="74"/>
  <c r="X14" i="74"/>
  <c r="P14" i="74"/>
  <c r="N14" i="74"/>
  <c r="L14" i="74"/>
  <c r="D14" i="74"/>
  <c r="B14" i="74"/>
  <c r="P13" i="74"/>
  <c r="X13" i="74" s="1"/>
  <c r="Z13" i="74" s="1"/>
  <c r="L13" i="74"/>
  <c r="N13" i="74" s="1"/>
  <c r="D13" i="74"/>
  <c r="B13" i="74"/>
  <c r="T12" i="74"/>
  <c r="V110" i="74" s="1"/>
  <c r="H12" i="74"/>
  <c r="J113" i="74" s="1"/>
  <c r="D6" i="74"/>
  <c r="D4" i="74"/>
  <c r="X70" i="72"/>
  <c r="Z70" i="72" s="1"/>
  <c r="L70" i="72"/>
  <c r="N70" i="72" s="1"/>
  <c r="T66" i="72"/>
  <c r="Z66" i="72" s="1"/>
  <c r="P66" i="72"/>
  <c r="X66" i="72" s="1"/>
  <c r="H66" i="72"/>
  <c r="N66" i="72" s="1"/>
  <c r="D66" i="72"/>
  <c r="L66" i="72" s="1"/>
  <c r="Z64" i="72"/>
  <c r="X64" i="72"/>
  <c r="N64" i="72"/>
  <c r="L64" i="72"/>
  <c r="B64" i="72"/>
  <c r="T63" i="72"/>
  <c r="P63" i="72"/>
  <c r="X63" i="72" s="1"/>
  <c r="Z63" i="72" s="1"/>
  <c r="N63" i="72"/>
  <c r="H63" i="72"/>
  <c r="D63" i="72"/>
  <c r="L63" i="72" s="1"/>
  <c r="B63" i="72"/>
  <c r="Z62" i="72"/>
  <c r="X62" i="72"/>
  <c r="N62" i="72"/>
  <c r="L62" i="72"/>
  <c r="B62" i="72"/>
  <c r="X61" i="72"/>
  <c r="Z61" i="72" s="1"/>
  <c r="V61" i="72"/>
  <c r="N61" i="72"/>
  <c r="L61" i="72"/>
  <c r="B61" i="72"/>
  <c r="T60" i="72"/>
  <c r="P60" i="72"/>
  <c r="X60" i="72" s="1"/>
  <c r="H60" i="72"/>
  <c r="D60" i="72"/>
  <c r="L60" i="72" s="1"/>
  <c r="N60" i="72" s="1"/>
  <c r="B60" i="72"/>
  <c r="Z59" i="72"/>
  <c r="X59" i="72"/>
  <c r="N59" i="72"/>
  <c r="L59" i="72"/>
  <c r="J59" i="72"/>
  <c r="B59" i="72"/>
  <c r="Z58" i="72"/>
  <c r="X58" i="72"/>
  <c r="L58" i="72"/>
  <c r="N58" i="72" s="1"/>
  <c r="F58" i="72"/>
  <c r="B58" i="72"/>
  <c r="Z57" i="72"/>
  <c r="X57" i="72"/>
  <c r="R57" i="72"/>
  <c r="N57" i="72"/>
  <c r="L57" i="72"/>
  <c r="B57" i="72"/>
  <c r="X56" i="72"/>
  <c r="T56" i="72"/>
  <c r="P56" i="72"/>
  <c r="N56" i="72"/>
  <c r="L56" i="72"/>
  <c r="H56" i="72"/>
  <c r="D56" i="72"/>
  <c r="B56" i="72"/>
  <c r="Z55" i="72"/>
  <c r="X55" i="72"/>
  <c r="L55" i="72"/>
  <c r="N55" i="72" s="1"/>
  <c r="J55" i="72"/>
  <c r="B55" i="72"/>
  <c r="T54" i="72"/>
  <c r="P54" i="72"/>
  <c r="J54" i="72"/>
  <c r="H54" i="72"/>
  <c r="N54" i="72" s="1"/>
  <c r="D54" i="72"/>
  <c r="L54" i="72" s="1"/>
  <c r="B54" i="72"/>
  <c r="X53" i="72"/>
  <c r="Z53" i="72" s="1"/>
  <c r="V53" i="72"/>
  <c r="N53" i="72"/>
  <c r="L53" i="72"/>
  <c r="B53" i="72"/>
  <c r="Z52" i="72"/>
  <c r="X52" i="72"/>
  <c r="N52" i="72"/>
  <c r="L52" i="72"/>
  <c r="J52" i="72"/>
  <c r="B52" i="72"/>
  <c r="X51" i="72"/>
  <c r="Z51" i="72" s="1"/>
  <c r="T51" i="72"/>
  <c r="P51" i="72"/>
  <c r="J51" i="72"/>
  <c r="H51" i="72"/>
  <c r="D51" i="72"/>
  <c r="B51" i="72"/>
  <c r="Z50" i="72"/>
  <c r="X50" i="72"/>
  <c r="N50" i="72"/>
  <c r="L50" i="72"/>
  <c r="B50" i="72"/>
  <c r="T49" i="72"/>
  <c r="X49" i="72" s="1"/>
  <c r="P49" i="72"/>
  <c r="N49" i="72"/>
  <c r="H49" i="72"/>
  <c r="F49" i="72"/>
  <c r="D49" i="72"/>
  <c r="L49" i="72" s="1"/>
  <c r="B49" i="72"/>
  <c r="Z48" i="72"/>
  <c r="X48" i="72"/>
  <c r="N48" i="72"/>
  <c r="L48" i="72"/>
  <c r="B48" i="72"/>
  <c r="Z47" i="72"/>
  <c r="T47" i="72"/>
  <c r="P47" i="72"/>
  <c r="X47" i="72" s="1"/>
  <c r="N47" i="72"/>
  <c r="J47" i="72"/>
  <c r="H47" i="72"/>
  <c r="D47" i="72"/>
  <c r="L47" i="72" s="1"/>
  <c r="B47" i="72"/>
  <c r="X46" i="72"/>
  <c r="Z46" i="72" s="1"/>
  <c r="N46" i="72"/>
  <c r="L46" i="72"/>
  <c r="B46" i="72"/>
  <c r="V45" i="72"/>
  <c r="T45" i="72"/>
  <c r="P45" i="72"/>
  <c r="L45" i="72"/>
  <c r="N45" i="72" s="1"/>
  <c r="J45" i="72"/>
  <c r="H45" i="72"/>
  <c r="D45" i="72"/>
  <c r="B45" i="72"/>
  <c r="X44" i="72"/>
  <c r="Z44" i="72" s="1"/>
  <c r="N44" i="72"/>
  <c r="L44" i="72"/>
  <c r="J44" i="72"/>
  <c r="B44" i="72"/>
  <c r="T43" i="72"/>
  <c r="R43" i="72"/>
  <c r="P43" i="72"/>
  <c r="X43" i="72" s="1"/>
  <c r="H43" i="72"/>
  <c r="L43" i="72" s="1"/>
  <c r="D43" i="72"/>
  <c r="B43" i="72"/>
  <c r="Z42" i="72"/>
  <c r="X42" i="72"/>
  <c r="R42" i="72"/>
  <c r="N42" i="72"/>
  <c r="L42" i="72"/>
  <c r="J42" i="72"/>
  <c r="B42" i="72"/>
  <c r="Z41" i="72"/>
  <c r="X41" i="72"/>
  <c r="N41" i="72"/>
  <c r="L41" i="72"/>
  <c r="J41" i="72"/>
  <c r="B41" i="72"/>
  <c r="Z40" i="72"/>
  <c r="X40" i="72"/>
  <c r="N40" i="72"/>
  <c r="L40" i="72"/>
  <c r="B40" i="72"/>
  <c r="Z39" i="72"/>
  <c r="X39" i="72"/>
  <c r="N39" i="72"/>
  <c r="L39" i="72"/>
  <c r="J39" i="72"/>
  <c r="B39" i="72"/>
  <c r="Z38" i="72"/>
  <c r="X38" i="72"/>
  <c r="R38" i="72"/>
  <c r="N38" i="72"/>
  <c r="L38" i="72"/>
  <c r="J38" i="72"/>
  <c r="B38" i="72"/>
  <c r="Z37" i="72"/>
  <c r="X37" i="72"/>
  <c r="L37" i="72"/>
  <c r="N37" i="72" s="1"/>
  <c r="J37" i="72"/>
  <c r="B37" i="72"/>
  <c r="Z36" i="72"/>
  <c r="X36" i="72"/>
  <c r="L36" i="72"/>
  <c r="N36" i="72" s="1"/>
  <c r="B36" i="72"/>
  <c r="Z35" i="72"/>
  <c r="X35" i="72"/>
  <c r="N35" i="72"/>
  <c r="L35" i="72"/>
  <c r="J35" i="72"/>
  <c r="B35" i="72"/>
  <c r="Z34" i="72"/>
  <c r="X34" i="72"/>
  <c r="R34" i="72"/>
  <c r="N34" i="72"/>
  <c r="L34" i="72"/>
  <c r="J34" i="72"/>
  <c r="B34" i="72"/>
  <c r="Z33" i="72"/>
  <c r="X33" i="72"/>
  <c r="L33" i="72"/>
  <c r="N33" i="72" s="1"/>
  <c r="J33" i="72"/>
  <c r="B33" i="72"/>
  <c r="T32" i="72"/>
  <c r="Z32" i="72" s="1"/>
  <c r="P32" i="72"/>
  <c r="X32" i="72" s="1"/>
  <c r="H32" i="72"/>
  <c r="D32" i="72"/>
  <c r="L32" i="72" s="1"/>
  <c r="B32" i="72"/>
  <c r="X31" i="72"/>
  <c r="Z31" i="72" s="1"/>
  <c r="N31" i="72"/>
  <c r="L31" i="72"/>
  <c r="J31" i="72"/>
  <c r="B31" i="72"/>
  <c r="X30" i="72"/>
  <c r="Z30" i="72" s="1"/>
  <c r="N30" i="72"/>
  <c r="L30" i="72"/>
  <c r="B30" i="72"/>
  <c r="X29" i="72"/>
  <c r="Z29" i="72" s="1"/>
  <c r="V29" i="72"/>
  <c r="N29" i="72"/>
  <c r="L29" i="72"/>
  <c r="J29" i="72"/>
  <c r="B29" i="72"/>
  <c r="Z28" i="72"/>
  <c r="X28" i="72"/>
  <c r="N28" i="72"/>
  <c r="L28" i="72"/>
  <c r="J28" i="72"/>
  <c r="B28" i="72"/>
  <c r="X27" i="72"/>
  <c r="Z27" i="72" s="1"/>
  <c r="N27" i="72"/>
  <c r="L27" i="72"/>
  <c r="J27" i="72"/>
  <c r="B27" i="72"/>
  <c r="X26" i="72"/>
  <c r="Z26" i="72" s="1"/>
  <c r="N26" i="72"/>
  <c r="L26" i="72"/>
  <c r="B26" i="72"/>
  <c r="X25" i="72"/>
  <c r="Z25" i="72" s="1"/>
  <c r="V25" i="72"/>
  <c r="N25" i="72"/>
  <c r="L25" i="72"/>
  <c r="J25" i="72"/>
  <c r="B25" i="72"/>
  <c r="X24" i="72"/>
  <c r="Z24" i="72" s="1"/>
  <c r="L24" i="72"/>
  <c r="N24" i="72" s="1"/>
  <c r="J24" i="72"/>
  <c r="B24" i="72"/>
  <c r="X23" i="72"/>
  <c r="Z23" i="72" s="1"/>
  <c r="N23" i="72"/>
  <c r="L23" i="72"/>
  <c r="J23" i="72"/>
  <c r="B23" i="72"/>
  <c r="T22" i="72"/>
  <c r="R22" i="72"/>
  <c r="P22" i="72"/>
  <c r="X22" i="72" s="1"/>
  <c r="Z22" i="72" s="1"/>
  <c r="H22" i="72"/>
  <c r="D22" i="72"/>
  <c r="L22" i="72" s="1"/>
  <c r="B22" i="72"/>
  <c r="T21" i="72"/>
  <c r="X21" i="72" s="1"/>
  <c r="P21" i="72"/>
  <c r="H21" i="72"/>
  <c r="F21" i="72"/>
  <c r="D21" i="72"/>
  <c r="L21" i="72" s="1"/>
  <c r="Z17" i="72"/>
  <c r="X17" i="72"/>
  <c r="R17" i="72"/>
  <c r="N17" i="72"/>
  <c r="L17" i="72"/>
  <c r="J17" i="72"/>
  <c r="B17" i="72"/>
  <c r="X16" i="72"/>
  <c r="Z16" i="72" s="1"/>
  <c r="N16" i="72"/>
  <c r="L16" i="72"/>
  <c r="J16" i="72"/>
  <c r="B16" i="72"/>
  <c r="T15" i="72"/>
  <c r="R15" i="72"/>
  <c r="P15" i="72"/>
  <c r="X15" i="72" s="1"/>
  <c r="H15" i="72"/>
  <c r="L15" i="72" s="1"/>
  <c r="D15" i="72"/>
  <c r="P13" i="72"/>
  <c r="X13" i="72" s="1"/>
  <c r="Z13" i="72" s="1"/>
  <c r="L13" i="72"/>
  <c r="N13" i="72" s="1"/>
  <c r="D13" i="72"/>
  <c r="D12" i="72" s="1"/>
  <c r="F19" i="72" s="1"/>
  <c r="B13" i="72"/>
  <c r="T12" i="72"/>
  <c r="V62" i="72" s="1"/>
  <c r="P12" i="72"/>
  <c r="R56" i="72" s="1"/>
  <c r="H12" i="72"/>
  <c r="D6" i="72"/>
  <c r="D4" i="72"/>
  <c r="X109" i="70"/>
  <c r="Z109" i="70" s="1"/>
  <c r="L109" i="70"/>
  <c r="N109" i="70" s="1"/>
  <c r="Z105" i="70"/>
  <c r="X105" i="70"/>
  <c r="V105" i="70"/>
  <c r="P105" i="70"/>
  <c r="N105" i="70"/>
  <c r="D105" i="70"/>
  <c r="B105" i="70"/>
  <c r="P104" i="70"/>
  <c r="X104" i="70" s="1"/>
  <c r="Z104" i="70" s="1"/>
  <c r="D104" i="70"/>
  <c r="L104" i="70" s="1"/>
  <c r="N104" i="70" s="1"/>
  <c r="B104" i="70"/>
  <c r="P103" i="70"/>
  <c r="X103" i="70" s="1"/>
  <c r="Z103" i="70" s="1"/>
  <c r="D103" i="70"/>
  <c r="L103" i="70" s="1"/>
  <c r="N103" i="70" s="1"/>
  <c r="B103" i="70"/>
  <c r="T102" i="70"/>
  <c r="P102" i="70"/>
  <c r="X102" i="70" s="1"/>
  <c r="Z102" i="70" s="1"/>
  <c r="H102" i="70"/>
  <c r="Z100" i="70"/>
  <c r="X100" i="70"/>
  <c r="N100" i="70"/>
  <c r="L100" i="70"/>
  <c r="B100" i="70"/>
  <c r="T99" i="70"/>
  <c r="Z99" i="70" s="1"/>
  <c r="P99" i="70"/>
  <c r="J99" i="70"/>
  <c r="H99" i="70"/>
  <c r="N99" i="70" s="1"/>
  <c r="D99" i="70"/>
  <c r="L99" i="70" s="1"/>
  <c r="B99" i="70"/>
  <c r="X98" i="70"/>
  <c r="Z98" i="70" s="1"/>
  <c r="V98" i="70"/>
  <c r="N98" i="70"/>
  <c r="L98" i="70"/>
  <c r="B98" i="70"/>
  <c r="X97" i="70"/>
  <c r="Z97" i="70" s="1"/>
  <c r="L97" i="70"/>
  <c r="N97" i="70" s="1"/>
  <c r="B97" i="70"/>
  <c r="X96" i="70"/>
  <c r="Z96" i="70" s="1"/>
  <c r="T96" i="70"/>
  <c r="P96" i="70"/>
  <c r="L96" i="70"/>
  <c r="J96" i="70"/>
  <c r="H96" i="70"/>
  <c r="N96" i="70" s="1"/>
  <c r="D96" i="70"/>
  <c r="B96" i="70"/>
  <c r="Z95" i="70"/>
  <c r="X95" i="70"/>
  <c r="L95" i="70"/>
  <c r="N95" i="70" s="1"/>
  <c r="B95" i="70"/>
  <c r="Z94" i="70"/>
  <c r="X94" i="70"/>
  <c r="N94" i="70"/>
  <c r="L94" i="70"/>
  <c r="B94" i="70"/>
  <c r="X93" i="70"/>
  <c r="Z93" i="70" s="1"/>
  <c r="N93" i="70"/>
  <c r="L93" i="70"/>
  <c r="J93" i="70"/>
  <c r="B93" i="70"/>
  <c r="T92" i="70"/>
  <c r="P92" i="70"/>
  <c r="X92" i="70" s="1"/>
  <c r="H92" i="70"/>
  <c r="D92" i="70"/>
  <c r="B92" i="70"/>
  <c r="X91" i="70"/>
  <c r="Z91" i="70" s="1"/>
  <c r="N91" i="70"/>
  <c r="L91" i="70"/>
  <c r="B91" i="70"/>
  <c r="T90" i="70"/>
  <c r="P90" i="70"/>
  <c r="X90" i="70" s="1"/>
  <c r="Z90" i="70" s="1"/>
  <c r="N90" i="70"/>
  <c r="H90" i="70"/>
  <c r="D90" i="70"/>
  <c r="L90" i="70" s="1"/>
  <c r="B90" i="70"/>
  <c r="X89" i="70"/>
  <c r="Z89" i="70" s="1"/>
  <c r="L89" i="70"/>
  <c r="N89" i="70" s="1"/>
  <c r="B89" i="70"/>
  <c r="X88" i="70"/>
  <c r="Z88" i="70" s="1"/>
  <c r="N88" i="70"/>
  <c r="L88" i="70"/>
  <c r="B88" i="70"/>
  <c r="T87" i="70"/>
  <c r="P87" i="70"/>
  <c r="X87" i="70" s="1"/>
  <c r="Z87" i="70" s="1"/>
  <c r="H87" i="70"/>
  <c r="D87" i="70"/>
  <c r="L87" i="70" s="1"/>
  <c r="B87" i="70"/>
  <c r="Z86" i="70"/>
  <c r="X86" i="70"/>
  <c r="N86" i="70"/>
  <c r="L86" i="70"/>
  <c r="B86" i="70"/>
  <c r="X85" i="70"/>
  <c r="Z85" i="70" s="1"/>
  <c r="T85" i="70"/>
  <c r="P85" i="70"/>
  <c r="N85" i="70"/>
  <c r="L85" i="70"/>
  <c r="H85" i="70"/>
  <c r="D85" i="70"/>
  <c r="B85" i="70"/>
  <c r="Z84" i="70"/>
  <c r="X84" i="70"/>
  <c r="N84" i="70"/>
  <c r="L84" i="70"/>
  <c r="B84" i="70"/>
  <c r="X83" i="70"/>
  <c r="Z83" i="70" s="1"/>
  <c r="N83" i="70"/>
  <c r="L83" i="70"/>
  <c r="B83" i="70"/>
  <c r="T82" i="70"/>
  <c r="P82" i="70"/>
  <c r="X82" i="70" s="1"/>
  <c r="Z82" i="70" s="1"/>
  <c r="N82" i="70"/>
  <c r="H82" i="70"/>
  <c r="D82" i="70"/>
  <c r="L82" i="70" s="1"/>
  <c r="B82" i="70"/>
  <c r="X81" i="70"/>
  <c r="Z81" i="70" s="1"/>
  <c r="L81" i="70"/>
  <c r="N81" i="70" s="1"/>
  <c r="B81" i="70"/>
  <c r="X80" i="70"/>
  <c r="Z80" i="70" s="1"/>
  <c r="T80" i="70"/>
  <c r="P80" i="70"/>
  <c r="L80" i="70"/>
  <c r="J80" i="70"/>
  <c r="H80" i="70"/>
  <c r="N80" i="70" s="1"/>
  <c r="D80" i="70"/>
  <c r="B80" i="70"/>
  <c r="Z79" i="70"/>
  <c r="X79" i="70"/>
  <c r="L79" i="70"/>
  <c r="N79" i="70" s="1"/>
  <c r="B79" i="70"/>
  <c r="T78" i="70"/>
  <c r="P78" i="70"/>
  <c r="H78" i="70"/>
  <c r="D78" i="70"/>
  <c r="L78" i="70" s="1"/>
  <c r="B78" i="70"/>
  <c r="Z77" i="70"/>
  <c r="X77" i="70"/>
  <c r="V77" i="70"/>
  <c r="L77" i="70"/>
  <c r="N77" i="70" s="1"/>
  <c r="B77" i="70"/>
  <c r="T76" i="70"/>
  <c r="P76" i="70"/>
  <c r="X76" i="70" s="1"/>
  <c r="Z76" i="70" s="1"/>
  <c r="H76" i="70"/>
  <c r="D76" i="70"/>
  <c r="L76" i="70" s="1"/>
  <c r="N76" i="70" s="1"/>
  <c r="B76" i="70"/>
  <c r="Z75" i="70"/>
  <c r="X75" i="70"/>
  <c r="N75" i="70"/>
  <c r="L75" i="70"/>
  <c r="B75" i="70"/>
  <c r="X74" i="70"/>
  <c r="V74" i="70"/>
  <c r="T74" i="70"/>
  <c r="Z74" i="70" s="1"/>
  <c r="P74" i="70"/>
  <c r="L74" i="70"/>
  <c r="N74" i="70" s="1"/>
  <c r="H74" i="70"/>
  <c r="D74" i="70"/>
  <c r="B74" i="70"/>
  <c r="X73" i="70"/>
  <c r="Z73" i="70" s="1"/>
  <c r="N73" i="70"/>
  <c r="L73" i="70"/>
  <c r="J73" i="70"/>
  <c r="B73" i="70"/>
  <c r="T72" i="70"/>
  <c r="P72" i="70"/>
  <c r="X72" i="70" s="1"/>
  <c r="H72" i="70"/>
  <c r="D72" i="70"/>
  <c r="B72" i="70"/>
  <c r="Z71" i="70"/>
  <c r="X71" i="70"/>
  <c r="N71" i="70"/>
  <c r="L71" i="70"/>
  <c r="B71" i="70"/>
  <c r="Z70" i="70"/>
  <c r="X70" i="70"/>
  <c r="N70" i="70"/>
  <c r="L70" i="70"/>
  <c r="J70" i="70"/>
  <c r="B70" i="70"/>
  <c r="Z69" i="70"/>
  <c r="X69" i="70"/>
  <c r="V69" i="70"/>
  <c r="L69" i="70"/>
  <c r="N69" i="70" s="1"/>
  <c r="B69" i="70"/>
  <c r="Z68" i="70"/>
  <c r="X68" i="70"/>
  <c r="N68" i="70"/>
  <c r="L68" i="70"/>
  <c r="B68" i="70"/>
  <c r="Z67" i="70"/>
  <c r="X67" i="70"/>
  <c r="N67" i="70"/>
  <c r="L67" i="70"/>
  <c r="B67" i="70"/>
  <c r="Z66" i="70"/>
  <c r="X66" i="70"/>
  <c r="L66" i="70"/>
  <c r="N66" i="70" s="1"/>
  <c r="J66" i="70"/>
  <c r="B66" i="70"/>
  <c r="Z65" i="70"/>
  <c r="X65" i="70"/>
  <c r="V65" i="70"/>
  <c r="L65" i="70"/>
  <c r="N65" i="70" s="1"/>
  <c r="B65" i="70"/>
  <c r="Z64" i="70"/>
  <c r="X64" i="70"/>
  <c r="N64" i="70"/>
  <c r="L64" i="70"/>
  <c r="B64" i="70"/>
  <c r="X63" i="70"/>
  <c r="Z63" i="70" s="1"/>
  <c r="N63" i="70"/>
  <c r="L63" i="70"/>
  <c r="B63" i="70"/>
  <c r="Z62" i="70"/>
  <c r="X62" i="70"/>
  <c r="N62" i="70"/>
  <c r="L62" i="70"/>
  <c r="J62" i="70"/>
  <c r="B62" i="70"/>
  <c r="V61" i="70"/>
  <c r="T61" i="70"/>
  <c r="P61" i="70"/>
  <c r="X61" i="70" s="1"/>
  <c r="H61" i="70"/>
  <c r="D61" i="70"/>
  <c r="L61" i="70" s="1"/>
  <c r="B61" i="70"/>
  <c r="X60" i="70"/>
  <c r="Z60" i="70" s="1"/>
  <c r="N60" i="70"/>
  <c r="L60" i="70"/>
  <c r="B60" i="70"/>
  <c r="Z59" i="70"/>
  <c r="X59" i="70"/>
  <c r="N59" i="70"/>
  <c r="L59" i="70"/>
  <c r="B59" i="70"/>
  <c r="X58" i="70"/>
  <c r="Z58" i="70" s="1"/>
  <c r="V58" i="70"/>
  <c r="N58" i="70"/>
  <c r="L58" i="70"/>
  <c r="B58" i="70"/>
  <c r="Z57" i="70"/>
  <c r="X57" i="70"/>
  <c r="N57" i="70"/>
  <c r="L57" i="70"/>
  <c r="B57" i="70"/>
  <c r="Z56" i="70"/>
  <c r="X56" i="70"/>
  <c r="N56" i="70"/>
  <c r="L56" i="70"/>
  <c r="B56" i="70"/>
  <c r="Z55" i="70"/>
  <c r="X55" i="70"/>
  <c r="N55" i="70"/>
  <c r="L55" i="70"/>
  <c r="B55" i="70"/>
  <c r="X54" i="70"/>
  <c r="Z54" i="70" s="1"/>
  <c r="V54" i="70"/>
  <c r="N54" i="70"/>
  <c r="L54" i="70"/>
  <c r="B54" i="70"/>
  <c r="X53" i="70"/>
  <c r="Z53" i="70" s="1"/>
  <c r="L53" i="70"/>
  <c r="N53" i="70" s="1"/>
  <c r="B53" i="70"/>
  <c r="X52" i="70"/>
  <c r="Z52" i="70" s="1"/>
  <c r="N52" i="70"/>
  <c r="L52" i="70"/>
  <c r="B52" i="70"/>
  <c r="Z51" i="70"/>
  <c r="X51" i="70"/>
  <c r="N51" i="70"/>
  <c r="L51" i="70"/>
  <c r="B51" i="70"/>
  <c r="X50" i="70"/>
  <c r="V50" i="70"/>
  <c r="T50" i="70"/>
  <c r="Z50" i="70" s="1"/>
  <c r="P50" i="70"/>
  <c r="L50" i="70"/>
  <c r="N50" i="70" s="1"/>
  <c r="H50" i="70"/>
  <c r="D50" i="70"/>
  <c r="B50" i="70"/>
  <c r="X49" i="70"/>
  <c r="Z49" i="70" s="1"/>
  <c r="T49" i="70"/>
  <c r="P49" i="70"/>
  <c r="N49" i="70"/>
  <c r="H49" i="70"/>
  <c r="D49" i="70"/>
  <c r="L49" i="70" s="1"/>
  <c r="Z45" i="70"/>
  <c r="X45" i="70"/>
  <c r="N45" i="70"/>
  <c r="L45" i="70"/>
  <c r="J45" i="70"/>
  <c r="B45" i="70"/>
  <c r="Z44" i="70"/>
  <c r="X44" i="70"/>
  <c r="N44" i="70"/>
  <c r="L44" i="70"/>
  <c r="B44" i="70"/>
  <c r="Z43" i="70"/>
  <c r="X43" i="70"/>
  <c r="N43" i="70"/>
  <c r="L43" i="70"/>
  <c r="B43" i="70"/>
  <c r="Z42" i="70"/>
  <c r="X42" i="70"/>
  <c r="N42" i="70"/>
  <c r="L42" i="70"/>
  <c r="B42" i="70"/>
  <c r="Z41" i="70"/>
  <c r="X41" i="70"/>
  <c r="N41" i="70"/>
  <c r="L41" i="70"/>
  <c r="J41" i="70"/>
  <c r="B41" i="70"/>
  <c r="Z40" i="70"/>
  <c r="X40" i="70"/>
  <c r="N40" i="70"/>
  <c r="L40" i="70"/>
  <c r="B40" i="70"/>
  <c r="Z39" i="70"/>
  <c r="X39" i="70"/>
  <c r="N39" i="70"/>
  <c r="L39" i="70"/>
  <c r="B39" i="70"/>
  <c r="Z38" i="70"/>
  <c r="X38" i="70"/>
  <c r="N38" i="70"/>
  <c r="L38" i="70"/>
  <c r="B38" i="70"/>
  <c r="Z37" i="70"/>
  <c r="X37" i="70"/>
  <c r="N37" i="70"/>
  <c r="L37" i="70"/>
  <c r="J37" i="70"/>
  <c r="B37" i="70"/>
  <c r="Z36" i="70"/>
  <c r="X36" i="70"/>
  <c r="N36" i="70"/>
  <c r="L36" i="70"/>
  <c r="B36" i="70"/>
  <c r="Z35" i="70"/>
  <c r="X35" i="70"/>
  <c r="N35" i="70"/>
  <c r="L35" i="70"/>
  <c r="B35" i="70"/>
  <c r="Z34" i="70"/>
  <c r="X34" i="70"/>
  <c r="N34" i="70"/>
  <c r="L34" i="70"/>
  <c r="B34" i="70"/>
  <c r="X33" i="70"/>
  <c r="Z33" i="70" s="1"/>
  <c r="T33" i="70"/>
  <c r="P33" i="70"/>
  <c r="N33" i="70"/>
  <c r="L33" i="70"/>
  <c r="H33" i="70"/>
  <c r="D33" i="70"/>
  <c r="Z31" i="70"/>
  <c r="X31" i="70"/>
  <c r="P31" i="70"/>
  <c r="N31" i="70"/>
  <c r="D31" i="70"/>
  <c r="L31" i="70" s="1"/>
  <c r="B31" i="70"/>
  <c r="Z30" i="70"/>
  <c r="P30" i="70"/>
  <c r="X30" i="70" s="1"/>
  <c r="N30" i="70"/>
  <c r="D30" i="70"/>
  <c r="L30" i="70" s="1"/>
  <c r="B30" i="70"/>
  <c r="Z29" i="70"/>
  <c r="X29" i="70"/>
  <c r="P29" i="70"/>
  <c r="N29" i="70"/>
  <c r="L29" i="70"/>
  <c r="D29" i="70"/>
  <c r="B29" i="70"/>
  <c r="Z28" i="70"/>
  <c r="P28" i="70"/>
  <c r="X28" i="70" s="1"/>
  <c r="N28" i="70"/>
  <c r="L28" i="70"/>
  <c r="D28" i="70"/>
  <c r="B28" i="70"/>
  <c r="Z27" i="70"/>
  <c r="P27" i="70"/>
  <c r="X27" i="70" s="1"/>
  <c r="N27" i="70"/>
  <c r="D27" i="70"/>
  <c r="L27" i="70" s="1"/>
  <c r="B27" i="70"/>
  <c r="Z26" i="70"/>
  <c r="P26" i="70"/>
  <c r="X26" i="70" s="1"/>
  <c r="N26" i="70"/>
  <c r="L26" i="70"/>
  <c r="D26" i="70"/>
  <c r="B26" i="70"/>
  <c r="Z25" i="70"/>
  <c r="X25" i="70"/>
  <c r="P25" i="70"/>
  <c r="N25" i="70"/>
  <c r="D25" i="70"/>
  <c r="L25" i="70" s="1"/>
  <c r="B25" i="70"/>
  <c r="Z24" i="70"/>
  <c r="P24" i="70"/>
  <c r="X24" i="70" s="1"/>
  <c r="N24" i="70"/>
  <c r="D24" i="70"/>
  <c r="L24" i="70" s="1"/>
  <c r="B24" i="70"/>
  <c r="Z23" i="70"/>
  <c r="X23" i="70"/>
  <c r="P23" i="70"/>
  <c r="N23" i="70"/>
  <c r="D23" i="70"/>
  <c r="L23" i="70" s="1"/>
  <c r="B23" i="70"/>
  <c r="Z22" i="70"/>
  <c r="P22" i="70"/>
  <c r="X22" i="70" s="1"/>
  <c r="N22" i="70"/>
  <c r="L22" i="70"/>
  <c r="D22" i="70"/>
  <c r="B22" i="70"/>
  <c r="Z21" i="70"/>
  <c r="P21" i="70"/>
  <c r="X21" i="70" s="1"/>
  <c r="N21" i="70"/>
  <c r="L21" i="70"/>
  <c r="D21" i="70"/>
  <c r="B21" i="70"/>
  <c r="Z20" i="70"/>
  <c r="X20" i="70"/>
  <c r="P20" i="70"/>
  <c r="N20" i="70"/>
  <c r="L20" i="70"/>
  <c r="D20" i="70"/>
  <c r="B20" i="70"/>
  <c r="Z19" i="70"/>
  <c r="X19" i="70"/>
  <c r="P19" i="70"/>
  <c r="N19" i="70"/>
  <c r="D19" i="70"/>
  <c r="L19" i="70" s="1"/>
  <c r="B19" i="70"/>
  <c r="Z18" i="70"/>
  <c r="P18" i="70"/>
  <c r="X18" i="70" s="1"/>
  <c r="N18" i="70"/>
  <c r="D18" i="70"/>
  <c r="L18" i="70" s="1"/>
  <c r="B18" i="70"/>
  <c r="Z17" i="70"/>
  <c r="X17" i="70"/>
  <c r="P17" i="70"/>
  <c r="N17" i="70"/>
  <c r="L17" i="70"/>
  <c r="D17" i="70"/>
  <c r="B17" i="70"/>
  <c r="Z16" i="70"/>
  <c r="P16" i="70"/>
  <c r="X16" i="70" s="1"/>
  <c r="N16" i="70"/>
  <c r="L16" i="70"/>
  <c r="D16" i="70"/>
  <c r="B16" i="70"/>
  <c r="Z15" i="70"/>
  <c r="P15" i="70"/>
  <c r="X15" i="70" s="1"/>
  <c r="N15" i="70"/>
  <c r="D15" i="70"/>
  <c r="L15" i="70" s="1"/>
  <c r="B15" i="70"/>
  <c r="Z14" i="70"/>
  <c r="P14" i="70"/>
  <c r="N14" i="70"/>
  <c r="L14" i="70"/>
  <c r="D14" i="70"/>
  <c r="B14" i="70"/>
  <c r="Z13" i="70"/>
  <c r="X13" i="70"/>
  <c r="P13" i="70"/>
  <c r="D13" i="70"/>
  <c r="B13" i="70"/>
  <c r="T12" i="70"/>
  <c r="V103" i="70" s="1"/>
  <c r="H12" i="70"/>
  <c r="D6" i="70"/>
  <c r="D4" i="70"/>
  <c r="Z65" i="69"/>
  <c r="X65" i="69"/>
  <c r="V65" i="69"/>
  <c r="N65" i="69"/>
  <c r="L65" i="69"/>
  <c r="Z61" i="69"/>
  <c r="T61" i="69"/>
  <c r="P61" i="69"/>
  <c r="X61" i="69" s="1"/>
  <c r="N61" i="69"/>
  <c r="H61" i="69"/>
  <c r="D61" i="69"/>
  <c r="L61" i="69" s="1"/>
  <c r="Z59" i="69"/>
  <c r="X59" i="69"/>
  <c r="N59" i="69"/>
  <c r="L59" i="69"/>
  <c r="J59" i="69"/>
  <c r="B59" i="69"/>
  <c r="V58" i="69"/>
  <c r="T58" i="69"/>
  <c r="Z58" i="69" s="1"/>
  <c r="P58" i="69"/>
  <c r="X58" i="69" s="1"/>
  <c r="H58" i="69"/>
  <c r="N58" i="69" s="1"/>
  <c r="D58" i="69"/>
  <c r="L58" i="69" s="1"/>
  <c r="B58" i="69"/>
  <c r="Z57" i="69"/>
  <c r="X57" i="69"/>
  <c r="V57" i="69"/>
  <c r="N57" i="69"/>
  <c r="L57" i="69"/>
  <c r="B57" i="69"/>
  <c r="Z56" i="69"/>
  <c r="X56" i="69"/>
  <c r="N56" i="69"/>
  <c r="L56" i="69"/>
  <c r="B56" i="69"/>
  <c r="X55" i="69"/>
  <c r="V55" i="69"/>
  <c r="T55" i="69"/>
  <c r="Z55" i="69" s="1"/>
  <c r="P55" i="69"/>
  <c r="N55" i="69"/>
  <c r="L55" i="69"/>
  <c r="H55" i="69"/>
  <c r="D55" i="69"/>
  <c r="B55" i="69"/>
  <c r="Z54" i="69"/>
  <c r="X54" i="69"/>
  <c r="V54" i="69"/>
  <c r="N54" i="69"/>
  <c r="L54" i="69"/>
  <c r="B54" i="69"/>
  <c r="Z53" i="69"/>
  <c r="X53" i="69"/>
  <c r="N53" i="69"/>
  <c r="L53" i="69"/>
  <c r="B53" i="69"/>
  <c r="Z52" i="69"/>
  <c r="X52" i="69"/>
  <c r="T52" i="69"/>
  <c r="P52" i="69"/>
  <c r="L52" i="69"/>
  <c r="H52" i="69"/>
  <c r="N52" i="69" s="1"/>
  <c r="D52" i="69"/>
  <c r="B52" i="69"/>
  <c r="Z51" i="69"/>
  <c r="X51" i="69"/>
  <c r="N51" i="69"/>
  <c r="L51" i="69"/>
  <c r="J51" i="69"/>
  <c r="B51" i="69"/>
  <c r="Z50" i="69"/>
  <c r="X50" i="69"/>
  <c r="V50" i="69"/>
  <c r="N50" i="69"/>
  <c r="L50" i="69"/>
  <c r="B50" i="69"/>
  <c r="Z49" i="69"/>
  <c r="V49" i="69"/>
  <c r="T49" i="69"/>
  <c r="P49" i="69"/>
  <c r="X49" i="69" s="1"/>
  <c r="N49" i="69"/>
  <c r="H49" i="69"/>
  <c r="D49" i="69"/>
  <c r="L49" i="69" s="1"/>
  <c r="B49" i="69"/>
  <c r="Z48" i="69"/>
  <c r="X48" i="69"/>
  <c r="N48" i="69"/>
  <c r="L48" i="69"/>
  <c r="B48" i="69"/>
  <c r="X47" i="69"/>
  <c r="V47" i="69"/>
  <c r="T47" i="69"/>
  <c r="Z47" i="69" s="1"/>
  <c r="P47" i="69"/>
  <c r="N47" i="69"/>
  <c r="L47" i="69"/>
  <c r="H47" i="69"/>
  <c r="D47" i="69"/>
  <c r="B47" i="69"/>
  <c r="Z46" i="69"/>
  <c r="X46" i="69"/>
  <c r="V46" i="69"/>
  <c r="N46" i="69"/>
  <c r="L46" i="69"/>
  <c r="J46" i="69"/>
  <c r="B46" i="69"/>
  <c r="T45" i="69"/>
  <c r="Z45" i="69" s="1"/>
  <c r="R45" i="69"/>
  <c r="P45" i="69"/>
  <c r="X45" i="69" s="1"/>
  <c r="H45" i="69"/>
  <c r="D45" i="69"/>
  <c r="B45" i="69"/>
  <c r="Z44" i="69"/>
  <c r="X44" i="69"/>
  <c r="V44" i="69"/>
  <c r="R44" i="69"/>
  <c r="N44" i="69"/>
  <c r="L44" i="69"/>
  <c r="B44" i="69"/>
  <c r="Z43" i="69"/>
  <c r="V43" i="69"/>
  <c r="T43" i="69"/>
  <c r="P43" i="69"/>
  <c r="X43" i="69" s="1"/>
  <c r="N43" i="69"/>
  <c r="H43" i="69"/>
  <c r="D43" i="69"/>
  <c r="L43" i="69" s="1"/>
  <c r="B43" i="69"/>
  <c r="Z42" i="69"/>
  <c r="X42" i="69"/>
  <c r="N42" i="69"/>
  <c r="L42" i="69"/>
  <c r="B42" i="69"/>
  <c r="Z41" i="69"/>
  <c r="X41" i="69"/>
  <c r="V41" i="69"/>
  <c r="T41" i="69"/>
  <c r="P41" i="69"/>
  <c r="L41" i="69"/>
  <c r="J41" i="69"/>
  <c r="H41" i="69"/>
  <c r="N41" i="69" s="1"/>
  <c r="D41" i="69"/>
  <c r="B41" i="69"/>
  <c r="Z40" i="69"/>
  <c r="X40" i="69"/>
  <c r="N40" i="69"/>
  <c r="L40" i="69"/>
  <c r="B40" i="69"/>
  <c r="Z39" i="69"/>
  <c r="X39" i="69"/>
  <c r="R39" i="69"/>
  <c r="N39" i="69"/>
  <c r="L39" i="69"/>
  <c r="B39" i="69"/>
  <c r="Z38" i="69"/>
  <c r="X38" i="69"/>
  <c r="V38" i="69"/>
  <c r="N38" i="69"/>
  <c r="L38" i="69"/>
  <c r="B38" i="69"/>
  <c r="Z37" i="69"/>
  <c r="X37" i="69"/>
  <c r="N37" i="69"/>
  <c r="L37" i="69"/>
  <c r="B37" i="69"/>
  <c r="Z36" i="69"/>
  <c r="X36" i="69"/>
  <c r="N36" i="69"/>
  <c r="L36" i="69"/>
  <c r="B36" i="69"/>
  <c r="Z35" i="69"/>
  <c r="X35" i="69"/>
  <c r="V35" i="69"/>
  <c r="R35" i="69"/>
  <c r="N35" i="69"/>
  <c r="L35" i="69"/>
  <c r="B35" i="69"/>
  <c r="Z34" i="69"/>
  <c r="X34" i="69"/>
  <c r="V34" i="69"/>
  <c r="N34" i="69"/>
  <c r="L34" i="69"/>
  <c r="B34" i="69"/>
  <c r="Z33" i="69"/>
  <c r="X33" i="69"/>
  <c r="N33" i="69"/>
  <c r="L33" i="69"/>
  <c r="B33" i="69"/>
  <c r="Z32" i="69"/>
  <c r="X32" i="69"/>
  <c r="N32" i="69"/>
  <c r="L32" i="69"/>
  <c r="B32" i="69"/>
  <c r="Z31" i="69"/>
  <c r="X31" i="69"/>
  <c r="V31" i="69"/>
  <c r="R31" i="69"/>
  <c r="N31" i="69"/>
  <c r="L31" i="69"/>
  <c r="B31" i="69"/>
  <c r="Z30" i="69"/>
  <c r="X30" i="69"/>
  <c r="V30" i="69"/>
  <c r="T30" i="69"/>
  <c r="P30" i="69"/>
  <c r="N30" i="69"/>
  <c r="L30" i="69"/>
  <c r="H30" i="69"/>
  <c r="D30" i="69"/>
  <c r="B30" i="69"/>
  <c r="Z29" i="69"/>
  <c r="X29" i="69"/>
  <c r="V29" i="69"/>
  <c r="N29" i="69"/>
  <c r="L29" i="69"/>
  <c r="B29" i="69"/>
  <c r="Z28" i="69"/>
  <c r="X28" i="69"/>
  <c r="V28" i="69"/>
  <c r="R28" i="69"/>
  <c r="N28" i="69"/>
  <c r="L28" i="69"/>
  <c r="B28" i="69"/>
  <c r="Z27" i="69"/>
  <c r="X27" i="69"/>
  <c r="V27" i="69"/>
  <c r="N27" i="69"/>
  <c r="L27" i="69"/>
  <c r="B27" i="69"/>
  <c r="Z26" i="69"/>
  <c r="X26" i="69"/>
  <c r="V26" i="69"/>
  <c r="N26" i="69"/>
  <c r="L26" i="69"/>
  <c r="B26" i="69"/>
  <c r="Z25" i="69"/>
  <c r="X25" i="69"/>
  <c r="V25" i="69"/>
  <c r="N25" i="69"/>
  <c r="L25" i="69"/>
  <c r="B25" i="69"/>
  <c r="Z24" i="69"/>
  <c r="X24" i="69"/>
  <c r="V24" i="69"/>
  <c r="R24" i="69"/>
  <c r="N24" i="69"/>
  <c r="L24" i="69"/>
  <c r="B24" i="69"/>
  <c r="Z23" i="69"/>
  <c r="X23" i="69"/>
  <c r="V23" i="69"/>
  <c r="N23" i="69"/>
  <c r="L23" i="69"/>
  <c r="J23" i="69"/>
  <c r="B23" i="69"/>
  <c r="Z22" i="69"/>
  <c r="X22" i="69"/>
  <c r="V22" i="69"/>
  <c r="N22" i="69"/>
  <c r="L22" i="69"/>
  <c r="B22" i="69"/>
  <c r="Z21" i="69"/>
  <c r="V21" i="69"/>
  <c r="T21" i="69"/>
  <c r="P21" i="69"/>
  <c r="X21" i="69" s="1"/>
  <c r="N21" i="69"/>
  <c r="H21" i="69"/>
  <c r="D21" i="69"/>
  <c r="L21" i="69" s="1"/>
  <c r="B21" i="69"/>
  <c r="T20" i="69"/>
  <c r="R20" i="69"/>
  <c r="P20" i="69"/>
  <c r="H20" i="69"/>
  <c r="N20" i="69" s="1"/>
  <c r="D20" i="69"/>
  <c r="L20" i="69" s="1"/>
  <c r="R18" i="69"/>
  <c r="P18" i="69"/>
  <c r="D18" i="69"/>
  <c r="Z16" i="69"/>
  <c r="X16" i="69"/>
  <c r="V16" i="69"/>
  <c r="N16" i="69"/>
  <c r="L16" i="69"/>
  <c r="B16" i="69"/>
  <c r="X15" i="69"/>
  <c r="V15" i="69"/>
  <c r="T15" i="69"/>
  <c r="T18" i="69" s="1"/>
  <c r="R15" i="69"/>
  <c r="P15" i="69"/>
  <c r="N15" i="69"/>
  <c r="L15" i="69"/>
  <c r="H15" i="69"/>
  <c r="D15" i="69"/>
  <c r="X13" i="69"/>
  <c r="Z13" i="69" s="1"/>
  <c r="P13" i="69"/>
  <c r="P12" i="69" s="1"/>
  <c r="L13" i="69"/>
  <c r="N13" i="69" s="1"/>
  <c r="D13" i="69"/>
  <c r="B13" i="69"/>
  <c r="X12" i="69"/>
  <c r="Z12" i="69" s="1"/>
  <c r="T12" i="69"/>
  <c r="V56" i="69" s="1"/>
  <c r="H12" i="69"/>
  <c r="J54" i="69" s="1"/>
  <c r="D12" i="69"/>
  <c r="F40" i="69" s="1"/>
  <c r="D6" i="69"/>
  <c r="D4" i="69"/>
  <c r="X90" i="68"/>
  <c r="Z90" i="68" s="1"/>
  <c r="L90" i="68"/>
  <c r="N90" i="68" s="1"/>
  <c r="Z86" i="68"/>
  <c r="X86" i="68"/>
  <c r="T86" i="68"/>
  <c r="P86" i="68"/>
  <c r="N86" i="68"/>
  <c r="L86" i="68"/>
  <c r="H86" i="68"/>
  <c r="D86" i="68"/>
  <c r="Z84" i="68"/>
  <c r="X84" i="68"/>
  <c r="N84" i="68"/>
  <c r="L84" i="68"/>
  <c r="B84" i="68"/>
  <c r="T83" i="68"/>
  <c r="P83" i="68"/>
  <c r="N83" i="68"/>
  <c r="H83" i="68"/>
  <c r="L83" i="68" s="1"/>
  <c r="D83" i="68"/>
  <c r="B83" i="68"/>
  <c r="Z82" i="68"/>
  <c r="X82" i="68"/>
  <c r="N82" i="68"/>
  <c r="L82" i="68"/>
  <c r="B82" i="68"/>
  <c r="Z81" i="68"/>
  <c r="X81" i="68"/>
  <c r="L81" i="68"/>
  <c r="N81" i="68" s="1"/>
  <c r="B81" i="68"/>
  <c r="T80" i="68"/>
  <c r="P80" i="68"/>
  <c r="X80" i="68" s="1"/>
  <c r="J80" i="68"/>
  <c r="H80" i="68"/>
  <c r="D80" i="68"/>
  <c r="L80" i="68" s="1"/>
  <c r="B80" i="68"/>
  <c r="X79" i="68"/>
  <c r="Z79" i="68" s="1"/>
  <c r="N79" i="68"/>
  <c r="L79" i="68"/>
  <c r="B79" i="68"/>
  <c r="X78" i="68"/>
  <c r="Z78" i="68" s="1"/>
  <c r="L78" i="68"/>
  <c r="N78" i="68" s="1"/>
  <c r="B78" i="68"/>
  <c r="Z77" i="68"/>
  <c r="X77" i="68"/>
  <c r="N77" i="68"/>
  <c r="L77" i="68"/>
  <c r="B77" i="68"/>
  <c r="X76" i="68"/>
  <c r="Z76" i="68" s="1"/>
  <c r="L76" i="68"/>
  <c r="N76" i="68" s="1"/>
  <c r="J76" i="68"/>
  <c r="B76" i="68"/>
  <c r="X75" i="68"/>
  <c r="Z75" i="68" s="1"/>
  <c r="V75" i="68"/>
  <c r="T75" i="68"/>
  <c r="P75" i="68"/>
  <c r="J75" i="68"/>
  <c r="H75" i="68"/>
  <c r="D75" i="68"/>
  <c r="B75" i="68"/>
  <c r="Z74" i="68"/>
  <c r="X74" i="68"/>
  <c r="L74" i="68"/>
  <c r="N74" i="68" s="1"/>
  <c r="B74" i="68"/>
  <c r="Z73" i="68"/>
  <c r="X73" i="68"/>
  <c r="N73" i="68"/>
  <c r="L73" i="68"/>
  <c r="B73" i="68"/>
  <c r="T72" i="68"/>
  <c r="P72" i="68"/>
  <c r="X72" i="68" s="1"/>
  <c r="H72" i="68"/>
  <c r="D72" i="68"/>
  <c r="B72" i="68"/>
  <c r="X71" i="68"/>
  <c r="Z71" i="68" s="1"/>
  <c r="L71" i="68"/>
  <c r="N71" i="68" s="1"/>
  <c r="B71" i="68"/>
  <c r="Z70" i="68"/>
  <c r="X70" i="68"/>
  <c r="V70" i="68"/>
  <c r="N70" i="68"/>
  <c r="L70" i="68"/>
  <c r="B70" i="68"/>
  <c r="T69" i="68"/>
  <c r="P69" i="68"/>
  <c r="X69" i="68" s="1"/>
  <c r="Z69" i="68" s="1"/>
  <c r="L69" i="68"/>
  <c r="N69" i="68" s="1"/>
  <c r="J69" i="68"/>
  <c r="H69" i="68"/>
  <c r="D69" i="68"/>
  <c r="B69" i="68"/>
  <c r="X68" i="68"/>
  <c r="Z68" i="68" s="1"/>
  <c r="N68" i="68"/>
  <c r="L68" i="68"/>
  <c r="B68" i="68"/>
  <c r="X67" i="68"/>
  <c r="Z67" i="68" s="1"/>
  <c r="T67" i="68"/>
  <c r="P67" i="68"/>
  <c r="H67" i="68"/>
  <c r="N67" i="68" s="1"/>
  <c r="D67" i="68"/>
  <c r="B67" i="68"/>
  <c r="X66" i="68"/>
  <c r="Z66" i="68" s="1"/>
  <c r="N66" i="68"/>
  <c r="L66" i="68"/>
  <c r="J66" i="68"/>
  <c r="B66" i="68"/>
  <c r="T65" i="68"/>
  <c r="P65" i="68"/>
  <c r="N65" i="68"/>
  <c r="H65" i="68"/>
  <c r="D65" i="68"/>
  <c r="L65" i="68" s="1"/>
  <c r="B65" i="68"/>
  <c r="X64" i="68"/>
  <c r="Z64" i="68" s="1"/>
  <c r="L64" i="68"/>
  <c r="N64" i="68" s="1"/>
  <c r="B64" i="68"/>
  <c r="X63" i="68"/>
  <c r="Z63" i="68" s="1"/>
  <c r="V63" i="68"/>
  <c r="T63" i="68"/>
  <c r="P63" i="68"/>
  <c r="N63" i="68"/>
  <c r="H63" i="68"/>
  <c r="D63" i="68"/>
  <c r="L63" i="68" s="1"/>
  <c r="B63" i="68"/>
  <c r="Z62" i="68"/>
  <c r="X62" i="68"/>
  <c r="N62" i="68"/>
  <c r="L62" i="68"/>
  <c r="B62" i="68"/>
  <c r="X61" i="68"/>
  <c r="T61" i="68"/>
  <c r="P61" i="68"/>
  <c r="N61" i="68"/>
  <c r="L61" i="68"/>
  <c r="H61" i="68"/>
  <c r="D61" i="68"/>
  <c r="B61" i="68"/>
  <c r="Z60" i="68"/>
  <c r="X60" i="68"/>
  <c r="L60" i="68"/>
  <c r="N60" i="68" s="1"/>
  <c r="B60" i="68"/>
  <c r="T59" i="68"/>
  <c r="Z59" i="68" s="1"/>
  <c r="P59" i="68"/>
  <c r="X59" i="68" s="1"/>
  <c r="H59" i="68"/>
  <c r="D59" i="68"/>
  <c r="B59" i="68"/>
  <c r="Z58" i="68"/>
  <c r="X58" i="68"/>
  <c r="N58" i="68"/>
  <c r="L58" i="68"/>
  <c r="B58" i="68"/>
  <c r="Z57" i="68"/>
  <c r="T57" i="68"/>
  <c r="P57" i="68"/>
  <c r="X57" i="68" s="1"/>
  <c r="H57" i="68"/>
  <c r="N57" i="68" s="1"/>
  <c r="D57" i="68"/>
  <c r="B57" i="68"/>
  <c r="X56" i="68"/>
  <c r="Z56" i="68" s="1"/>
  <c r="L56" i="68"/>
  <c r="N56" i="68" s="1"/>
  <c r="J56" i="68"/>
  <c r="B56" i="68"/>
  <c r="X55" i="68"/>
  <c r="Z55" i="68" s="1"/>
  <c r="T55" i="68"/>
  <c r="P55" i="68"/>
  <c r="H55" i="68"/>
  <c r="D55" i="68"/>
  <c r="B55" i="68"/>
  <c r="Z54" i="68"/>
  <c r="X54" i="68"/>
  <c r="N54" i="68"/>
  <c r="L54" i="68"/>
  <c r="J54" i="68"/>
  <c r="B54" i="68"/>
  <c r="Z53" i="68"/>
  <c r="X53" i="68"/>
  <c r="N53" i="68"/>
  <c r="L53" i="68"/>
  <c r="B53" i="68"/>
  <c r="X52" i="68"/>
  <c r="Z52" i="68" s="1"/>
  <c r="N52" i="68"/>
  <c r="L52" i="68"/>
  <c r="B52" i="68"/>
  <c r="Z51" i="68"/>
  <c r="X51" i="68"/>
  <c r="N51" i="68"/>
  <c r="L51" i="68"/>
  <c r="B51" i="68"/>
  <c r="Z50" i="68"/>
  <c r="X50" i="68"/>
  <c r="N50" i="68"/>
  <c r="L50" i="68"/>
  <c r="B50" i="68"/>
  <c r="Z49" i="68"/>
  <c r="X49" i="68"/>
  <c r="V49" i="68"/>
  <c r="N49" i="68"/>
  <c r="L49" i="68"/>
  <c r="J49" i="68"/>
  <c r="B49" i="68"/>
  <c r="X48" i="68"/>
  <c r="Z48" i="68" s="1"/>
  <c r="L48" i="68"/>
  <c r="N48" i="68" s="1"/>
  <c r="J48" i="68"/>
  <c r="B48" i="68"/>
  <c r="Z47" i="68"/>
  <c r="X47" i="68"/>
  <c r="N47" i="68"/>
  <c r="L47" i="68"/>
  <c r="J47" i="68"/>
  <c r="B47" i="68"/>
  <c r="Z46" i="68"/>
  <c r="X46" i="68"/>
  <c r="N46" i="68"/>
  <c r="L46" i="68"/>
  <c r="B46" i="68"/>
  <c r="Z45" i="68"/>
  <c r="X45" i="68"/>
  <c r="L45" i="68"/>
  <c r="N45" i="68" s="1"/>
  <c r="B45" i="68"/>
  <c r="T44" i="68"/>
  <c r="P44" i="68"/>
  <c r="X44" i="68" s="1"/>
  <c r="L44" i="68"/>
  <c r="N44" i="68" s="1"/>
  <c r="H44" i="68"/>
  <c r="D44" i="68"/>
  <c r="B44" i="68"/>
  <c r="X43" i="68"/>
  <c r="Z43" i="68" s="1"/>
  <c r="L43" i="68"/>
  <c r="N43" i="68" s="1"/>
  <c r="J43" i="68"/>
  <c r="B43" i="68"/>
  <c r="X42" i="68"/>
  <c r="Z42" i="68" s="1"/>
  <c r="L42" i="68"/>
  <c r="N42" i="68" s="1"/>
  <c r="J42" i="68"/>
  <c r="B42" i="68"/>
  <c r="Z41" i="68"/>
  <c r="X41" i="68"/>
  <c r="N41" i="68"/>
  <c r="L41" i="68"/>
  <c r="B41" i="68"/>
  <c r="Z40" i="68"/>
  <c r="X40" i="68"/>
  <c r="L40" i="68"/>
  <c r="N40" i="68" s="1"/>
  <c r="B40" i="68"/>
  <c r="X39" i="68"/>
  <c r="Z39" i="68" s="1"/>
  <c r="L39" i="68"/>
  <c r="N39" i="68" s="1"/>
  <c r="J39" i="68"/>
  <c r="B39" i="68"/>
  <c r="X38" i="68"/>
  <c r="Z38" i="68" s="1"/>
  <c r="L38" i="68"/>
  <c r="N38" i="68" s="1"/>
  <c r="J38" i="68"/>
  <c r="B38" i="68"/>
  <c r="Z37" i="68"/>
  <c r="X37" i="68"/>
  <c r="N37" i="68"/>
  <c r="L37" i="68"/>
  <c r="B37" i="68"/>
  <c r="Z36" i="68"/>
  <c r="X36" i="68"/>
  <c r="L36" i="68"/>
  <c r="N36" i="68" s="1"/>
  <c r="B36" i="68"/>
  <c r="T35" i="68"/>
  <c r="P35" i="68"/>
  <c r="X35" i="68" s="1"/>
  <c r="J35" i="68"/>
  <c r="H35" i="68"/>
  <c r="D35" i="68"/>
  <c r="L35" i="68" s="1"/>
  <c r="N35" i="68" s="1"/>
  <c r="B35" i="68"/>
  <c r="T34" i="68"/>
  <c r="V34" i="68" s="1"/>
  <c r="P34" i="68"/>
  <c r="H34" i="68"/>
  <c r="D34" i="68"/>
  <c r="H32" i="68"/>
  <c r="Z30" i="68"/>
  <c r="X30" i="68"/>
  <c r="V30" i="68"/>
  <c r="N30" i="68"/>
  <c r="L30" i="68"/>
  <c r="B30" i="68"/>
  <c r="Z29" i="68"/>
  <c r="X29" i="68"/>
  <c r="N29" i="68"/>
  <c r="L29" i="68"/>
  <c r="B29" i="68"/>
  <c r="Z28" i="68"/>
  <c r="X28" i="68"/>
  <c r="N28" i="68"/>
  <c r="L28" i="68"/>
  <c r="B28" i="68"/>
  <c r="Z27" i="68"/>
  <c r="X27" i="68"/>
  <c r="V27" i="68"/>
  <c r="N27" i="68"/>
  <c r="L27" i="68"/>
  <c r="J27" i="68"/>
  <c r="B27" i="68"/>
  <c r="X26" i="68"/>
  <c r="Z26" i="68" s="1"/>
  <c r="V26" i="68"/>
  <c r="L26" i="68"/>
  <c r="N26" i="68" s="1"/>
  <c r="B26" i="68"/>
  <c r="T25" i="68"/>
  <c r="P25" i="68"/>
  <c r="X25" i="68" s="1"/>
  <c r="Z25" i="68" s="1"/>
  <c r="L25" i="68"/>
  <c r="N25" i="68" s="1"/>
  <c r="J25" i="68"/>
  <c r="H25" i="68"/>
  <c r="D25" i="68"/>
  <c r="Z23" i="68"/>
  <c r="X23" i="68"/>
  <c r="P23" i="68"/>
  <c r="N23" i="68"/>
  <c r="D23" i="68"/>
  <c r="L23" i="68" s="1"/>
  <c r="B23" i="68"/>
  <c r="Z22" i="68"/>
  <c r="X22" i="68"/>
  <c r="P22" i="68"/>
  <c r="N22" i="68"/>
  <c r="D22" i="68"/>
  <c r="L22" i="68" s="1"/>
  <c r="B22" i="68"/>
  <c r="Z21" i="68"/>
  <c r="P21" i="68"/>
  <c r="X21" i="68" s="1"/>
  <c r="N21" i="68"/>
  <c r="D21" i="68"/>
  <c r="L21" i="68" s="1"/>
  <c r="B21" i="68"/>
  <c r="X20" i="68"/>
  <c r="Z20" i="68" s="1"/>
  <c r="P20" i="68"/>
  <c r="N20" i="68"/>
  <c r="L20" i="68"/>
  <c r="D20" i="68"/>
  <c r="B20" i="68"/>
  <c r="Z19" i="68"/>
  <c r="X19" i="68"/>
  <c r="P19" i="68"/>
  <c r="N19" i="68"/>
  <c r="L19" i="68"/>
  <c r="D19" i="68"/>
  <c r="B19" i="68"/>
  <c r="Z18" i="68"/>
  <c r="X18" i="68"/>
  <c r="P18" i="68"/>
  <c r="N18" i="68"/>
  <c r="D18" i="68"/>
  <c r="L18" i="68" s="1"/>
  <c r="B18" i="68"/>
  <c r="Z17" i="68"/>
  <c r="P17" i="68"/>
  <c r="N17" i="68"/>
  <c r="L17" i="68"/>
  <c r="D17" i="68"/>
  <c r="B17" i="68"/>
  <c r="Z16" i="68"/>
  <c r="P16" i="68"/>
  <c r="X16" i="68" s="1"/>
  <c r="N16" i="68"/>
  <c r="L16" i="68"/>
  <c r="D16" i="68"/>
  <c r="B16" i="68"/>
  <c r="Z15" i="68"/>
  <c r="P15" i="68"/>
  <c r="X15" i="68" s="1"/>
  <c r="N15" i="68"/>
  <c r="L15" i="68"/>
  <c r="D15" i="68"/>
  <c r="B15" i="68"/>
  <c r="Z14" i="68"/>
  <c r="P14" i="68"/>
  <c r="X14" i="68" s="1"/>
  <c r="N14" i="68"/>
  <c r="D14" i="68"/>
  <c r="B14" i="68"/>
  <c r="Z13" i="68"/>
  <c r="P13" i="68"/>
  <c r="X13" i="68" s="1"/>
  <c r="N13" i="68"/>
  <c r="D13" i="68"/>
  <c r="L13" i="68" s="1"/>
  <c r="B13" i="68"/>
  <c r="T12" i="68"/>
  <c r="H12" i="68"/>
  <c r="J63" i="68" s="1"/>
  <c r="D6" i="68"/>
  <c r="D4" i="68"/>
  <c r="V103" i="63"/>
  <c r="V100" i="63"/>
  <c r="Z98" i="63"/>
  <c r="X98" i="63"/>
  <c r="V98" i="63"/>
  <c r="N98" i="63"/>
  <c r="L98" i="63"/>
  <c r="F98" i="63"/>
  <c r="X94" i="63"/>
  <c r="Z94" i="63" s="1"/>
  <c r="P94" i="63"/>
  <c r="L94" i="63"/>
  <c r="N94" i="63" s="1"/>
  <c r="D94" i="63"/>
  <c r="D92" i="63" s="1"/>
  <c r="L92" i="63" s="1"/>
  <c r="B94" i="63"/>
  <c r="Z93" i="63"/>
  <c r="X93" i="63"/>
  <c r="V93" i="63"/>
  <c r="P93" i="63"/>
  <c r="J93" i="63"/>
  <c r="D93" i="63"/>
  <c r="L93" i="63" s="1"/>
  <c r="N93" i="63" s="1"/>
  <c r="B93" i="63"/>
  <c r="T92" i="63"/>
  <c r="P92" i="63"/>
  <c r="J92" i="63"/>
  <c r="H92" i="63"/>
  <c r="X90" i="63"/>
  <c r="Z90" i="63" s="1"/>
  <c r="L90" i="63"/>
  <c r="N90" i="63" s="1"/>
  <c r="B90" i="63"/>
  <c r="X89" i="63"/>
  <c r="Z89" i="63" s="1"/>
  <c r="V89" i="63"/>
  <c r="T89" i="63"/>
  <c r="P89" i="63"/>
  <c r="H89" i="63"/>
  <c r="D89" i="63"/>
  <c r="L89" i="63" s="1"/>
  <c r="N89" i="63" s="1"/>
  <c r="B89" i="63"/>
  <c r="Z88" i="63"/>
  <c r="X88" i="63"/>
  <c r="N88" i="63"/>
  <c r="L88" i="63"/>
  <c r="B88" i="63"/>
  <c r="X87" i="63"/>
  <c r="T87" i="63"/>
  <c r="Z87" i="63" s="1"/>
  <c r="P87" i="63"/>
  <c r="N87" i="63"/>
  <c r="L87" i="63"/>
  <c r="J87" i="63"/>
  <c r="H87" i="63"/>
  <c r="D87" i="63"/>
  <c r="B87" i="63"/>
  <c r="Z86" i="63"/>
  <c r="X86" i="63"/>
  <c r="N86" i="63"/>
  <c r="L86" i="63"/>
  <c r="F86" i="63"/>
  <c r="B86" i="63"/>
  <c r="T85" i="63"/>
  <c r="Z85" i="63" s="1"/>
  <c r="P85" i="63"/>
  <c r="X85" i="63" s="1"/>
  <c r="N85" i="63"/>
  <c r="J85" i="63"/>
  <c r="H85" i="63"/>
  <c r="F85" i="63"/>
  <c r="D85" i="63"/>
  <c r="L85" i="63" s="1"/>
  <c r="B85" i="63"/>
  <c r="X84" i="63"/>
  <c r="Z84" i="63" s="1"/>
  <c r="V84" i="63"/>
  <c r="L84" i="63"/>
  <c r="N84" i="63" s="1"/>
  <c r="F84" i="63"/>
  <c r="B84" i="63"/>
  <c r="T83" i="63"/>
  <c r="P83" i="63"/>
  <c r="X83" i="63" s="1"/>
  <c r="Z83" i="63" s="1"/>
  <c r="L83" i="63"/>
  <c r="N83" i="63" s="1"/>
  <c r="J83" i="63"/>
  <c r="H83" i="63"/>
  <c r="F83" i="63"/>
  <c r="D83" i="63"/>
  <c r="B83" i="63"/>
  <c r="X82" i="63"/>
  <c r="Z82" i="63" s="1"/>
  <c r="N82" i="63"/>
  <c r="L82" i="63"/>
  <c r="F82" i="63"/>
  <c r="B82" i="63"/>
  <c r="Z81" i="63"/>
  <c r="X81" i="63"/>
  <c r="V81" i="63"/>
  <c r="N81" i="63"/>
  <c r="L81" i="63"/>
  <c r="F81" i="63"/>
  <c r="B81" i="63"/>
  <c r="Z80" i="63"/>
  <c r="X80" i="63"/>
  <c r="N80" i="63"/>
  <c r="L80" i="63"/>
  <c r="B80" i="63"/>
  <c r="Z79" i="63"/>
  <c r="X79" i="63"/>
  <c r="N79" i="63"/>
  <c r="L79" i="63"/>
  <c r="J79" i="63"/>
  <c r="B79" i="63"/>
  <c r="X78" i="63"/>
  <c r="Z78" i="63" s="1"/>
  <c r="N78" i="63"/>
  <c r="L78" i="63"/>
  <c r="F78" i="63"/>
  <c r="B78" i="63"/>
  <c r="Z77" i="63"/>
  <c r="X77" i="63"/>
  <c r="V77" i="63"/>
  <c r="N77" i="63"/>
  <c r="L77" i="63"/>
  <c r="F77" i="63"/>
  <c r="B77" i="63"/>
  <c r="X76" i="63"/>
  <c r="Z76" i="63" s="1"/>
  <c r="L76" i="63"/>
  <c r="N76" i="63" s="1"/>
  <c r="B76" i="63"/>
  <c r="X75" i="63"/>
  <c r="T75" i="63"/>
  <c r="P75" i="63"/>
  <c r="N75" i="63"/>
  <c r="L75" i="63"/>
  <c r="J75" i="63"/>
  <c r="H75" i="63"/>
  <c r="D75" i="63"/>
  <c r="B75" i="63"/>
  <c r="Z74" i="63"/>
  <c r="X74" i="63"/>
  <c r="L74" i="63"/>
  <c r="N74" i="63" s="1"/>
  <c r="F74" i="63"/>
  <c r="B74" i="63"/>
  <c r="T73" i="63"/>
  <c r="P73" i="63"/>
  <c r="X73" i="63" s="1"/>
  <c r="J73" i="63"/>
  <c r="H73" i="63"/>
  <c r="F73" i="63"/>
  <c r="D73" i="63"/>
  <c r="L73" i="63" s="1"/>
  <c r="N73" i="63" s="1"/>
  <c r="B73" i="63"/>
  <c r="X72" i="63"/>
  <c r="Z72" i="63" s="1"/>
  <c r="V72" i="63"/>
  <c r="L72" i="63"/>
  <c r="N72" i="63" s="1"/>
  <c r="F72" i="63"/>
  <c r="B72" i="63"/>
  <c r="Z71" i="63"/>
  <c r="X71" i="63"/>
  <c r="N71" i="63"/>
  <c r="L71" i="63"/>
  <c r="B71" i="63"/>
  <c r="X70" i="63"/>
  <c r="Z70" i="63" s="1"/>
  <c r="L70" i="63"/>
  <c r="N70" i="63" s="1"/>
  <c r="B70" i="63"/>
  <c r="X69" i="63"/>
  <c r="Z69" i="63" s="1"/>
  <c r="V69" i="63"/>
  <c r="T69" i="63"/>
  <c r="P69" i="63"/>
  <c r="N69" i="63"/>
  <c r="H69" i="63"/>
  <c r="D69" i="63"/>
  <c r="L69" i="63" s="1"/>
  <c r="B69" i="63"/>
  <c r="X68" i="63"/>
  <c r="Z68" i="63" s="1"/>
  <c r="L68" i="63"/>
  <c r="N68" i="63" s="1"/>
  <c r="B68" i="63"/>
  <c r="X67" i="63"/>
  <c r="Z67" i="63" s="1"/>
  <c r="N67" i="63"/>
  <c r="L67" i="63"/>
  <c r="J67" i="63"/>
  <c r="B67" i="63"/>
  <c r="Z66" i="63"/>
  <c r="X66" i="63"/>
  <c r="N66" i="63"/>
  <c r="L66" i="63"/>
  <c r="F66" i="63"/>
  <c r="B66" i="63"/>
  <c r="Z65" i="63"/>
  <c r="X65" i="63"/>
  <c r="V65" i="63"/>
  <c r="N65" i="63"/>
  <c r="L65" i="63"/>
  <c r="F65" i="63"/>
  <c r="B65" i="63"/>
  <c r="T64" i="63"/>
  <c r="P64" i="63"/>
  <c r="X64" i="63" s="1"/>
  <c r="H64" i="63"/>
  <c r="F64" i="63"/>
  <c r="D64" i="63"/>
  <c r="L64" i="63" s="1"/>
  <c r="B64" i="63"/>
  <c r="Z63" i="63"/>
  <c r="X63" i="63"/>
  <c r="V63" i="63"/>
  <c r="N63" i="63"/>
  <c r="L63" i="63"/>
  <c r="B63" i="63"/>
  <c r="T62" i="63"/>
  <c r="P62" i="63"/>
  <c r="L62" i="63"/>
  <c r="N62" i="63" s="1"/>
  <c r="H62" i="63"/>
  <c r="D62" i="63"/>
  <c r="B62" i="63"/>
  <c r="X61" i="63"/>
  <c r="Z61" i="63" s="1"/>
  <c r="V61" i="63"/>
  <c r="N61" i="63"/>
  <c r="L61" i="63"/>
  <c r="J61" i="63"/>
  <c r="B61" i="63"/>
  <c r="V60" i="63"/>
  <c r="T60" i="63"/>
  <c r="Z60" i="63" s="1"/>
  <c r="P60" i="63"/>
  <c r="X60" i="63" s="1"/>
  <c r="H60" i="63"/>
  <c r="D60" i="63"/>
  <c r="B60" i="63"/>
  <c r="X59" i="63"/>
  <c r="Z59" i="63" s="1"/>
  <c r="N59" i="63"/>
  <c r="L59" i="63"/>
  <c r="J59" i="63"/>
  <c r="B59" i="63"/>
  <c r="T58" i="63"/>
  <c r="R58" i="63"/>
  <c r="P58" i="63"/>
  <c r="X58" i="63" s="1"/>
  <c r="H58" i="63"/>
  <c r="D58" i="63"/>
  <c r="L58" i="63" s="1"/>
  <c r="B58" i="63"/>
  <c r="Z57" i="63"/>
  <c r="X57" i="63"/>
  <c r="L57" i="63"/>
  <c r="N57" i="63" s="1"/>
  <c r="J57" i="63"/>
  <c r="B57" i="63"/>
  <c r="X56" i="63"/>
  <c r="Z56" i="63" s="1"/>
  <c r="T56" i="63"/>
  <c r="P56" i="63"/>
  <c r="H56" i="63"/>
  <c r="D56" i="63"/>
  <c r="L56" i="63" s="1"/>
  <c r="N56" i="63" s="1"/>
  <c r="B56" i="63"/>
  <c r="Z55" i="63"/>
  <c r="X55" i="63"/>
  <c r="L55" i="63"/>
  <c r="N55" i="63" s="1"/>
  <c r="B55" i="63"/>
  <c r="T54" i="63"/>
  <c r="P54" i="63"/>
  <c r="J54" i="63"/>
  <c r="H54" i="63"/>
  <c r="D54" i="63"/>
  <c r="L54" i="63" s="1"/>
  <c r="B54" i="63"/>
  <c r="Z53" i="63"/>
  <c r="X53" i="63"/>
  <c r="V53" i="63"/>
  <c r="N53" i="63"/>
  <c r="L53" i="63"/>
  <c r="F53" i="63"/>
  <c r="B53" i="63"/>
  <c r="X52" i="63"/>
  <c r="T52" i="63"/>
  <c r="P52" i="63"/>
  <c r="H52" i="63"/>
  <c r="F52" i="63"/>
  <c r="D52" i="63"/>
  <c r="L52" i="63" s="1"/>
  <c r="B52" i="63"/>
  <c r="Z51" i="63"/>
  <c r="X51" i="63"/>
  <c r="V51" i="63"/>
  <c r="N51" i="63"/>
  <c r="L51" i="63"/>
  <c r="B51" i="63"/>
  <c r="T50" i="63"/>
  <c r="P50" i="63"/>
  <c r="X50" i="63" s="1"/>
  <c r="Z50" i="63" s="1"/>
  <c r="L50" i="63"/>
  <c r="N50" i="63" s="1"/>
  <c r="H50" i="63"/>
  <c r="D50" i="63"/>
  <c r="B50" i="63"/>
  <c r="X49" i="63"/>
  <c r="Z49" i="63" s="1"/>
  <c r="V49" i="63"/>
  <c r="N49" i="63"/>
  <c r="L49" i="63"/>
  <c r="J49" i="63"/>
  <c r="B49" i="63"/>
  <c r="V48" i="63"/>
  <c r="T48" i="63"/>
  <c r="Z48" i="63" s="1"/>
  <c r="P48" i="63"/>
  <c r="X48" i="63" s="1"/>
  <c r="H48" i="63"/>
  <c r="D48" i="63"/>
  <c r="B48" i="63"/>
  <c r="X47" i="63"/>
  <c r="Z47" i="63" s="1"/>
  <c r="N47" i="63"/>
  <c r="L47" i="63"/>
  <c r="J47" i="63"/>
  <c r="B47" i="63"/>
  <c r="Z46" i="63"/>
  <c r="X46" i="63"/>
  <c r="N46" i="63"/>
  <c r="L46" i="63"/>
  <c r="J46" i="63"/>
  <c r="F46" i="63"/>
  <c r="B46" i="63"/>
  <c r="Z45" i="63"/>
  <c r="X45" i="63"/>
  <c r="V45" i="63"/>
  <c r="T45" i="63"/>
  <c r="P45" i="63"/>
  <c r="L45" i="63"/>
  <c r="J45" i="63"/>
  <c r="H45" i="63"/>
  <c r="N45" i="63" s="1"/>
  <c r="F45" i="63"/>
  <c r="D45" i="63"/>
  <c r="B45" i="63"/>
  <c r="X44" i="63"/>
  <c r="Z44" i="63" s="1"/>
  <c r="L44" i="63"/>
  <c r="N44" i="63" s="1"/>
  <c r="J44" i="63"/>
  <c r="B44" i="63"/>
  <c r="V43" i="63"/>
  <c r="T43" i="63"/>
  <c r="X43" i="63" s="1"/>
  <c r="Z43" i="63" s="1"/>
  <c r="P43" i="63"/>
  <c r="H43" i="63"/>
  <c r="D43" i="63"/>
  <c r="L43" i="63" s="1"/>
  <c r="B43" i="63"/>
  <c r="X42" i="63"/>
  <c r="Z42" i="63" s="1"/>
  <c r="L42" i="63"/>
  <c r="N42" i="63" s="1"/>
  <c r="B42" i="63"/>
  <c r="X41" i="63"/>
  <c r="Z41" i="63" s="1"/>
  <c r="V41" i="63"/>
  <c r="N41" i="63"/>
  <c r="L41" i="63"/>
  <c r="J41" i="63"/>
  <c r="B41" i="63"/>
  <c r="V40" i="63"/>
  <c r="T40" i="63"/>
  <c r="Z40" i="63" s="1"/>
  <c r="P40" i="63"/>
  <c r="X40" i="63" s="1"/>
  <c r="J40" i="63"/>
  <c r="H40" i="63"/>
  <c r="D40" i="63"/>
  <c r="B40" i="63"/>
  <c r="Z39" i="63"/>
  <c r="X39" i="63"/>
  <c r="N39" i="63"/>
  <c r="L39" i="63"/>
  <c r="J39" i="63"/>
  <c r="B39" i="63"/>
  <c r="Z38" i="63"/>
  <c r="X38" i="63"/>
  <c r="N38" i="63"/>
  <c r="L38" i="63"/>
  <c r="J38" i="63"/>
  <c r="F38" i="63"/>
  <c r="B38" i="63"/>
  <c r="Z37" i="63"/>
  <c r="X37" i="63"/>
  <c r="V37" i="63"/>
  <c r="N37" i="63"/>
  <c r="L37" i="63"/>
  <c r="F37" i="63"/>
  <c r="B37" i="63"/>
  <c r="X36" i="63"/>
  <c r="Z36" i="63" s="1"/>
  <c r="R36" i="63"/>
  <c r="N36" i="63"/>
  <c r="L36" i="63"/>
  <c r="B36" i="63"/>
  <c r="Z35" i="63"/>
  <c r="X35" i="63"/>
  <c r="N35" i="63"/>
  <c r="L35" i="63"/>
  <c r="J35" i="63"/>
  <c r="B35" i="63"/>
  <c r="Z34" i="63"/>
  <c r="X34" i="63"/>
  <c r="N34" i="63"/>
  <c r="L34" i="63"/>
  <c r="J34" i="63"/>
  <c r="F34" i="63"/>
  <c r="B34" i="63"/>
  <c r="Z33" i="63"/>
  <c r="X33" i="63"/>
  <c r="V33" i="63"/>
  <c r="N33" i="63"/>
  <c r="L33" i="63"/>
  <c r="J33" i="63"/>
  <c r="F33" i="63"/>
  <c r="B33" i="63"/>
  <c r="Z32" i="63"/>
  <c r="X32" i="63"/>
  <c r="N32" i="63"/>
  <c r="L32" i="63"/>
  <c r="B32" i="63"/>
  <c r="X31" i="63"/>
  <c r="Z31" i="63" s="1"/>
  <c r="N31" i="63"/>
  <c r="L31" i="63"/>
  <c r="J31" i="63"/>
  <c r="B31" i="63"/>
  <c r="X30" i="63"/>
  <c r="Z30" i="63" s="1"/>
  <c r="N30" i="63"/>
  <c r="L30" i="63"/>
  <c r="J30" i="63"/>
  <c r="F30" i="63"/>
  <c r="B30" i="63"/>
  <c r="Z29" i="63"/>
  <c r="X29" i="63"/>
  <c r="V29" i="63"/>
  <c r="T29" i="63"/>
  <c r="P29" i="63"/>
  <c r="L29" i="63"/>
  <c r="J29" i="63"/>
  <c r="H29" i="63"/>
  <c r="F29" i="63"/>
  <c r="D29" i="63"/>
  <c r="B29" i="63"/>
  <c r="Z28" i="63"/>
  <c r="X28" i="63"/>
  <c r="N28" i="63"/>
  <c r="L28" i="63"/>
  <c r="J28" i="63"/>
  <c r="B28" i="63"/>
  <c r="Z27" i="63"/>
  <c r="X27" i="63"/>
  <c r="V27" i="63"/>
  <c r="N27" i="63"/>
  <c r="L27" i="63"/>
  <c r="J27" i="63"/>
  <c r="B27" i="63"/>
  <c r="Z26" i="63"/>
  <c r="X26" i="63"/>
  <c r="V26" i="63"/>
  <c r="L26" i="63"/>
  <c r="N26" i="63" s="1"/>
  <c r="J26" i="63"/>
  <c r="F26" i="63"/>
  <c r="B26" i="63"/>
  <c r="Z25" i="63"/>
  <c r="X25" i="63"/>
  <c r="N25" i="63"/>
  <c r="L25" i="63"/>
  <c r="J25" i="63"/>
  <c r="B25" i="63"/>
  <c r="X24" i="63"/>
  <c r="Z24" i="63" s="1"/>
  <c r="L24" i="63"/>
  <c r="N24" i="63" s="1"/>
  <c r="J24" i="63"/>
  <c r="B24" i="63"/>
  <c r="Z23" i="63"/>
  <c r="X23" i="63"/>
  <c r="V23" i="63"/>
  <c r="N23" i="63"/>
  <c r="L23" i="63"/>
  <c r="J23" i="63"/>
  <c r="B23" i="63"/>
  <c r="Z22" i="63"/>
  <c r="X22" i="63"/>
  <c r="V22" i="63"/>
  <c r="L22" i="63"/>
  <c r="N22" i="63" s="1"/>
  <c r="J22" i="63"/>
  <c r="F22" i="63"/>
  <c r="B22" i="63"/>
  <c r="Z21" i="63"/>
  <c r="X21" i="63"/>
  <c r="L21" i="63"/>
  <c r="N21" i="63" s="1"/>
  <c r="J21" i="63"/>
  <c r="B21" i="63"/>
  <c r="X20" i="63"/>
  <c r="Z20" i="63" s="1"/>
  <c r="L20" i="63"/>
  <c r="N20" i="63" s="1"/>
  <c r="J20" i="63"/>
  <c r="F20" i="63"/>
  <c r="B20" i="63"/>
  <c r="V19" i="63"/>
  <c r="T19" i="63"/>
  <c r="X19" i="63" s="1"/>
  <c r="Z19" i="63" s="1"/>
  <c r="R19" i="63"/>
  <c r="P19" i="63"/>
  <c r="J19" i="63"/>
  <c r="H19" i="63"/>
  <c r="F19" i="63"/>
  <c r="D19" i="63"/>
  <c r="L19" i="63" s="1"/>
  <c r="B19" i="63"/>
  <c r="T18" i="63"/>
  <c r="P18" i="63"/>
  <c r="J18" i="63"/>
  <c r="H18" i="63"/>
  <c r="F18" i="63"/>
  <c r="D18" i="63"/>
  <c r="J16" i="63"/>
  <c r="F16" i="63"/>
  <c r="D16" i="63"/>
  <c r="T14" i="63"/>
  <c r="P14" i="63"/>
  <c r="J14" i="63"/>
  <c r="H14" i="63"/>
  <c r="N14" i="63" s="1"/>
  <c r="F14" i="63"/>
  <c r="D14" i="63"/>
  <c r="L14" i="63" s="1"/>
  <c r="T12" i="63"/>
  <c r="V88" i="63" s="1"/>
  <c r="P12" i="63"/>
  <c r="R22" i="63" s="1"/>
  <c r="L12" i="63"/>
  <c r="H12" i="63"/>
  <c r="J98" i="63" s="1"/>
  <c r="D12" i="63"/>
  <c r="F96" i="63" s="1"/>
  <c r="D6" i="63"/>
  <c r="D4" i="63"/>
  <c r="Z62" i="61"/>
  <c r="X62" i="61"/>
  <c r="N62" i="61"/>
  <c r="L62" i="61"/>
  <c r="J60" i="61"/>
  <c r="X58" i="61"/>
  <c r="T58" i="61"/>
  <c r="Z58" i="61" s="1"/>
  <c r="P58" i="61"/>
  <c r="J58" i="61"/>
  <c r="H58" i="61"/>
  <c r="N58" i="61" s="1"/>
  <c r="D58" i="61"/>
  <c r="L58" i="61" s="1"/>
  <c r="X56" i="61"/>
  <c r="Z56" i="61" s="1"/>
  <c r="N56" i="61"/>
  <c r="L56" i="61"/>
  <c r="B56" i="61"/>
  <c r="Z55" i="61"/>
  <c r="X55" i="61"/>
  <c r="V55" i="61"/>
  <c r="T55" i="61"/>
  <c r="P55" i="61"/>
  <c r="N55" i="61"/>
  <c r="H55" i="61"/>
  <c r="D55" i="61"/>
  <c r="L55" i="61" s="1"/>
  <c r="B55" i="61"/>
  <c r="Z54" i="61"/>
  <c r="X54" i="61"/>
  <c r="N54" i="61"/>
  <c r="L54" i="61"/>
  <c r="B54" i="61"/>
  <c r="X53" i="61"/>
  <c r="Z53" i="61" s="1"/>
  <c r="V53" i="61"/>
  <c r="N53" i="61"/>
  <c r="L53" i="61"/>
  <c r="J53" i="61"/>
  <c r="B53" i="61"/>
  <c r="T52" i="61"/>
  <c r="Z52" i="61" s="1"/>
  <c r="P52" i="61"/>
  <c r="X52" i="61" s="1"/>
  <c r="L52" i="61"/>
  <c r="H52" i="61"/>
  <c r="N52" i="61" s="1"/>
  <c r="D52" i="61"/>
  <c r="B52" i="61"/>
  <c r="Z51" i="61"/>
  <c r="X51" i="61"/>
  <c r="N51" i="61"/>
  <c r="L51" i="61"/>
  <c r="J51" i="61"/>
  <c r="B51" i="61"/>
  <c r="X50" i="61"/>
  <c r="T50" i="61"/>
  <c r="Z50" i="61" s="1"/>
  <c r="P50" i="61"/>
  <c r="H50" i="61"/>
  <c r="N50" i="61" s="1"/>
  <c r="D50" i="61"/>
  <c r="L50" i="61" s="1"/>
  <c r="B50" i="61"/>
  <c r="Z49" i="61"/>
  <c r="X49" i="61"/>
  <c r="N49" i="61"/>
  <c r="L49" i="61"/>
  <c r="J49" i="61"/>
  <c r="B49" i="61"/>
  <c r="X48" i="61"/>
  <c r="T48" i="61"/>
  <c r="P48" i="61"/>
  <c r="J48" i="61"/>
  <c r="H48" i="61"/>
  <c r="N48" i="61" s="1"/>
  <c r="D48" i="61"/>
  <c r="B48" i="61"/>
  <c r="Z47" i="61"/>
  <c r="X47" i="61"/>
  <c r="V47" i="61"/>
  <c r="N47" i="61"/>
  <c r="L47" i="61"/>
  <c r="B47" i="61"/>
  <c r="T46" i="61"/>
  <c r="P46" i="61"/>
  <c r="X46" i="61" s="1"/>
  <c r="H46" i="61"/>
  <c r="D46" i="61"/>
  <c r="L46" i="61" s="1"/>
  <c r="B46" i="61"/>
  <c r="Z45" i="61"/>
  <c r="X45" i="61"/>
  <c r="V45" i="61"/>
  <c r="N45" i="61"/>
  <c r="L45" i="61"/>
  <c r="B45" i="61"/>
  <c r="X44" i="61"/>
  <c r="Z44" i="61" s="1"/>
  <c r="V44" i="61"/>
  <c r="T44" i="61"/>
  <c r="P44" i="61"/>
  <c r="L44" i="61"/>
  <c r="H44" i="61"/>
  <c r="N44" i="61" s="1"/>
  <c r="D44" i="61"/>
  <c r="B44" i="61"/>
  <c r="Z43" i="61"/>
  <c r="X43" i="61"/>
  <c r="V43" i="61"/>
  <c r="N43" i="61"/>
  <c r="L43" i="61"/>
  <c r="J43" i="61"/>
  <c r="B43" i="61"/>
  <c r="V42" i="61"/>
  <c r="T42" i="61"/>
  <c r="P42" i="61"/>
  <c r="X42" i="61" s="1"/>
  <c r="H42" i="61"/>
  <c r="D42" i="61"/>
  <c r="B42" i="61"/>
  <c r="X41" i="61"/>
  <c r="Z41" i="61" s="1"/>
  <c r="V41" i="61"/>
  <c r="N41" i="61"/>
  <c r="L41" i="61"/>
  <c r="J41" i="61"/>
  <c r="B41" i="61"/>
  <c r="T40" i="61"/>
  <c r="Z40" i="61" s="1"/>
  <c r="R40" i="61"/>
  <c r="P40" i="61"/>
  <c r="X40" i="61" s="1"/>
  <c r="L40" i="61"/>
  <c r="H40" i="61"/>
  <c r="D40" i="61"/>
  <c r="B40" i="61"/>
  <c r="Z39" i="61"/>
  <c r="X39" i="61"/>
  <c r="N39" i="61"/>
  <c r="L39" i="61"/>
  <c r="J39" i="61"/>
  <c r="B39" i="61"/>
  <c r="Z38" i="61"/>
  <c r="X38" i="61"/>
  <c r="N38" i="61"/>
  <c r="L38" i="61"/>
  <c r="J38" i="61"/>
  <c r="B38" i="61"/>
  <c r="Z37" i="61"/>
  <c r="X37" i="61"/>
  <c r="V37" i="61"/>
  <c r="N37" i="61"/>
  <c r="L37" i="61"/>
  <c r="B37" i="61"/>
  <c r="Z36" i="61"/>
  <c r="X36" i="61"/>
  <c r="V36" i="61"/>
  <c r="N36" i="61"/>
  <c r="L36" i="61"/>
  <c r="B36" i="61"/>
  <c r="Z35" i="61"/>
  <c r="X35" i="61"/>
  <c r="V35" i="61"/>
  <c r="N35" i="61"/>
  <c r="L35" i="61"/>
  <c r="J35" i="61"/>
  <c r="B35" i="61"/>
  <c r="Z34" i="61"/>
  <c r="X34" i="61"/>
  <c r="N34" i="61"/>
  <c r="L34" i="61"/>
  <c r="J34" i="61"/>
  <c r="B34" i="61"/>
  <c r="Z33" i="61"/>
  <c r="X33" i="61"/>
  <c r="V33" i="61"/>
  <c r="N33" i="61"/>
  <c r="L33" i="61"/>
  <c r="J33" i="61"/>
  <c r="B33" i="61"/>
  <c r="Z32" i="61"/>
  <c r="X32" i="61"/>
  <c r="V32" i="61"/>
  <c r="N32" i="61"/>
  <c r="L32" i="61"/>
  <c r="F32" i="61"/>
  <c r="B32" i="61"/>
  <c r="Z31" i="61"/>
  <c r="X31" i="61"/>
  <c r="V31" i="61"/>
  <c r="N31" i="61"/>
  <c r="L31" i="61"/>
  <c r="J31" i="61"/>
  <c r="B31" i="61"/>
  <c r="Z30" i="61"/>
  <c r="X30" i="61"/>
  <c r="N30" i="61"/>
  <c r="L30" i="61"/>
  <c r="J30" i="61"/>
  <c r="F30" i="61"/>
  <c r="B30" i="61"/>
  <c r="Z29" i="61"/>
  <c r="V29" i="61"/>
  <c r="T29" i="61"/>
  <c r="P29" i="61"/>
  <c r="X29" i="61" s="1"/>
  <c r="J29" i="61"/>
  <c r="H29" i="61"/>
  <c r="F29" i="61"/>
  <c r="D29" i="61"/>
  <c r="L29" i="61" s="1"/>
  <c r="B29" i="61"/>
  <c r="X28" i="61"/>
  <c r="Z28" i="61" s="1"/>
  <c r="V28" i="61"/>
  <c r="L28" i="61"/>
  <c r="N28" i="61" s="1"/>
  <c r="B28" i="61"/>
  <c r="Z27" i="61"/>
  <c r="X27" i="61"/>
  <c r="V27" i="61"/>
  <c r="N27" i="61"/>
  <c r="L27" i="61"/>
  <c r="J27" i="61"/>
  <c r="B27" i="61"/>
  <c r="X26" i="61"/>
  <c r="Z26" i="61" s="1"/>
  <c r="V26" i="61"/>
  <c r="L26" i="61"/>
  <c r="N26" i="61" s="1"/>
  <c r="B26" i="61"/>
  <c r="Z25" i="61"/>
  <c r="X25" i="61"/>
  <c r="V25" i="61"/>
  <c r="N25" i="61"/>
  <c r="L25" i="61"/>
  <c r="J25" i="61"/>
  <c r="B25" i="61"/>
  <c r="Z24" i="61"/>
  <c r="X24" i="61"/>
  <c r="V24" i="61"/>
  <c r="N24" i="61"/>
  <c r="L24" i="61"/>
  <c r="F24" i="61"/>
  <c r="B24" i="61"/>
  <c r="X23" i="61"/>
  <c r="Z23" i="61" s="1"/>
  <c r="V23" i="61"/>
  <c r="N23" i="61"/>
  <c r="L23" i="61"/>
  <c r="J23" i="61"/>
  <c r="B23" i="61"/>
  <c r="X22" i="61"/>
  <c r="Z22" i="61" s="1"/>
  <c r="V22" i="61"/>
  <c r="N22" i="61"/>
  <c r="L22" i="61"/>
  <c r="B22" i="61"/>
  <c r="Z21" i="61"/>
  <c r="X21" i="61"/>
  <c r="V21" i="61"/>
  <c r="L21" i="61"/>
  <c r="N21" i="61" s="1"/>
  <c r="J21" i="61"/>
  <c r="F21" i="61"/>
  <c r="B21" i="61"/>
  <c r="X20" i="61"/>
  <c r="Z20" i="61" s="1"/>
  <c r="V20" i="61"/>
  <c r="L20" i="61"/>
  <c r="N20" i="61" s="1"/>
  <c r="B20" i="61"/>
  <c r="X19" i="61"/>
  <c r="Z19" i="61" s="1"/>
  <c r="V19" i="61"/>
  <c r="T19" i="61"/>
  <c r="P19" i="61"/>
  <c r="N19" i="61"/>
  <c r="J19" i="61"/>
  <c r="H19" i="61"/>
  <c r="F19" i="61"/>
  <c r="D19" i="61"/>
  <c r="L19" i="61" s="1"/>
  <c r="B19" i="61"/>
  <c r="T18" i="61"/>
  <c r="P18" i="61"/>
  <c r="X18" i="61" s="1"/>
  <c r="H18" i="61"/>
  <c r="D18" i="61"/>
  <c r="T16" i="61"/>
  <c r="Z16" i="61" s="1"/>
  <c r="H16" i="61"/>
  <c r="N16" i="61" s="1"/>
  <c r="F16" i="61"/>
  <c r="Z14" i="61"/>
  <c r="T14" i="61"/>
  <c r="P14" i="61"/>
  <c r="X14" i="61" s="1"/>
  <c r="L14" i="61"/>
  <c r="H14" i="61"/>
  <c r="N14" i="61" s="1"/>
  <c r="D14" i="61"/>
  <c r="Z12" i="61"/>
  <c r="X12" i="61"/>
  <c r="T12" i="61"/>
  <c r="V54" i="61" s="1"/>
  <c r="P12" i="61"/>
  <c r="R64" i="61" s="1"/>
  <c r="N12" i="61"/>
  <c r="H12" i="61"/>
  <c r="J67" i="61" s="1"/>
  <c r="D12" i="61"/>
  <c r="F62" i="61" s="1"/>
  <c r="D6" i="61"/>
  <c r="D4" i="61"/>
  <c r="Z59" i="60"/>
  <c r="X59" i="60"/>
  <c r="V59" i="60"/>
  <c r="N59" i="60"/>
  <c r="L59" i="60"/>
  <c r="T55" i="60"/>
  <c r="Z55" i="60" s="1"/>
  <c r="P55" i="60"/>
  <c r="X55" i="60" s="1"/>
  <c r="H55" i="60"/>
  <c r="N55" i="60" s="1"/>
  <c r="D55" i="60"/>
  <c r="L55" i="60" s="1"/>
  <c r="X53" i="60"/>
  <c r="Z53" i="60" s="1"/>
  <c r="N53" i="60"/>
  <c r="L53" i="60"/>
  <c r="B53" i="60"/>
  <c r="Z52" i="60"/>
  <c r="X52" i="60"/>
  <c r="V52" i="60"/>
  <c r="T52" i="60"/>
  <c r="P52" i="60"/>
  <c r="L52" i="60"/>
  <c r="N52" i="60" s="1"/>
  <c r="H52" i="60"/>
  <c r="D52" i="60"/>
  <c r="B52" i="60"/>
  <c r="X51" i="60"/>
  <c r="Z51" i="60" s="1"/>
  <c r="N51" i="60"/>
  <c r="L51" i="60"/>
  <c r="B51" i="60"/>
  <c r="Z50" i="60"/>
  <c r="X50" i="60"/>
  <c r="R50" i="60"/>
  <c r="N50" i="60"/>
  <c r="L50" i="60"/>
  <c r="B50" i="60"/>
  <c r="Z49" i="60"/>
  <c r="X49" i="60"/>
  <c r="V49" i="60"/>
  <c r="T49" i="60"/>
  <c r="P49" i="60"/>
  <c r="H49" i="60"/>
  <c r="D49" i="60"/>
  <c r="B49" i="60"/>
  <c r="Z48" i="60"/>
  <c r="X48" i="60"/>
  <c r="V48" i="60"/>
  <c r="N48" i="60"/>
  <c r="L48" i="60"/>
  <c r="B48" i="60"/>
  <c r="V47" i="60"/>
  <c r="T47" i="60"/>
  <c r="R47" i="60"/>
  <c r="P47" i="60"/>
  <c r="X47" i="60" s="1"/>
  <c r="H47" i="60"/>
  <c r="D47" i="60"/>
  <c r="B47" i="60"/>
  <c r="Z46" i="60"/>
  <c r="X46" i="60"/>
  <c r="R46" i="60"/>
  <c r="N46" i="60"/>
  <c r="L46" i="60"/>
  <c r="J46" i="60"/>
  <c r="B46" i="60"/>
  <c r="Z45" i="60"/>
  <c r="X45" i="60"/>
  <c r="V45" i="60"/>
  <c r="N45" i="60"/>
  <c r="L45" i="60"/>
  <c r="J45" i="60"/>
  <c r="B45" i="60"/>
  <c r="V44" i="60"/>
  <c r="T44" i="60"/>
  <c r="P44" i="60"/>
  <c r="X44" i="60" s="1"/>
  <c r="Z44" i="60" s="1"/>
  <c r="H44" i="60"/>
  <c r="D44" i="60"/>
  <c r="B44" i="60"/>
  <c r="X43" i="60"/>
  <c r="Z43" i="60" s="1"/>
  <c r="N43" i="60"/>
  <c r="L43" i="60"/>
  <c r="J43" i="60"/>
  <c r="B43" i="60"/>
  <c r="V42" i="60"/>
  <c r="T42" i="60"/>
  <c r="R42" i="60"/>
  <c r="P42" i="60"/>
  <c r="X42" i="60" s="1"/>
  <c r="Z42" i="60" s="1"/>
  <c r="H42" i="60"/>
  <c r="D42" i="60"/>
  <c r="L42" i="60" s="1"/>
  <c r="B42" i="60"/>
  <c r="X41" i="60"/>
  <c r="Z41" i="60" s="1"/>
  <c r="V41" i="60"/>
  <c r="R41" i="60"/>
  <c r="N41" i="60"/>
  <c r="L41" i="60"/>
  <c r="J41" i="60"/>
  <c r="B41" i="60"/>
  <c r="X40" i="60"/>
  <c r="V40" i="60"/>
  <c r="T40" i="60"/>
  <c r="P40" i="60"/>
  <c r="H40" i="60"/>
  <c r="D40" i="60"/>
  <c r="L40" i="60" s="1"/>
  <c r="N40" i="60" s="1"/>
  <c r="B40" i="60"/>
  <c r="Z39" i="60"/>
  <c r="X39" i="60"/>
  <c r="N39" i="60"/>
  <c r="L39" i="60"/>
  <c r="B39" i="60"/>
  <c r="Z38" i="60"/>
  <c r="X38" i="60"/>
  <c r="R38" i="60"/>
  <c r="N38" i="60"/>
  <c r="L38" i="60"/>
  <c r="J38" i="60"/>
  <c r="B38" i="60"/>
  <c r="Z37" i="60"/>
  <c r="X37" i="60"/>
  <c r="V37" i="60"/>
  <c r="N37" i="60"/>
  <c r="L37" i="60"/>
  <c r="J37" i="60"/>
  <c r="B37" i="60"/>
  <c r="Z36" i="60"/>
  <c r="X36" i="60"/>
  <c r="V36" i="60"/>
  <c r="N36" i="60"/>
  <c r="L36" i="60"/>
  <c r="F36" i="60"/>
  <c r="B36" i="60"/>
  <c r="Z35" i="60"/>
  <c r="X35" i="60"/>
  <c r="N35" i="60"/>
  <c r="L35" i="60"/>
  <c r="B35" i="60"/>
  <c r="Z34" i="60"/>
  <c r="X34" i="60"/>
  <c r="R34" i="60"/>
  <c r="N34" i="60"/>
  <c r="L34" i="60"/>
  <c r="J34" i="60"/>
  <c r="B34" i="60"/>
  <c r="Z33" i="60"/>
  <c r="X33" i="60"/>
  <c r="V33" i="60"/>
  <c r="N33" i="60"/>
  <c r="L33" i="60"/>
  <c r="J33" i="60"/>
  <c r="B33" i="60"/>
  <c r="Z32" i="60"/>
  <c r="X32" i="60"/>
  <c r="V32" i="60"/>
  <c r="N32" i="60"/>
  <c r="L32" i="60"/>
  <c r="B32" i="60"/>
  <c r="Z31" i="60"/>
  <c r="X31" i="60"/>
  <c r="N31" i="60"/>
  <c r="L31" i="60"/>
  <c r="B31" i="60"/>
  <c r="Z30" i="60"/>
  <c r="X30" i="60"/>
  <c r="R30" i="60"/>
  <c r="N30" i="60"/>
  <c r="L30" i="60"/>
  <c r="J30" i="60"/>
  <c r="B30" i="60"/>
  <c r="V29" i="60"/>
  <c r="T29" i="60"/>
  <c r="Z29" i="60" s="1"/>
  <c r="R29" i="60"/>
  <c r="P29" i="60"/>
  <c r="X29" i="60" s="1"/>
  <c r="N29" i="60"/>
  <c r="H29" i="60"/>
  <c r="D29" i="60"/>
  <c r="L29" i="60" s="1"/>
  <c r="B29" i="60"/>
  <c r="Z28" i="60"/>
  <c r="X28" i="60"/>
  <c r="V28" i="60"/>
  <c r="R28" i="60"/>
  <c r="N28" i="60"/>
  <c r="L28" i="60"/>
  <c r="J28" i="60"/>
  <c r="B28" i="60"/>
  <c r="X27" i="60"/>
  <c r="Z27" i="60" s="1"/>
  <c r="N27" i="60"/>
  <c r="L27" i="60"/>
  <c r="J27" i="60"/>
  <c r="B27" i="60"/>
  <c r="Z26" i="60"/>
  <c r="X26" i="60"/>
  <c r="V26" i="60"/>
  <c r="N26" i="60"/>
  <c r="L26" i="60"/>
  <c r="B26" i="60"/>
  <c r="Z25" i="60"/>
  <c r="X25" i="60"/>
  <c r="V25" i="60"/>
  <c r="N25" i="60"/>
  <c r="L25" i="60"/>
  <c r="J25" i="60"/>
  <c r="B25" i="60"/>
  <c r="Z24" i="60"/>
  <c r="X24" i="60"/>
  <c r="V24" i="60"/>
  <c r="R24" i="60"/>
  <c r="N24" i="60"/>
  <c r="L24" i="60"/>
  <c r="J24" i="60"/>
  <c r="B24" i="60"/>
  <c r="X23" i="60"/>
  <c r="Z23" i="60" s="1"/>
  <c r="N23" i="60"/>
  <c r="L23" i="60"/>
  <c r="J23" i="60"/>
  <c r="B23" i="60"/>
  <c r="Z22" i="60"/>
  <c r="X22" i="60"/>
  <c r="V22" i="60"/>
  <c r="N22" i="60"/>
  <c r="L22" i="60"/>
  <c r="B22" i="60"/>
  <c r="Z21" i="60"/>
  <c r="X21" i="60"/>
  <c r="V21" i="60"/>
  <c r="L21" i="60"/>
  <c r="N21" i="60" s="1"/>
  <c r="J21" i="60"/>
  <c r="B21" i="60"/>
  <c r="X20" i="60"/>
  <c r="Z20" i="60" s="1"/>
  <c r="V20" i="60"/>
  <c r="R20" i="60"/>
  <c r="L20" i="60"/>
  <c r="N20" i="60" s="1"/>
  <c r="J20" i="60"/>
  <c r="B20" i="60"/>
  <c r="X19" i="60"/>
  <c r="Z19" i="60" s="1"/>
  <c r="V19" i="60"/>
  <c r="T19" i="60"/>
  <c r="P19" i="60"/>
  <c r="J19" i="60"/>
  <c r="H19" i="60"/>
  <c r="D19" i="60"/>
  <c r="L19" i="60" s="1"/>
  <c r="N19" i="60" s="1"/>
  <c r="B19" i="60"/>
  <c r="T18" i="60"/>
  <c r="P18" i="60"/>
  <c r="J18" i="60"/>
  <c r="H18" i="60"/>
  <c r="D18" i="60"/>
  <c r="L18" i="60" s="1"/>
  <c r="P16" i="60"/>
  <c r="X16" i="60" s="1"/>
  <c r="J16" i="60"/>
  <c r="Z14" i="60"/>
  <c r="T14" i="60"/>
  <c r="T16" i="60" s="1"/>
  <c r="Z16" i="60" s="1"/>
  <c r="P14" i="60"/>
  <c r="X14" i="60" s="1"/>
  <c r="L14" i="60"/>
  <c r="J14" i="60"/>
  <c r="H14" i="60"/>
  <c r="H16" i="60" s="1"/>
  <c r="D14" i="60"/>
  <c r="Z12" i="60"/>
  <c r="T12" i="60"/>
  <c r="V64" i="60" s="1"/>
  <c r="P12" i="60"/>
  <c r="R45" i="60" s="1"/>
  <c r="N12" i="60"/>
  <c r="H12" i="60"/>
  <c r="D12" i="60"/>
  <c r="D6" i="60"/>
  <c r="D4" i="60"/>
  <c r="V74" i="59"/>
  <c r="V71" i="59"/>
  <c r="Z69" i="59"/>
  <c r="X69" i="59"/>
  <c r="V69" i="59"/>
  <c r="N69" i="59"/>
  <c r="L69" i="59"/>
  <c r="F69" i="59"/>
  <c r="X65" i="59"/>
  <c r="T65" i="59"/>
  <c r="Z65" i="59" s="1"/>
  <c r="P65" i="59"/>
  <c r="N65" i="59"/>
  <c r="H65" i="59"/>
  <c r="D65" i="59"/>
  <c r="L65" i="59" s="1"/>
  <c r="X63" i="59"/>
  <c r="Z63" i="59" s="1"/>
  <c r="N63" i="59"/>
  <c r="L63" i="59"/>
  <c r="B63" i="59"/>
  <c r="V62" i="59"/>
  <c r="T62" i="59"/>
  <c r="R62" i="59"/>
  <c r="P62" i="59"/>
  <c r="X62" i="59" s="1"/>
  <c r="Z62" i="59" s="1"/>
  <c r="H62" i="59"/>
  <c r="D62" i="59"/>
  <c r="B62" i="59"/>
  <c r="X61" i="59"/>
  <c r="Z61" i="59" s="1"/>
  <c r="R61" i="59"/>
  <c r="L61" i="59"/>
  <c r="N61" i="59" s="1"/>
  <c r="B61" i="59"/>
  <c r="X60" i="59"/>
  <c r="Z60" i="59" s="1"/>
  <c r="V60" i="59"/>
  <c r="N60" i="59"/>
  <c r="L60" i="59"/>
  <c r="B60" i="59"/>
  <c r="V59" i="59"/>
  <c r="T59" i="59"/>
  <c r="P59" i="59"/>
  <c r="X59" i="59" s="1"/>
  <c r="Z59" i="59" s="1"/>
  <c r="H59" i="59"/>
  <c r="D59" i="59"/>
  <c r="B59" i="59"/>
  <c r="X58" i="59"/>
  <c r="Z58" i="59" s="1"/>
  <c r="N58" i="59"/>
  <c r="L58" i="59"/>
  <c r="B58" i="59"/>
  <c r="V57" i="59"/>
  <c r="T57" i="59"/>
  <c r="R57" i="59"/>
  <c r="P57" i="59"/>
  <c r="H57" i="59"/>
  <c r="D57" i="59"/>
  <c r="B57" i="59"/>
  <c r="X56" i="59"/>
  <c r="Z56" i="59" s="1"/>
  <c r="V56" i="59"/>
  <c r="R56" i="59"/>
  <c r="L56" i="59"/>
  <c r="N56" i="59" s="1"/>
  <c r="B56" i="59"/>
  <c r="X55" i="59"/>
  <c r="Z55" i="59" s="1"/>
  <c r="N55" i="59"/>
  <c r="L55" i="59"/>
  <c r="B55" i="59"/>
  <c r="V54" i="59"/>
  <c r="T54" i="59"/>
  <c r="R54" i="59"/>
  <c r="P54" i="59"/>
  <c r="X54" i="59" s="1"/>
  <c r="Z54" i="59" s="1"/>
  <c r="H54" i="59"/>
  <c r="D54" i="59"/>
  <c r="B54" i="59"/>
  <c r="X53" i="59"/>
  <c r="Z53" i="59" s="1"/>
  <c r="R53" i="59"/>
  <c r="L53" i="59"/>
  <c r="N53" i="59" s="1"/>
  <c r="B53" i="59"/>
  <c r="X52" i="59"/>
  <c r="Z52" i="59" s="1"/>
  <c r="V52" i="59"/>
  <c r="N52" i="59"/>
  <c r="L52" i="59"/>
  <c r="J52" i="59"/>
  <c r="B52" i="59"/>
  <c r="Z51" i="59"/>
  <c r="X51" i="59"/>
  <c r="V51" i="59"/>
  <c r="L51" i="59"/>
  <c r="N51" i="59" s="1"/>
  <c r="F51" i="59"/>
  <c r="B51" i="59"/>
  <c r="Z50" i="59"/>
  <c r="V50" i="59"/>
  <c r="T50" i="59"/>
  <c r="P50" i="59"/>
  <c r="X50" i="59" s="1"/>
  <c r="H50" i="59"/>
  <c r="N50" i="59" s="1"/>
  <c r="F50" i="59"/>
  <c r="D50" i="59"/>
  <c r="L50" i="59" s="1"/>
  <c r="B50" i="59"/>
  <c r="X49" i="59"/>
  <c r="Z49" i="59" s="1"/>
  <c r="V49" i="59"/>
  <c r="N49" i="59"/>
  <c r="L49" i="59"/>
  <c r="F49" i="59"/>
  <c r="B49" i="59"/>
  <c r="Z48" i="59"/>
  <c r="V48" i="59"/>
  <c r="T48" i="59"/>
  <c r="P48" i="59"/>
  <c r="X48" i="59" s="1"/>
  <c r="L48" i="59"/>
  <c r="N48" i="59" s="1"/>
  <c r="H48" i="59"/>
  <c r="F48" i="59"/>
  <c r="D48" i="59"/>
  <c r="B48" i="59"/>
  <c r="X47" i="59"/>
  <c r="Z47" i="59" s="1"/>
  <c r="V47" i="59"/>
  <c r="N47" i="59"/>
  <c r="L47" i="59"/>
  <c r="B47" i="59"/>
  <c r="V46" i="59"/>
  <c r="T46" i="59"/>
  <c r="R46" i="59"/>
  <c r="P46" i="59"/>
  <c r="X46" i="59" s="1"/>
  <c r="Z46" i="59" s="1"/>
  <c r="H46" i="59"/>
  <c r="N46" i="59" s="1"/>
  <c r="D46" i="59"/>
  <c r="B46" i="59"/>
  <c r="X45" i="59"/>
  <c r="Z45" i="59" s="1"/>
  <c r="R45" i="59"/>
  <c r="N45" i="59"/>
  <c r="L45" i="59"/>
  <c r="B45" i="59"/>
  <c r="X44" i="59"/>
  <c r="Z44" i="59" s="1"/>
  <c r="V44" i="59"/>
  <c r="N44" i="59"/>
  <c r="L44" i="59"/>
  <c r="J44" i="59"/>
  <c r="B44" i="59"/>
  <c r="V43" i="59"/>
  <c r="T43" i="59"/>
  <c r="P43" i="59"/>
  <c r="X43" i="59" s="1"/>
  <c r="Z43" i="59" s="1"/>
  <c r="L43" i="59"/>
  <c r="H43" i="59"/>
  <c r="D43" i="59"/>
  <c r="B43" i="59"/>
  <c r="X42" i="59"/>
  <c r="Z42" i="59" s="1"/>
  <c r="N42" i="59"/>
  <c r="L42" i="59"/>
  <c r="J42" i="59"/>
  <c r="B42" i="59"/>
  <c r="V41" i="59"/>
  <c r="T41" i="59"/>
  <c r="R41" i="59"/>
  <c r="P41" i="59"/>
  <c r="H41" i="59"/>
  <c r="N41" i="59" s="1"/>
  <c r="D41" i="59"/>
  <c r="B41" i="59"/>
  <c r="Z40" i="59"/>
  <c r="X40" i="59"/>
  <c r="V40" i="59"/>
  <c r="R40" i="59"/>
  <c r="N40" i="59"/>
  <c r="L40" i="59"/>
  <c r="B40" i="59"/>
  <c r="Z39" i="59"/>
  <c r="X39" i="59"/>
  <c r="V39" i="59"/>
  <c r="N39" i="59"/>
  <c r="L39" i="59"/>
  <c r="B39" i="59"/>
  <c r="Z38" i="59"/>
  <c r="X38" i="59"/>
  <c r="V38" i="59"/>
  <c r="N38" i="59"/>
  <c r="L38" i="59"/>
  <c r="F38" i="59"/>
  <c r="B38" i="59"/>
  <c r="Z37" i="59"/>
  <c r="X37" i="59"/>
  <c r="R37" i="59"/>
  <c r="N37" i="59"/>
  <c r="L37" i="59"/>
  <c r="F37" i="59"/>
  <c r="B37" i="59"/>
  <c r="Z36" i="59"/>
  <c r="X36" i="59"/>
  <c r="V36" i="59"/>
  <c r="R36" i="59"/>
  <c r="N36" i="59"/>
  <c r="L36" i="59"/>
  <c r="B36" i="59"/>
  <c r="Z35" i="59"/>
  <c r="X35" i="59"/>
  <c r="V35" i="59"/>
  <c r="N35" i="59"/>
  <c r="L35" i="59"/>
  <c r="B35" i="59"/>
  <c r="Z34" i="59"/>
  <c r="X34" i="59"/>
  <c r="V34" i="59"/>
  <c r="N34" i="59"/>
  <c r="L34" i="59"/>
  <c r="F34" i="59"/>
  <c r="B34" i="59"/>
  <c r="Z33" i="59"/>
  <c r="X33" i="59"/>
  <c r="R33" i="59"/>
  <c r="N33" i="59"/>
  <c r="L33" i="59"/>
  <c r="F33" i="59"/>
  <c r="B33" i="59"/>
  <c r="X32" i="59"/>
  <c r="Z32" i="59" s="1"/>
  <c r="V32" i="59"/>
  <c r="R32" i="59"/>
  <c r="L32" i="59"/>
  <c r="N32" i="59" s="1"/>
  <c r="B32" i="59"/>
  <c r="Z31" i="59"/>
  <c r="X31" i="59"/>
  <c r="V31" i="59"/>
  <c r="N31" i="59"/>
  <c r="L31" i="59"/>
  <c r="B31" i="59"/>
  <c r="V30" i="59"/>
  <c r="T30" i="59"/>
  <c r="R30" i="59"/>
  <c r="P30" i="59"/>
  <c r="X30" i="59" s="1"/>
  <c r="Z30" i="59" s="1"/>
  <c r="H30" i="59"/>
  <c r="D30" i="59"/>
  <c r="B30" i="59"/>
  <c r="X29" i="59"/>
  <c r="Z29" i="59" s="1"/>
  <c r="R29" i="59"/>
  <c r="N29" i="59"/>
  <c r="L29" i="59"/>
  <c r="F29" i="59"/>
  <c r="B29" i="59"/>
  <c r="X28" i="59"/>
  <c r="Z28" i="59" s="1"/>
  <c r="V28" i="59"/>
  <c r="N28" i="59"/>
  <c r="L28" i="59"/>
  <c r="F28" i="59"/>
  <c r="B28" i="59"/>
  <c r="Z27" i="59"/>
  <c r="X27" i="59"/>
  <c r="V27" i="59"/>
  <c r="L27" i="59"/>
  <c r="N27" i="59" s="1"/>
  <c r="F27" i="59"/>
  <c r="B27" i="59"/>
  <c r="Z26" i="59"/>
  <c r="X26" i="59"/>
  <c r="V26" i="59"/>
  <c r="R26" i="59"/>
  <c r="N26" i="59"/>
  <c r="L26" i="59"/>
  <c r="B26" i="59"/>
  <c r="X25" i="59"/>
  <c r="Z25" i="59" s="1"/>
  <c r="V25" i="59"/>
  <c r="R25" i="59"/>
  <c r="N25" i="59"/>
  <c r="L25" i="59"/>
  <c r="F25" i="59"/>
  <c r="B25" i="59"/>
  <c r="X24" i="59"/>
  <c r="Z24" i="59" s="1"/>
  <c r="V24" i="59"/>
  <c r="N24" i="59"/>
  <c r="L24" i="59"/>
  <c r="F24" i="59"/>
  <c r="B24" i="59"/>
  <c r="Z23" i="59"/>
  <c r="X23" i="59"/>
  <c r="V23" i="59"/>
  <c r="L23" i="59"/>
  <c r="N23" i="59" s="1"/>
  <c r="F23" i="59"/>
  <c r="B23" i="59"/>
  <c r="Z22" i="59"/>
  <c r="X22" i="59"/>
  <c r="V22" i="59"/>
  <c r="R22" i="59"/>
  <c r="L22" i="59"/>
  <c r="N22" i="59" s="1"/>
  <c r="B22" i="59"/>
  <c r="X21" i="59"/>
  <c r="Z21" i="59" s="1"/>
  <c r="V21" i="59"/>
  <c r="R21" i="59"/>
  <c r="N21" i="59"/>
  <c r="L21" i="59"/>
  <c r="F21" i="59"/>
  <c r="B21" i="59"/>
  <c r="X20" i="59"/>
  <c r="Z20" i="59" s="1"/>
  <c r="V20" i="59"/>
  <c r="N20" i="59"/>
  <c r="L20" i="59"/>
  <c r="J20" i="59"/>
  <c r="F20" i="59"/>
  <c r="B20" i="59"/>
  <c r="V19" i="59"/>
  <c r="T19" i="59"/>
  <c r="P19" i="59"/>
  <c r="X19" i="59" s="1"/>
  <c r="Z19" i="59" s="1"/>
  <c r="L19" i="59"/>
  <c r="H19" i="59"/>
  <c r="F19" i="59"/>
  <c r="D19" i="59"/>
  <c r="B19" i="59"/>
  <c r="T18" i="59"/>
  <c r="R18" i="59"/>
  <c r="P18" i="59"/>
  <c r="X18" i="59" s="1"/>
  <c r="Z18" i="59" s="1"/>
  <c r="H18" i="59"/>
  <c r="F18" i="59"/>
  <c r="D18" i="59"/>
  <c r="L18" i="59" s="1"/>
  <c r="N18" i="59" s="1"/>
  <c r="R16" i="59"/>
  <c r="J16" i="59"/>
  <c r="F16" i="59"/>
  <c r="Z14" i="59"/>
  <c r="X14" i="59"/>
  <c r="T14" i="59"/>
  <c r="T16" i="59" s="1"/>
  <c r="R14" i="59"/>
  <c r="P14" i="59"/>
  <c r="P16" i="59" s="1"/>
  <c r="N14" i="59"/>
  <c r="J14" i="59"/>
  <c r="H14" i="59"/>
  <c r="F14" i="59"/>
  <c r="D14" i="59"/>
  <c r="D16" i="59" s="1"/>
  <c r="Z12" i="59"/>
  <c r="X12" i="59"/>
  <c r="T12" i="59"/>
  <c r="V67" i="59" s="1"/>
  <c r="P12" i="59"/>
  <c r="R63" i="59" s="1"/>
  <c r="H12" i="59"/>
  <c r="J18" i="59" s="1"/>
  <c r="D12" i="59"/>
  <c r="F74" i="59" s="1"/>
  <c r="D6" i="59"/>
  <c r="D4" i="59"/>
  <c r="J80" i="58"/>
  <c r="F80" i="58"/>
  <c r="J77" i="58"/>
  <c r="F77" i="58"/>
  <c r="Z75" i="58"/>
  <c r="X75" i="58"/>
  <c r="N75" i="58"/>
  <c r="L75" i="58"/>
  <c r="V73" i="58"/>
  <c r="Z71" i="58"/>
  <c r="V71" i="58"/>
  <c r="T71" i="58"/>
  <c r="P71" i="58"/>
  <c r="X71" i="58" s="1"/>
  <c r="N71" i="58"/>
  <c r="L71" i="58"/>
  <c r="H71" i="58"/>
  <c r="D71" i="58"/>
  <c r="Z69" i="58"/>
  <c r="X69" i="58"/>
  <c r="V69" i="58"/>
  <c r="L69" i="58"/>
  <c r="N69" i="58" s="1"/>
  <c r="F69" i="58"/>
  <c r="B69" i="58"/>
  <c r="T68" i="58"/>
  <c r="P68" i="58"/>
  <c r="N68" i="58"/>
  <c r="L68" i="58"/>
  <c r="H68" i="58"/>
  <c r="F68" i="58"/>
  <c r="D68" i="58"/>
  <c r="B68" i="58"/>
  <c r="Z67" i="58"/>
  <c r="X67" i="58"/>
  <c r="V67" i="58"/>
  <c r="N67" i="58"/>
  <c r="L67" i="58"/>
  <c r="B67" i="58"/>
  <c r="T66" i="58"/>
  <c r="P66" i="58"/>
  <c r="X66" i="58" s="1"/>
  <c r="Z66" i="58" s="1"/>
  <c r="L66" i="58"/>
  <c r="H66" i="58"/>
  <c r="D66" i="58"/>
  <c r="B66" i="58"/>
  <c r="X65" i="58"/>
  <c r="Z65" i="58" s="1"/>
  <c r="N65" i="58"/>
  <c r="L65" i="58"/>
  <c r="J65" i="58"/>
  <c r="B65" i="58"/>
  <c r="Z64" i="58"/>
  <c r="X64" i="58"/>
  <c r="V64" i="58"/>
  <c r="L64" i="58"/>
  <c r="N64" i="58" s="1"/>
  <c r="F64" i="58"/>
  <c r="B64" i="58"/>
  <c r="Z63" i="58"/>
  <c r="X63" i="58"/>
  <c r="L63" i="58"/>
  <c r="N63" i="58" s="1"/>
  <c r="B63" i="58"/>
  <c r="X62" i="58"/>
  <c r="T62" i="58"/>
  <c r="P62" i="58"/>
  <c r="J62" i="58"/>
  <c r="H62" i="58"/>
  <c r="D62" i="58"/>
  <c r="L62" i="58" s="1"/>
  <c r="N62" i="58" s="1"/>
  <c r="B62" i="58"/>
  <c r="Z61" i="58"/>
  <c r="X61" i="58"/>
  <c r="V61" i="58"/>
  <c r="L61" i="58"/>
  <c r="N61" i="58" s="1"/>
  <c r="F61" i="58"/>
  <c r="B61" i="58"/>
  <c r="T60" i="58"/>
  <c r="P60" i="58"/>
  <c r="H60" i="58"/>
  <c r="L60" i="58" s="1"/>
  <c r="N60" i="58" s="1"/>
  <c r="F60" i="58"/>
  <c r="D60" i="58"/>
  <c r="B60" i="58"/>
  <c r="Z59" i="58"/>
  <c r="X59" i="58"/>
  <c r="V59" i="58"/>
  <c r="N59" i="58"/>
  <c r="L59" i="58"/>
  <c r="F59" i="58"/>
  <c r="B59" i="58"/>
  <c r="T58" i="58"/>
  <c r="P58" i="58"/>
  <c r="X58" i="58" s="1"/>
  <c r="Z58" i="58" s="1"/>
  <c r="L58" i="58"/>
  <c r="H58" i="58"/>
  <c r="F58" i="58"/>
  <c r="D58" i="58"/>
  <c r="B58" i="58"/>
  <c r="X57" i="58"/>
  <c r="Z57" i="58" s="1"/>
  <c r="N57" i="58"/>
  <c r="L57" i="58"/>
  <c r="J57" i="58"/>
  <c r="B57" i="58"/>
  <c r="Z56" i="58"/>
  <c r="X56" i="58"/>
  <c r="V56" i="58"/>
  <c r="L56" i="58"/>
  <c r="N56" i="58" s="1"/>
  <c r="F56" i="58"/>
  <c r="B56" i="58"/>
  <c r="Z55" i="58"/>
  <c r="X55" i="58"/>
  <c r="N55" i="58"/>
  <c r="L55" i="58"/>
  <c r="B55" i="58"/>
  <c r="X54" i="58"/>
  <c r="T54" i="58"/>
  <c r="P54" i="58"/>
  <c r="J54" i="58"/>
  <c r="H54" i="58"/>
  <c r="D54" i="58"/>
  <c r="L54" i="58" s="1"/>
  <c r="N54" i="58" s="1"/>
  <c r="B54" i="58"/>
  <c r="Z53" i="58"/>
  <c r="X53" i="58"/>
  <c r="V53" i="58"/>
  <c r="L53" i="58"/>
  <c r="N53" i="58" s="1"/>
  <c r="F53" i="58"/>
  <c r="B53" i="58"/>
  <c r="X52" i="58"/>
  <c r="Z52" i="58" s="1"/>
  <c r="N52" i="58"/>
  <c r="L52" i="58"/>
  <c r="B52" i="58"/>
  <c r="X51" i="58"/>
  <c r="Z51" i="58" s="1"/>
  <c r="T51" i="58"/>
  <c r="P51" i="58"/>
  <c r="J51" i="58"/>
  <c r="H51" i="58"/>
  <c r="D51" i="58"/>
  <c r="L51" i="58" s="1"/>
  <c r="N51" i="58" s="1"/>
  <c r="B51" i="58"/>
  <c r="Z50" i="58"/>
  <c r="X50" i="58"/>
  <c r="L50" i="58"/>
  <c r="N50" i="58" s="1"/>
  <c r="F50" i="58"/>
  <c r="B50" i="58"/>
  <c r="T49" i="58"/>
  <c r="P49" i="58"/>
  <c r="J49" i="58"/>
  <c r="H49" i="58"/>
  <c r="F49" i="58"/>
  <c r="D49" i="58"/>
  <c r="L49" i="58" s="1"/>
  <c r="N49" i="58" s="1"/>
  <c r="B49" i="58"/>
  <c r="Z48" i="58"/>
  <c r="X48" i="58"/>
  <c r="V48" i="58"/>
  <c r="L48" i="58"/>
  <c r="N48" i="58" s="1"/>
  <c r="F48" i="58"/>
  <c r="B48" i="58"/>
  <c r="Z47" i="58"/>
  <c r="T47" i="58"/>
  <c r="P47" i="58"/>
  <c r="X47" i="58" s="1"/>
  <c r="H47" i="58"/>
  <c r="F47" i="58"/>
  <c r="D47" i="58"/>
  <c r="B47" i="58"/>
  <c r="Z46" i="58"/>
  <c r="X46" i="58"/>
  <c r="V46" i="58"/>
  <c r="N46" i="58"/>
  <c r="L46" i="58"/>
  <c r="B46" i="58"/>
  <c r="V45" i="58"/>
  <c r="T45" i="58"/>
  <c r="P45" i="58"/>
  <c r="X45" i="58" s="1"/>
  <c r="Z45" i="58" s="1"/>
  <c r="L45" i="58"/>
  <c r="N45" i="58" s="1"/>
  <c r="H45" i="58"/>
  <c r="D45" i="58"/>
  <c r="B45" i="58"/>
  <c r="Z44" i="58"/>
  <c r="X44" i="58"/>
  <c r="V44" i="58"/>
  <c r="N44" i="58"/>
  <c r="L44" i="58"/>
  <c r="J44" i="58"/>
  <c r="B44" i="58"/>
  <c r="Z43" i="58"/>
  <c r="V43" i="58"/>
  <c r="T43" i="58"/>
  <c r="P43" i="58"/>
  <c r="X43" i="58" s="1"/>
  <c r="H43" i="58"/>
  <c r="D43" i="58"/>
  <c r="B43" i="58"/>
  <c r="X42" i="58"/>
  <c r="Z42" i="58" s="1"/>
  <c r="N42" i="58"/>
  <c r="L42" i="58"/>
  <c r="B42" i="58"/>
  <c r="V41" i="58"/>
  <c r="T41" i="58"/>
  <c r="P41" i="58"/>
  <c r="H41" i="58"/>
  <c r="D41" i="58"/>
  <c r="L41" i="58" s="1"/>
  <c r="N41" i="58" s="1"/>
  <c r="B41" i="58"/>
  <c r="Z40" i="58"/>
  <c r="X40" i="58"/>
  <c r="N40" i="58"/>
  <c r="L40" i="58"/>
  <c r="B40" i="58"/>
  <c r="Z39" i="58"/>
  <c r="X39" i="58"/>
  <c r="N39" i="58"/>
  <c r="L39" i="58"/>
  <c r="J39" i="58"/>
  <c r="B39" i="58"/>
  <c r="Z38" i="58"/>
  <c r="X38" i="58"/>
  <c r="V38" i="58"/>
  <c r="N38" i="58"/>
  <c r="L38" i="58"/>
  <c r="B38" i="58"/>
  <c r="Z37" i="58"/>
  <c r="X37" i="58"/>
  <c r="V37" i="58"/>
  <c r="N37" i="58"/>
  <c r="L37" i="58"/>
  <c r="F37" i="58"/>
  <c r="B37" i="58"/>
  <c r="Z36" i="58"/>
  <c r="X36" i="58"/>
  <c r="N36" i="58"/>
  <c r="L36" i="58"/>
  <c r="B36" i="58"/>
  <c r="X35" i="58"/>
  <c r="Z35" i="58" s="1"/>
  <c r="N35" i="58"/>
  <c r="L35" i="58"/>
  <c r="J35" i="58"/>
  <c r="B35" i="58"/>
  <c r="Z34" i="58"/>
  <c r="X34" i="58"/>
  <c r="V34" i="58"/>
  <c r="N34" i="58"/>
  <c r="L34" i="58"/>
  <c r="B34" i="58"/>
  <c r="Z33" i="58"/>
  <c r="X33" i="58"/>
  <c r="V33" i="58"/>
  <c r="N33" i="58"/>
  <c r="L33" i="58"/>
  <c r="F33" i="58"/>
  <c r="B33" i="58"/>
  <c r="Z32" i="58"/>
  <c r="X32" i="58"/>
  <c r="V32" i="58"/>
  <c r="N32" i="58"/>
  <c r="L32" i="58"/>
  <c r="B32" i="58"/>
  <c r="X31" i="58"/>
  <c r="Z31" i="58" s="1"/>
  <c r="N31" i="58"/>
  <c r="L31" i="58"/>
  <c r="J31" i="58"/>
  <c r="B31" i="58"/>
  <c r="V30" i="58"/>
  <c r="T30" i="58"/>
  <c r="X30" i="58" s="1"/>
  <c r="Z30" i="58" s="1"/>
  <c r="P30" i="58"/>
  <c r="H30" i="58"/>
  <c r="D30" i="58"/>
  <c r="B30" i="58"/>
  <c r="X29" i="58"/>
  <c r="Z29" i="58" s="1"/>
  <c r="V29" i="58"/>
  <c r="L29" i="58"/>
  <c r="N29" i="58" s="1"/>
  <c r="B29" i="58"/>
  <c r="X28" i="58"/>
  <c r="Z28" i="58" s="1"/>
  <c r="V28" i="58"/>
  <c r="N28" i="58"/>
  <c r="L28" i="58"/>
  <c r="J28" i="58"/>
  <c r="B28" i="58"/>
  <c r="Z27" i="58"/>
  <c r="X27" i="58"/>
  <c r="V27" i="58"/>
  <c r="N27" i="58"/>
  <c r="L27" i="58"/>
  <c r="F27" i="58"/>
  <c r="B27" i="58"/>
  <c r="Z26" i="58"/>
  <c r="X26" i="58"/>
  <c r="N26" i="58"/>
  <c r="L26" i="58"/>
  <c r="F26" i="58"/>
  <c r="B26" i="58"/>
  <c r="Z25" i="58"/>
  <c r="X25" i="58"/>
  <c r="V25" i="58"/>
  <c r="N25" i="58"/>
  <c r="L25" i="58"/>
  <c r="B25" i="58"/>
  <c r="X24" i="58"/>
  <c r="Z24" i="58" s="1"/>
  <c r="V24" i="58"/>
  <c r="N24" i="58"/>
  <c r="L24" i="58"/>
  <c r="J24" i="58"/>
  <c r="B24" i="58"/>
  <c r="Z23" i="58"/>
  <c r="X23" i="58"/>
  <c r="V23" i="58"/>
  <c r="N23" i="58"/>
  <c r="L23" i="58"/>
  <c r="F23" i="58"/>
  <c r="B23" i="58"/>
  <c r="Z22" i="58"/>
  <c r="X22" i="58"/>
  <c r="L22" i="58"/>
  <c r="N22" i="58" s="1"/>
  <c r="F22" i="58"/>
  <c r="B22" i="58"/>
  <c r="X21" i="58"/>
  <c r="Z21" i="58" s="1"/>
  <c r="V21" i="58"/>
  <c r="L21" i="58"/>
  <c r="N21" i="58" s="1"/>
  <c r="B21" i="58"/>
  <c r="X20" i="58"/>
  <c r="Z20" i="58" s="1"/>
  <c r="V20" i="58"/>
  <c r="N20" i="58"/>
  <c r="L20" i="58"/>
  <c r="J20" i="58"/>
  <c r="B20" i="58"/>
  <c r="V19" i="58"/>
  <c r="T19" i="58"/>
  <c r="P19" i="58"/>
  <c r="X19" i="58" s="1"/>
  <c r="Z19" i="58" s="1"/>
  <c r="H19" i="58"/>
  <c r="D19" i="58"/>
  <c r="B19" i="58"/>
  <c r="T18" i="58"/>
  <c r="P18" i="58"/>
  <c r="X18" i="58" s="1"/>
  <c r="J18" i="58"/>
  <c r="H18" i="58"/>
  <c r="D18" i="58"/>
  <c r="T16" i="58"/>
  <c r="J16" i="58"/>
  <c r="T14" i="58"/>
  <c r="Z14" i="58" s="1"/>
  <c r="P14" i="58"/>
  <c r="N14" i="58"/>
  <c r="J14" i="58"/>
  <c r="H14" i="58"/>
  <c r="D14" i="58"/>
  <c r="L14" i="58" s="1"/>
  <c r="Z12" i="58"/>
  <c r="T12" i="58"/>
  <c r="V63" i="58" s="1"/>
  <c r="P12" i="58"/>
  <c r="H12" i="58"/>
  <c r="J66" i="58" s="1"/>
  <c r="D12" i="58"/>
  <c r="F65" i="58" s="1"/>
  <c r="D6" i="58"/>
  <c r="D4" i="58"/>
  <c r="Z75" i="57"/>
  <c r="X75" i="57"/>
  <c r="N75" i="57"/>
  <c r="L75" i="57"/>
  <c r="V73" i="57"/>
  <c r="Z71" i="57"/>
  <c r="X71" i="57"/>
  <c r="V71" i="57"/>
  <c r="P71" i="57"/>
  <c r="N71" i="57"/>
  <c r="J71" i="57"/>
  <c r="D71" i="57"/>
  <c r="L71" i="57" s="1"/>
  <c r="B71" i="57"/>
  <c r="Z70" i="57"/>
  <c r="X70" i="57"/>
  <c r="P70" i="57"/>
  <c r="N70" i="57"/>
  <c r="L70" i="57"/>
  <c r="D70" i="57"/>
  <c r="B70" i="57"/>
  <c r="Z69" i="57"/>
  <c r="V69" i="57"/>
  <c r="P69" i="57"/>
  <c r="X69" i="57" s="1"/>
  <c r="N69" i="57"/>
  <c r="D69" i="57"/>
  <c r="B69" i="57"/>
  <c r="Z68" i="57"/>
  <c r="T68" i="57"/>
  <c r="P68" i="57"/>
  <c r="X68" i="57" s="1"/>
  <c r="N68" i="57"/>
  <c r="H68" i="57"/>
  <c r="Z66" i="57"/>
  <c r="X66" i="57"/>
  <c r="N66" i="57"/>
  <c r="L66" i="57"/>
  <c r="B66" i="57"/>
  <c r="X65" i="57"/>
  <c r="T65" i="57"/>
  <c r="Z65" i="57" s="1"/>
  <c r="P65" i="57"/>
  <c r="N65" i="57"/>
  <c r="J65" i="57"/>
  <c r="H65" i="57"/>
  <c r="D65" i="57"/>
  <c r="L65" i="57" s="1"/>
  <c r="B65" i="57"/>
  <c r="Z64" i="57"/>
  <c r="X64" i="57"/>
  <c r="V64" i="57"/>
  <c r="L64" i="57"/>
  <c r="N64" i="57" s="1"/>
  <c r="B64" i="57"/>
  <c r="T63" i="57"/>
  <c r="P63" i="57"/>
  <c r="N63" i="57"/>
  <c r="L63" i="57"/>
  <c r="J63" i="57"/>
  <c r="H63" i="57"/>
  <c r="D63" i="57"/>
  <c r="B63" i="57"/>
  <c r="Z62" i="57"/>
  <c r="X62" i="57"/>
  <c r="V62" i="57"/>
  <c r="N62" i="57"/>
  <c r="L62" i="57"/>
  <c r="B62" i="57"/>
  <c r="T61" i="57"/>
  <c r="P61" i="57"/>
  <c r="X61" i="57" s="1"/>
  <c r="Z61" i="57" s="1"/>
  <c r="L61" i="57"/>
  <c r="H61" i="57"/>
  <c r="D61" i="57"/>
  <c r="B61" i="57"/>
  <c r="Z60" i="57"/>
  <c r="X60" i="57"/>
  <c r="N60" i="57"/>
  <c r="L60" i="57"/>
  <c r="J60" i="57"/>
  <c r="B60" i="57"/>
  <c r="Z59" i="57"/>
  <c r="X59" i="57"/>
  <c r="V59" i="57"/>
  <c r="N59" i="57"/>
  <c r="L59" i="57"/>
  <c r="B59" i="57"/>
  <c r="Z58" i="57"/>
  <c r="X58" i="57"/>
  <c r="N58" i="57"/>
  <c r="L58" i="57"/>
  <c r="B58" i="57"/>
  <c r="T57" i="57"/>
  <c r="P57" i="57"/>
  <c r="J57" i="57"/>
  <c r="H57" i="57"/>
  <c r="D57" i="57"/>
  <c r="L57" i="57" s="1"/>
  <c r="N57" i="57" s="1"/>
  <c r="B57" i="57"/>
  <c r="Z56" i="57"/>
  <c r="X56" i="57"/>
  <c r="V56" i="57"/>
  <c r="L56" i="57"/>
  <c r="N56" i="57" s="1"/>
  <c r="B56" i="57"/>
  <c r="T55" i="57"/>
  <c r="P55" i="57"/>
  <c r="N55" i="57"/>
  <c r="L55" i="57"/>
  <c r="J55" i="57"/>
  <c r="H55" i="57"/>
  <c r="D55" i="57"/>
  <c r="B55" i="57"/>
  <c r="Z54" i="57"/>
  <c r="X54" i="57"/>
  <c r="V54" i="57"/>
  <c r="N54" i="57"/>
  <c r="L54" i="57"/>
  <c r="B54" i="57"/>
  <c r="Z53" i="57"/>
  <c r="X53" i="57"/>
  <c r="L53" i="57"/>
  <c r="N53" i="57" s="1"/>
  <c r="B53" i="57"/>
  <c r="T52" i="57"/>
  <c r="P52" i="57"/>
  <c r="J52" i="57"/>
  <c r="H52" i="57"/>
  <c r="D52" i="57"/>
  <c r="L52" i="57" s="1"/>
  <c r="N52" i="57" s="1"/>
  <c r="B52" i="57"/>
  <c r="Z51" i="57"/>
  <c r="X51" i="57"/>
  <c r="V51" i="57"/>
  <c r="L51" i="57"/>
  <c r="N51" i="57" s="1"/>
  <c r="B51" i="57"/>
  <c r="T50" i="57"/>
  <c r="P50" i="57"/>
  <c r="X50" i="57" s="1"/>
  <c r="Z50" i="57" s="1"/>
  <c r="H50" i="57"/>
  <c r="D50" i="57"/>
  <c r="L50" i="57" s="1"/>
  <c r="N50" i="57" s="1"/>
  <c r="B50" i="57"/>
  <c r="Z49" i="57"/>
  <c r="X49" i="57"/>
  <c r="V49" i="57"/>
  <c r="N49" i="57"/>
  <c r="L49" i="57"/>
  <c r="B49" i="57"/>
  <c r="V48" i="57"/>
  <c r="T48" i="57"/>
  <c r="P48" i="57"/>
  <c r="X48" i="57" s="1"/>
  <c r="Z48" i="57" s="1"/>
  <c r="L48" i="57"/>
  <c r="N48" i="57" s="1"/>
  <c r="H48" i="57"/>
  <c r="D48" i="57"/>
  <c r="B48" i="57"/>
  <c r="X47" i="57"/>
  <c r="Z47" i="57" s="1"/>
  <c r="N47" i="57"/>
  <c r="L47" i="57"/>
  <c r="J47" i="57"/>
  <c r="B47" i="57"/>
  <c r="Z46" i="57"/>
  <c r="X46" i="57"/>
  <c r="V46" i="57"/>
  <c r="N46" i="57"/>
  <c r="L46" i="57"/>
  <c r="B46" i="57"/>
  <c r="Z45" i="57"/>
  <c r="T45" i="57"/>
  <c r="P45" i="57"/>
  <c r="X45" i="57" s="1"/>
  <c r="L45" i="57"/>
  <c r="H45" i="57"/>
  <c r="D45" i="57"/>
  <c r="B45" i="57"/>
  <c r="Z44" i="57"/>
  <c r="X44" i="57"/>
  <c r="N44" i="57"/>
  <c r="L44" i="57"/>
  <c r="J44" i="57"/>
  <c r="B44" i="57"/>
  <c r="V43" i="57"/>
  <c r="T43" i="57"/>
  <c r="P43" i="57"/>
  <c r="X43" i="57" s="1"/>
  <c r="Z43" i="57" s="1"/>
  <c r="L43" i="57"/>
  <c r="H43" i="57"/>
  <c r="D43" i="57"/>
  <c r="B43" i="57"/>
  <c r="X42" i="57"/>
  <c r="Z42" i="57" s="1"/>
  <c r="N42" i="57"/>
  <c r="L42" i="57"/>
  <c r="J42" i="57"/>
  <c r="B42" i="57"/>
  <c r="V41" i="57"/>
  <c r="T41" i="57"/>
  <c r="X41" i="57" s="1"/>
  <c r="Z41" i="57" s="1"/>
  <c r="P41" i="57"/>
  <c r="H41" i="57"/>
  <c r="D41" i="57"/>
  <c r="L41" i="57" s="1"/>
  <c r="B41" i="57"/>
  <c r="Z40" i="57"/>
  <c r="X40" i="57"/>
  <c r="N40" i="57"/>
  <c r="L40" i="57"/>
  <c r="B40" i="57"/>
  <c r="Z39" i="57"/>
  <c r="X39" i="57"/>
  <c r="N39" i="57"/>
  <c r="L39" i="57"/>
  <c r="J39" i="57"/>
  <c r="B39" i="57"/>
  <c r="Z38" i="57"/>
  <c r="X38" i="57"/>
  <c r="V38" i="57"/>
  <c r="N38" i="57"/>
  <c r="L38" i="57"/>
  <c r="B38" i="57"/>
  <c r="Z37" i="57"/>
  <c r="X37" i="57"/>
  <c r="N37" i="57"/>
  <c r="L37" i="57"/>
  <c r="B37" i="57"/>
  <c r="Z36" i="57"/>
  <c r="X36" i="57"/>
  <c r="N36" i="57"/>
  <c r="L36" i="57"/>
  <c r="B36" i="57"/>
  <c r="Z35" i="57"/>
  <c r="X35" i="57"/>
  <c r="N35" i="57"/>
  <c r="L35" i="57"/>
  <c r="J35" i="57"/>
  <c r="B35" i="57"/>
  <c r="Z34" i="57"/>
  <c r="X34" i="57"/>
  <c r="V34" i="57"/>
  <c r="N34" i="57"/>
  <c r="L34" i="57"/>
  <c r="B34" i="57"/>
  <c r="Z33" i="57"/>
  <c r="X33" i="57"/>
  <c r="N33" i="57"/>
  <c r="L33" i="57"/>
  <c r="B33" i="57"/>
  <c r="X32" i="57"/>
  <c r="Z32" i="57" s="1"/>
  <c r="N32" i="57"/>
  <c r="L32" i="57"/>
  <c r="B32" i="57"/>
  <c r="X31" i="57"/>
  <c r="Z31" i="57" s="1"/>
  <c r="N31" i="57"/>
  <c r="L31" i="57"/>
  <c r="J31" i="57"/>
  <c r="B31" i="57"/>
  <c r="V30" i="57"/>
  <c r="T30" i="57"/>
  <c r="P30" i="57"/>
  <c r="X30" i="57" s="1"/>
  <c r="Z30" i="57" s="1"/>
  <c r="H30" i="57"/>
  <c r="D30" i="57"/>
  <c r="B30" i="57"/>
  <c r="X29" i="57"/>
  <c r="Z29" i="57" s="1"/>
  <c r="N29" i="57"/>
  <c r="L29" i="57"/>
  <c r="J29" i="57"/>
  <c r="B29" i="57"/>
  <c r="X28" i="57"/>
  <c r="Z28" i="57" s="1"/>
  <c r="N28" i="57"/>
  <c r="L28" i="57"/>
  <c r="J28" i="57"/>
  <c r="B28" i="57"/>
  <c r="Z27" i="57"/>
  <c r="X27" i="57"/>
  <c r="V27" i="57"/>
  <c r="L27" i="57"/>
  <c r="N27" i="57" s="1"/>
  <c r="B27" i="57"/>
  <c r="Z26" i="57"/>
  <c r="X26" i="57"/>
  <c r="N26" i="57"/>
  <c r="L26" i="57"/>
  <c r="B26" i="57"/>
  <c r="X25" i="57"/>
  <c r="Z25" i="57" s="1"/>
  <c r="R25" i="57"/>
  <c r="N25" i="57"/>
  <c r="L25" i="57"/>
  <c r="J25" i="57"/>
  <c r="B25" i="57"/>
  <c r="X24" i="57"/>
  <c r="Z24" i="57" s="1"/>
  <c r="N24" i="57"/>
  <c r="L24" i="57"/>
  <c r="J24" i="57"/>
  <c r="B24" i="57"/>
  <c r="Z23" i="57"/>
  <c r="X23" i="57"/>
  <c r="V23" i="57"/>
  <c r="L23" i="57"/>
  <c r="N23" i="57" s="1"/>
  <c r="B23" i="57"/>
  <c r="Z22" i="57"/>
  <c r="X22" i="57"/>
  <c r="R22" i="57"/>
  <c r="L22" i="57"/>
  <c r="N22" i="57" s="1"/>
  <c r="B22" i="57"/>
  <c r="X21" i="57"/>
  <c r="Z21" i="57" s="1"/>
  <c r="N21" i="57"/>
  <c r="L21" i="57"/>
  <c r="J21" i="57"/>
  <c r="B21" i="57"/>
  <c r="T20" i="57"/>
  <c r="P20" i="57"/>
  <c r="H20" i="57"/>
  <c r="D20" i="57"/>
  <c r="B20" i="57"/>
  <c r="T19" i="57"/>
  <c r="P19" i="57"/>
  <c r="X19" i="57" s="1"/>
  <c r="J19" i="57"/>
  <c r="H19" i="57"/>
  <c r="D19" i="57"/>
  <c r="L19" i="57" s="1"/>
  <c r="N19" i="57" s="1"/>
  <c r="J17" i="57"/>
  <c r="T15" i="57"/>
  <c r="Z15" i="57" s="1"/>
  <c r="P15" i="57"/>
  <c r="N15" i="57"/>
  <c r="J15" i="57"/>
  <c r="H15" i="57"/>
  <c r="D15" i="57"/>
  <c r="L15" i="57" s="1"/>
  <c r="Z13" i="57"/>
  <c r="X13" i="57"/>
  <c r="P13" i="57"/>
  <c r="N13" i="57"/>
  <c r="D13" i="57"/>
  <c r="B13" i="57"/>
  <c r="T12" i="57"/>
  <c r="V47" i="57" s="1"/>
  <c r="P12" i="57"/>
  <c r="H12" i="57"/>
  <c r="J75" i="57" s="1"/>
  <c r="D6" i="57"/>
  <c r="D4" i="57"/>
  <c r="F82" i="56"/>
  <c r="Z77" i="56"/>
  <c r="X77" i="56"/>
  <c r="N77" i="56"/>
  <c r="L77" i="56"/>
  <c r="Z73" i="56"/>
  <c r="T73" i="56"/>
  <c r="R73" i="56"/>
  <c r="P73" i="56"/>
  <c r="X73" i="56" s="1"/>
  <c r="H73" i="56"/>
  <c r="N73" i="56" s="1"/>
  <c r="D73" i="56"/>
  <c r="Z71" i="56"/>
  <c r="X71" i="56"/>
  <c r="V71" i="56"/>
  <c r="N71" i="56"/>
  <c r="L71" i="56"/>
  <c r="B71" i="56"/>
  <c r="Z70" i="56"/>
  <c r="T70" i="56"/>
  <c r="P70" i="56"/>
  <c r="X70" i="56" s="1"/>
  <c r="L70" i="56"/>
  <c r="H70" i="56"/>
  <c r="D70" i="56"/>
  <c r="B70" i="56"/>
  <c r="Z69" i="56"/>
  <c r="X69" i="56"/>
  <c r="N69" i="56"/>
  <c r="L69" i="56"/>
  <c r="J69" i="56"/>
  <c r="B69" i="56"/>
  <c r="Z68" i="56"/>
  <c r="X68" i="56"/>
  <c r="T68" i="56"/>
  <c r="P68" i="56"/>
  <c r="H68" i="56"/>
  <c r="D68" i="56"/>
  <c r="B68" i="56"/>
  <c r="X67" i="56"/>
  <c r="Z67" i="56" s="1"/>
  <c r="N67" i="56"/>
  <c r="L67" i="56"/>
  <c r="B67" i="56"/>
  <c r="Z66" i="56"/>
  <c r="X66" i="56"/>
  <c r="N66" i="56"/>
  <c r="L66" i="56"/>
  <c r="B66" i="56"/>
  <c r="Z65" i="56"/>
  <c r="X65" i="56"/>
  <c r="V65" i="56"/>
  <c r="L65" i="56"/>
  <c r="N65" i="56" s="1"/>
  <c r="B65" i="56"/>
  <c r="T64" i="56"/>
  <c r="P64" i="56"/>
  <c r="H64" i="56"/>
  <c r="F64" i="56"/>
  <c r="D64" i="56"/>
  <c r="L64" i="56" s="1"/>
  <c r="N64" i="56" s="1"/>
  <c r="B64" i="56"/>
  <c r="Z63" i="56"/>
  <c r="X63" i="56"/>
  <c r="N63" i="56"/>
  <c r="L63" i="56"/>
  <c r="B63" i="56"/>
  <c r="T62" i="56"/>
  <c r="P62" i="56"/>
  <c r="X62" i="56" s="1"/>
  <c r="Z62" i="56" s="1"/>
  <c r="L62" i="56"/>
  <c r="H62" i="56"/>
  <c r="N62" i="56" s="1"/>
  <c r="D62" i="56"/>
  <c r="B62" i="56"/>
  <c r="Z61" i="56"/>
  <c r="X61" i="56"/>
  <c r="N61" i="56"/>
  <c r="L61" i="56"/>
  <c r="B61" i="56"/>
  <c r="Z60" i="56"/>
  <c r="X60" i="56"/>
  <c r="T60" i="56"/>
  <c r="P60" i="56"/>
  <c r="L60" i="56"/>
  <c r="H60" i="56"/>
  <c r="D60" i="56"/>
  <c r="B60" i="56"/>
  <c r="X59" i="56"/>
  <c r="Z59" i="56" s="1"/>
  <c r="N59" i="56"/>
  <c r="L59" i="56"/>
  <c r="J59" i="56"/>
  <c r="B59" i="56"/>
  <c r="Z58" i="56"/>
  <c r="X58" i="56"/>
  <c r="N58" i="56"/>
  <c r="L58" i="56"/>
  <c r="B58" i="56"/>
  <c r="T57" i="56"/>
  <c r="P57" i="56"/>
  <c r="X57" i="56" s="1"/>
  <c r="Z57" i="56" s="1"/>
  <c r="L57" i="56"/>
  <c r="N57" i="56" s="1"/>
  <c r="H57" i="56"/>
  <c r="D57" i="56"/>
  <c r="B57" i="56"/>
  <c r="X56" i="56"/>
  <c r="Z56" i="56" s="1"/>
  <c r="N56" i="56"/>
  <c r="L56" i="56"/>
  <c r="J56" i="56"/>
  <c r="B56" i="56"/>
  <c r="T55" i="56"/>
  <c r="P55" i="56"/>
  <c r="X55" i="56" s="1"/>
  <c r="Z55" i="56" s="1"/>
  <c r="L55" i="56"/>
  <c r="H55" i="56"/>
  <c r="D55" i="56"/>
  <c r="B55" i="56"/>
  <c r="X54" i="56"/>
  <c r="Z54" i="56" s="1"/>
  <c r="N54" i="56"/>
  <c r="L54" i="56"/>
  <c r="B54" i="56"/>
  <c r="T53" i="56"/>
  <c r="R53" i="56"/>
  <c r="P53" i="56"/>
  <c r="H53" i="56"/>
  <c r="N53" i="56" s="1"/>
  <c r="D53" i="56"/>
  <c r="L53" i="56" s="1"/>
  <c r="B53" i="56"/>
  <c r="X52" i="56"/>
  <c r="Z52" i="56" s="1"/>
  <c r="L52" i="56"/>
  <c r="N52" i="56" s="1"/>
  <c r="B52" i="56"/>
  <c r="X51" i="56"/>
  <c r="Z51" i="56" s="1"/>
  <c r="T51" i="56"/>
  <c r="P51" i="56"/>
  <c r="H51" i="56"/>
  <c r="D51" i="56"/>
  <c r="L51" i="56" s="1"/>
  <c r="N51" i="56" s="1"/>
  <c r="B51" i="56"/>
  <c r="Z50" i="56"/>
  <c r="X50" i="56"/>
  <c r="L50" i="56"/>
  <c r="N50" i="56" s="1"/>
  <c r="B50" i="56"/>
  <c r="X49" i="56"/>
  <c r="T49" i="56"/>
  <c r="P49" i="56"/>
  <c r="H49" i="56"/>
  <c r="F49" i="56"/>
  <c r="D49" i="56"/>
  <c r="L49" i="56" s="1"/>
  <c r="N49" i="56" s="1"/>
  <c r="B49" i="56"/>
  <c r="Z48" i="56"/>
  <c r="X48" i="56"/>
  <c r="L48" i="56"/>
  <c r="N48" i="56" s="1"/>
  <c r="F48" i="56"/>
  <c r="B48" i="56"/>
  <c r="Z47" i="56"/>
  <c r="T47" i="56"/>
  <c r="P47" i="56"/>
  <c r="X47" i="56" s="1"/>
  <c r="H47" i="56"/>
  <c r="N47" i="56" s="1"/>
  <c r="F47" i="56"/>
  <c r="D47" i="56"/>
  <c r="L47" i="56" s="1"/>
  <c r="B47" i="56"/>
  <c r="Z46" i="56"/>
  <c r="X46" i="56"/>
  <c r="N46" i="56"/>
  <c r="L46" i="56"/>
  <c r="B46" i="56"/>
  <c r="T45" i="56"/>
  <c r="P45" i="56"/>
  <c r="X45" i="56" s="1"/>
  <c r="Z45" i="56" s="1"/>
  <c r="N45" i="56"/>
  <c r="L45" i="56"/>
  <c r="H45" i="56"/>
  <c r="D45" i="56"/>
  <c r="B45" i="56"/>
  <c r="X44" i="56"/>
  <c r="Z44" i="56" s="1"/>
  <c r="N44" i="56"/>
  <c r="L44" i="56"/>
  <c r="B44" i="56"/>
  <c r="V43" i="56"/>
  <c r="T43" i="56"/>
  <c r="P43" i="56"/>
  <c r="X43" i="56" s="1"/>
  <c r="Z43" i="56" s="1"/>
  <c r="H43" i="56"/>
  <c r="D43" i="56"/>
  <c r="B43" i="56"/>
  <c r="X42" i="56"/>
  <c r="Z42" i="56" s="1"/>
  <c r="N42" i="56"/>
  <c r="L42" i="56"/>
  <c r="J42" i="56"/>
  <c r="B42" i="56"/>
  <c r="T41" i="56"/>
  <c r="P41" i="56"/>
  <c r="H41" i="56"/>
  <c r="D41" i="56"/>
  <c r="L41" i="56" s="1"/>
  <c r="N41" i="56" s="1"/>
  <c r="B41" i="56"/>
  <c r="Z40" i="56"/>
  <c r="X40" i="56"/>
  <c r="N40" i="56"/>
  <c r="L40" i="56"/>
  <c r="B40" i="56"/>
  <c r="Z39" i="56"/>
  <c r="X39" i="56"/>
  <c r="N39" i="56"/>
  <c r="L39" i="56"/>
  <c r="J39" i="56"/>
  <c r="B39" i="56"/>
  <c r="Z38" i="56"/>
  <c r="X38" i="56"/>
  <c r="N38" i="56"/>
  <c r="L38" i="56"/>
  <c r="B38" i="56"/>
  <c r="Z37" i="56"/>
  <c r="X37" i="56"/>
  <c r="N37" i="56"/>
  <c r="L37" i="56"/>
  <c r="F37" i="56"/>
  <c r="B37" i="56"/>
  <c r="Z36" i="56"/>
  <c r="X36" i="56"/>
  <c r="N36" i="56"/>
  <c r="L36" i="56"/>
  <c r="B36" i="56"/>
  <c r="Z35" i="56"/>
  <c r="X35" i="56"/>
  <c r="N35" i="56"/>
  <c r="L35" i="56"/>
  <c r="J35" i="56"/>
  <c r="B35" i="56"/>
  <c r="Z34" i="56"/>
  <c r="X34" i="56"/>
  <c r="N34" i="56"/>
  <c r="L34" i="56"/>
  <c r="B34" i="56"/>
  <c r="Z33" i="56"/>
  <c r="X33" i="56"/>
  <c r="N33" i="56"/>
  <c r="L33" i="56"/>
  <c r="B33" i="56"/>
  <c r="X32" i="56"/>
  <c r="Z32" i="56" s="1"/>
  <c r="L32" i="56"/>
  <c r="N32" i="56" s="1"/>
  <c r="B32" i="56"/>
  <c r="X31" i="56"/>
  <c r="Z31" i="56" s="1"/>
  <c r="L31" i="56"/>
  <c r="N31" i="56" s="1"/>
  <c r="B31" i="56"/>
  <c r="T30" i="56"/>
  <c r="P30" i="56"/>
  <c r="X30" i="56" s="1"/>
  <c r="Z30" i="56" s="1"/>
  <c r="H30" i="56"/>
  <c r="D30" i="56"/>
  <c r="L30" i="56" s="1"/>
  <c r="B30" i="56"/>
  <c r="X29" i="56"/>
  <c r="Z29" i="56" s="1"/>
  <c r="N29" i="56"/>
  <c r="L29" i="56"/>
  <c r="F29" i="56"/>
  <c r="B29" i="56"/>
  <c r="X28" i="56"/>
  <c r="Z28" i="56" s="1"/>
  <c r="N28" i="56"/>
  <c r="L28" i="56"/>
  <c r="J28" i="56"/>
  <c r="B28" i="56"/>
  <c r="X27" i="56"/>
  <c r="Z27" i="56" s="1"/>
  <c r="N27" i="56"/>
  <c r="L27" i="56"/>
  <c r="F27" i="56"/>
  <c r="B27" i="56"/>
  <c r="Z26" i="56"/>
  <c r="X26" i="56"/>
  <c r="N26" i="56"/>
  <c r="L26" i="56"/>
  <c r="B26" i="56"/>
  <c r="X25" i="56"/>
  <c r="Z25" i="56" s="1"/>
  <c r="N25" i="56"/>
  <c r="L25" i="56"/>
  <c r="J25" i="56"/>
  <c r="B25" i="56"/>
  <c r="X24" i="56"/>
  <c r="Z24" i="56" s="1"/>
  <c r="L24" i="56"/>
  <c r="N24" i="56" s="1"/>
  <c r="B24" i="56"/>
  <c r="X23" i="56"/>
  <c r="Z23" i="56" s="1"/>
  <c r="N23" i="56"/>
  <c r="L23" i="56"/>
  <c r="B23" i="56"/>
  <c r="Z22" i="56"/>
  <c r="X22" i="56"/>
  <c r="N22" i="56"/>
  <c r="L22" i="56"/>
  <c r="B22" i="56"/>
  <c r="X21" i="56"/>
  <c r="Z21" i="56" s="1"/>
  <c r="L21" i="56"/>
  <c r="N21" i="56" s="1"/>
  <c r="J21" i="56"/>
  <c r="F21" i="56"/>
  <c r="B21" i="56"/>
  <c r="T20" i="56"/>
  <c r="P20" i="56"/>
  <c r="X20" i="56" s="1"/>
  <c r="H20" i="56"/>
  <c r="D20" i="56"/>
  <c r="B20" i="56"/>
  <c r="T19" i="56"/>
  <c r="Z19" i="56" s="1"/>
  <c r="P19" i="56"/>
  <c r="X19" i="56" s="1"/>
  <c r="H19" i="56"/>
  <c r="F19" i="56"/>
  <c r="D19" i="56"/>
  <c r="R17" i="56"/>
  <c r="J17" i="56"/>
  <c r="Z15" i="56"/>
  <c r="X15" i="56"/>
  <c r="T15" i="56"/>
  <c r="P15" i="56"/>
  <c r="J15" i="56"/>
  <c r="H15" i="56"/>
  <c r="N15" i="56" s="1"/>
  <c r="D15" i="56"/>
  <c r="Z13" i="56"/>
  <c r="X13" i="56"/>
  <c r="P13" i="56"/>
  <c r="N13" i="56"/>
  <c r="L13" i="56"/>
  <c r="D13" i="56"/>
  <c r="D12" i="56" s="1"/>
  <c r="F71" i="56" s="1"/>
  <c r="B13" i="56"/>
  <c r="T12" i="56"/>
  <c r="V58" i="56" s="1"/>
  <c r="P12" i="56"/>
  <c r="R55" i="56" s="1"/>
  <c r="L12" i="56"/>
  <c r="H12" i="56"/>
  <c r="J54" i="56" s="1"/>
  <c r="D6" i="56"/>
  <c r="D4" i="56"/>
  <c r="J38" i="55"/>
  <c r="Z33" i="55"/>
  <c r="X33" i="55"/>
  <c r="R33" i="55"/>
  <c r="N33" i="55"/>
  <c r="L33" i="55"/>
  <c r="F33" i="55"/>
  <c r="J31" i="55"/>
  <c r="F31" i="55"/>
  <c r="T29" i="55"/>
  <c r="Z29" i="55" s="1"/>
  <c r="R29" i="55"/>
  <c r="P29" i="55"/>
  <c r="H29" i="55"/>
  <c r="N29" i="55" s="1"/>
  <c r="F29" i="55"/>
  <c r="D29" i="55"/>
  <c r="L29" i="55" s="1"/>
  <c r="Z27" i="55"/>
  <c r="X27" i="55"/>
  <c r="V27" i="55"/>
  <c r="N27" i="55"/>
  <c r="L27" i="55"/>
  <c r="B27" i="55"/>
  <c r="X26" i="55"/>
  <c r="Z26" i="55" s="1"/>
  <c r="V26" i="55"/>
  <c r="N26" i="55"/>
  <c r="L26" i="55"/>
  <c r="B26" i="55"/>
  <c r="Z25" i="55"/>
  <c r="T25" i="55"/>
  <c r="R25" i="55"/>
  <c r="P25" i="55"/>
  <c r="X25" i="55" s="1"/>
  <c r="H25" i="55"/>
  <c r="N25" i="55" s="1"/>
  <c r="D25" i="55"/>
  <c r="L25" i="55" s="1"/>
  <c r="B25" i="55"/>
  <c r="Z24" i="55"/>
  <c r="X24" i="55"/>
  <c r="L24" i="55"/>
  <c r="N24" i="55" s="1"/>
  <c r="F24" i="55"/>
  <c r="B24" i="55"/>
  <c r="V23" i="55"/>
  <c r="T23" i="55"/>
  <c r="P23" i="55"/>
  <c r="L23" i="55"/>
  <c r="N23" i="55" s="1"/>
  <c r="J23" i="55"/>
  <c r="H23" i="55"/>
  <c r="F23" i="55"/>
  <c r="D23" i="55"/>
  <c r="B23" i="55"/>
  <c r="X22" i="55"/>
  <c r="Z22" i="55" s="1"/>
  <c r="V22" i="55"/>
  <c r="L22" i="55"/>
  <c r="N22" i="55" s="1"/>
  <c r="F22" i="55"/>
  <c r="B22" i="55"/>
  <c r="V21" i="55"/>
  <c r="T21" i="55"/>
  <c r="R21" i="55"/>
  <c r="P21" i="55"/>
  <c r="X21" i="55" s="1"/>
  <c r="Z21" i="55" s="1"/>
  <c r="H21" i="55"/>
  <c r="F21" i="55"/>
  <c r="D21" i="55"/>
  <c r="L21" i="55" s="1"/>
  <c r="B21" i="55"/>
  <c r="X20" i="55"/>
  <c r="Z20" i="55" s="1"/>
  <c r="R20" i="55"/>
  <c r="N20" i="55"/>
  <c r="L20" i="55"/>
  <c r="B20" i="55"/>
  <c r="Z19" i="55"/>
  <c r="V19" i="55"/>
  <c r="T19" i="55"/>
  <c r="P19" i="55"/>
  <c r="X19" i="55" s="1"/>
  <c r="H19" i="55"/>
  <c r="D19" i="55"/>
  <c r="L19" i="55" s="1"/>
  <c r="N19" i="55" s="1"/>
  <c r="B19" i="55"/>
  <c r="T18" i="55"/>
  <c r="P18" i="55"/>
  <c r="H18" i="55"/>
  <c r="F18" i="55"/>
  <c r="D18" i="55"/>
  <c r="P16" i="55"/>
  <c r="F16" i="55"/>
  <c r="T14" i="55"/>
  <c r="Z14" i="55" s="1"/>
  <c r="P14" i="55"/>
  <c r="X14" i="55" s="1"/>
  <c r="N14" i="55"/>
  <c r="H14" i="55"/>
  <c r="F14" i="55"/>
  <c r="D14" i="55"/>
  <c r="X12" i="55"/>
  <c r="T12" i="55"/>
  <c r="V29" i="55" s="1"/>
  <c r="P12" i="55"/>
  <c r="R38" i="55" s="1"/>
  <c r="H12" i="55"/>
  <c r="J22" i="55" s="1"/>
  <c r="D12" i="55"/>
  <c r="F27" i="55" s="1"/>
  <c r="D6" i="55"/>
  <c r="D4" i="55"/>
  <c r="J31" i="54"/>
  <c r="Z29" i="54"/>
  <c r="X29" i="54"/>
  <c r="T29" i="54"/>
  <c r="P29" i="54"/>
  <c r="L29" i="54"/>
  <c r="J29" i="54"/>
  <c r="H29" i="54"/>
  <c r="N29" i="54" s="1"/>
  <c r="D29" i="54"/>
  <c r="Z28" i="54"/>
  <c r="X28" i="54"/>
  <c r="T28" i="54"/>
  <c r="P28" i="54"/>
  <c r="L28" i="54"/>
  <c r="J28" i="54"/>
  <c r="H28" i="54"/>
  <c r="N28" i="54" s="1"/>
  <c r="D28" i="54"/>
  <c r="J26" i="54"/>
  <c r="Z24" i="54"/>
  <c r="X24" i="54"/>
  <c r="R24" i="54"/>
  <c r="N24" i="54"/>
  <c r="L24" i="54"/>
  <c r="J24" i="54"/>
  <c r="F24" i="54"/>
  <c r="R22" i="54"/>
  <c r="J22" i="54"/>
  <c r="Z20" i="54"/>
  <c r="T20" i="54"/>
  <c r="R20" i="54"/>
  <c r="P20" i="54"/>
  <c r="X20" i="54" s="1"/>
  <c r="J20" i="54"/>
  <c r="H20" i="54"/>
  <c r="N20" i="54" s="1"/>
  <c r="D20" i="54"/>
  <c r="L20" i="54" s="1"/>
  <c r="Z18" i="54"/>
  <c r="T18" i="54"/>
  <c r="R18" i="54"/>
  <c r="P18" i="54"/>
  <c r="X18" i="54" s="1"/>
  <c r="J18" i="54"/>
  <c r="H18" i="54"/>
  <c r="N18" i="54" s="1"/>
  <c r="D18" i="54"/>
  <c r="L18" i="54" s="1"/>
  <c r="Z16" i="54"/>
  <c r="R16" i="54"/>
  <c r="J16" i="54"/>
  <c r="D16" i="54"/>
  <c r="D22" i="54" s="1"/>
  <c r="Z14" i="54"/>
  <c r="T14" i="54"/>
  <c r="T16" i="54" s="1"/>
  <c r="T22" i="54" s="1"/>
  <c r="T26" i="54" s="1"/>
  <c r="T31" i="54" s="1"/>
  <c r="R14" i="54"/>
  <c r="P14" i="54"/>
  <c r="X14" i="54" s="1"/>
  <c r="J14" i="54"/>
  <c r="H14" i="54"/>
  <c r="N14" i="54" s="1"/>
  <c r="D14" i="54"/>
  <c r="L14" i="54" s="1"/>
  <c r="Z12" i="54"/>
  <c r="T12" i="54"/>
  <c r="V22" i="54" s="1"/>
  <c r="P12" i="54"/>
  <c r="X12" i="54" s="1"/>
  <c r="N12" i="54"/>
  <c r="L12" i="54"/>
  <c r="H12" i="54"/>
  <c r="D12" i="54"/>
  <c r="F31" i="54" s="1"/>
  <c r="D6" i="54"/>
  <c r="D4" i="54"/>
  <c r="X100" i="51"/>
  <c r="Z100" i="51" s="1"/>
  <c r="N100" i="51"/>
  <c r="L100" i="51"/>
  <c r="P96" i="51"/>
  <c r="X96" i="51" s="1"/>
  <c r="Z96" i="51" s="1"/>
  <c r="D96" i="51"/>
  <c r="B96" i="51"/>
  <c r="Z95" i="51"/>
  <c r="X95" i="51"/>
  <c r="P95" i="51"/>
  <c r="N95" i="51"/>
  <c r="D95" i="51"/>
  <c r="L95" i="51" s="1"/>
  <c r="B95" i="51"/>
  <c r="X94" i="51"/>
  <c r="T94" i="51"/>
  <c r="P94" i="51"/>
  <c r="H94" i="51"/>
  <c r="X92" i="51"/>
  <c r="Z92" i="51" s="1"/>
  <c r="N92" i="51"/>
  <c r="L92" i="51"/>
  <c r="B92" i="51"/>
  <c r="T91" i="51"/>
  <c r="P91" i="51"/>
  <c r="X91" i="51" s="1"/>
  <c r="Z91" i="51" s="1"/>
  <c r="H91" i="51"/>
  <c r="L91" i="51" s="1"/>
  <c r="N91" i="51" s="1"/>
  <c r="D91" i="51"/>
  <c r="B91" i="51"/>
  <c r="Z90" i="51"/>
  <c r="X90" i="51"/>
  <c r="L90" i="51"/>
  <c r="N90" i="51" s="1"/>
  <c r="J90" i="51"/>
  <c r="B90" i="51"/>
  <c r="Z89" i="51"/>
  <c r="X89" i="51"/>
  <c r="N89" i="51"/>
  <c r="L89" i="51"/>
  <c r="B89" i="51"/>
  <c r="Z88" i="51"/>
  <c r="X88" i="51"/>
  <c r="N88" i="51"/>
  <c r="L88" i="51"/>
  <c r="B88" i="51"/>
  <c r="T87" i="51"/>
  <c r="P87" i="51"/>
  <c r="H87" i="51"/>
  <c r="N87" i="51" s="1"/>
  <c r="D87" i="51"/>
  <c r="L87" i="51" s="1"/>
  <c r="B87" i="51"/>
  <c r="Z86" i="51"/>
  <c r="X86" i="51"/>
  <c r="V86" i="51"/>
  <c r="N86" i="51"/>
  <c r="L86" i="51"/>
  <c r="B86" i="51"/>
  <c r="T85" i="51"/>
  <c r="P85" i="51"/>
  <c r="L85" i="51"/>
  <c r="N85" i="51" s="1"/>
  <c r="J85" i="51"/>
  <c r="H85" i="51"/>
  <c r="D85" i="51"/>
  <c r="B85" i="51"/>
  <c r="X84" i="51"/>
  <c r="Z84" i="51" s="1"/>
  <c r="L84" i="51"/>
  <c r="N84" i="51" s="1"/>
  <c r="B84" i="51"/>
  <c r="Z83" i="51"/>
  <c r="X83" i="51"/>
  <c r="T83" i="51"/>
  <c r="P83" i="51"/>
  <c r="H83" i="51"/>
  <c r="L83" i="51" s="1"/>
  <c r="N83" i="51" s="1"/>
  <c r="D83" i="51"/>
  <c r="B83" i="51"/>
  <c r="X82" i="51"/>
  <c r="Z82" i="51" s="1"/>
  <c r="N82" i="51"/>
  <c r="L82" i="51"/>
  <c r="J82" i="51"/>
  <c r="B82" i="51"/>
  <c r="V81" i="51"/>
  <c r="T81" i="51"/>
  <c r="P81" i="51"/>
  <c r="N81" i="51"/>
  <c r="L81" i="51"/>
  <c r="J81" i="51"/>
  <c r="H81" i="51"/>
  <c r="D81" i="51"/>
  <c r="B81" i="51"/>
  <c r="Z80" i="51"/>
  <c r="X80" i="51"/>
  <c r="V80" i="51"/>
  <c r="N80" i="51"/>
  <c r="L80" i="51"/>
  <c r="B80" i="51"/>
  <c r="Z79" i="51"/>
  <c r="X79" i="51"/>
  <c r="L79" i="51"/>
  <c r="N79" i="51" s="1"/>
  <c r="J79" i="51"/>
  <c r="B79" i="51"/>
  <c r="T78" i="51"/>
  <c r="Z78" i="51" s="1"/>
  <c r="P78" i="51"/>
  <c r="X78" i="51" s="1"/>
  <c r="H78" i="51"/>
  <c r="D78" i="51"/>
  <c r="L78" i="51" s="1"/>
  <c r="B78" i="51"/>
  <c r="Z77" i="51"/>
  <c r="X77" i="51"/>
  <c r="N77" i="51"/>
  <c r="L77" i="51"/>
  <c r="J77" i="51"/>
  <c r="B77" i="51"/>
  <c r="V76" i="51"/>
  <c r="T76" i="51"/>
  <c r="P76" i="51"/>
  <c r="H76" i="51"/>
  <c r="N76" i="51" s="1"/>
  <c r="D76" i="51"/>
  <c r="L76" i="51" s="1"/>
  <c r="B76" i="51"/>
  <c r="Z75" i="51"/>
  <c r="X75" i="51"/>
  <c r="V75" i="51"/>
  <c r="N75" i="51"/>
  <c r="L75" i="51"/>
  <c r="B75" i="51"/>
  <c r="T74" i="51"/>
  <c r="Z74" i="51" s="1"/>
  <c r="P74" i="51"/>
  <c r="X74" i="51" s="1"/>
  <c r="L74" i="51"/>
  <c r="J74" i="51"/>
  <c r="H74" i="51"/>
  <c r="D74" i="51"/>
  <c r="B74" i="51"/>
  <c r="Z73" i="51"/>
  <c r="X73" i="51"/>
  <c r="L73" i="51"/>
  <c r="N73" i="51" s="1"/>
  <c r="B73" i="51"/>
  <c r="T72" i="51"/>
  <c r="P72" i="51"/>
  <c r="X72" i="51" s="1"/>
  <c r="H72" i="51"/>
  <c r="N72" i="51" s="1"/>
  <c r="D72" i="51"/>
  <c r="L72" i="51" s="1"/>
  <c r="B72" i="51"/>
  <c r="Z71" i="51"/>
  <c r="X71" i="51"/>
  <c r="N71" i="51"/>
  <c r="L71" i="51"/>
  <c r="J71" i="51"/>
  <c r="B71" i="51"/>
  <c r="X70" i="51"/>
  <c r="V70" i="51"/>
  <c r="T70" i="51"/>
  <c r="P70" i="51"/>
  <c r="H70" i="51"/>
  <c r="D70" i="51"/>
  <c r="B70" i="51"/>
  <c r="Z69" i="51"/>
  <c r="X69" i="51"/>
  <c r="N69" i="51"/>
  <c r="L69" i="51"/>
  <c r="J69" i="51"/>
  <c r="B69" i="51"/>
  <c r="Z68" i="51"/>
  <c r="X68" i="51"/>
  <c r="N68" i="51"/>
  <c r="L68" i="51"/>
  <c r="B68" i="51"/>
  <c r="Z67" i="51"/>
  <c r="X67" i="51"/>
  <c r="N67" i="51"/>
  <c r="L67" i="51"/>
  <c r="J67" i="51"/>
  <c r="B67" i="51"/>
  <c r="X66" i="51"/>
  <c r="Z66" i="51" s="1"/>
  <c r="N66" i="51"/>
  <c r="L66" i="51"/>
  <c r="B66" i="51"/>
  <c r="Z65" i="51"/>
  <c r="X65" i="51"/>
  <c r="N65" i="51"/>
  <c r="L65" i="51"/>
  <c r="J65" i="51"/>
  <c r="B65" i="51"/>
  <c r="Z64" i="51"/>
  <c r="X64" i="51"/>
  <c r="N64" i="51"/>
  <c r="L64" i="51"/>
  <c r="B64" i="51"/>
  <c r="Z63" i="51"/>
  <c r="X63" i="51"/>
  <c r="N63" i="51"/>
  <c r="L63" i="51"/>
  <c r="J63" i="51"/>
  <c r="B63" i="51"/>
  <c r="Z62" i="51"/>
  <c r="X62" i="51"/>
  <c r="N62" i="51"/>
  <c r="L62" i="51"/>
  <c r="B62" i="51"/>
  <c r="X61" i="51"/>
  <c r="Z61" i="51" s="1"/>
  <c r="N61" i="51"/>
  <c r="L61" i="51"/>
  <c r="J61" i="51"/>
  <c r="B61" i="51"/>
  <c r="Z60" i="51"/>
  <c r="X60" i="51"/>
  <c r="N60" i="51"/>
  <c r="L60" i="51"/>
  <c r="B60" i="51"/>
  <c r="T59" i="51"/>
  <c r="P59" i="51"/>
  <c r="X59" i="51" s="1"/>
  <c r="Z59" i="51" s="1"/>
  <c r="N59" i="51"/>
  <c r="L59" i="51"/>
  <c r="H59" i="51"/>
  <c r="D59" i="51"/>
  <c r="B59" i="51"/>
  <c r="X58" i="51"/>
  <c r="Z58" i="51" s="1"/>
  <c r="L58" i="51"/>
  <c r="N58" i="51" s="1"/>
  <c r="J58" i="51"/>
  <c r="B58" i="51"/>
  <c r="Z57" i="51"/>
  <c r="X57" i="51"/>
  <c r="N57" i="51"/>
  <c r="L57" i="51"/>
  <c r="J57" i="51"/>
  <c r="B57" i="51"/>
  <c r="Z56" i="51"/>
  <c r="X56" i="51"/>
  <c r="L56" i="51"/>
  <c r="N56" i="51" s="1"/>
  <c r="B56" i="51"/>
  <c r="Z55" i="51"/>
  <c r="X55" i="51"/>
  <c r="V55" i="51"/>
  <c r="N55" i="51"/>
  <c r="L55" i="51"/>
  <c r="B55" i="51"/>
  <c r="Z54" i="51"/>
  <c r="X54" i="51"/>
  <c r="N54" i="51"/>
  <c r="L54" i="51"/>
  <c r="J54" i="51"/>
  <c r="B54" i="51"/>
  <c r="Z53" i="51"/>
  <c r="X53" i="51"/>
  <c r="N53" i="51"/>
  <c r="L53" i="51"/>
  <c r="J53" i="51"/>
  <c r="B53" i="51"/>
  <c r="Z52" i="51"/>
  <c r="X52" i="51"/>
  <c r="L52" i="51"/>
  <c r="N52" i="51" s="1"/>
  <c r="B52" i="51"/>
  <c r="Z51" i="51"/>
  <c r="X51" i="51"/>
  <c r="V51" i="51"/>
  <c r="N51" i="51"/>
  <c r="L51" i="51"/>
  <c r="B51" i="51"/>
  <c r="X50" i="51"/>
  <c r="Z50" i="51" s="1"/>
  <c r="L50" i="51"/>
  <c r="N50" i="51" s="1"/>
  <c r="J50" i="51"/>
  <c r="B50" i="51"/>
  <c r="Z49" i="51"/>
  <c r="X49" i="51"/>
  <c r="N49" i="51"/>
  <c r="L49" i="51"/>
  <c r="J49" i="51"/>
  <c r="B49" i="51"/>
  <c r="Z48" i="51"/>
  <c r="T48" i="51"/>
  <c r="P48" i="51"/>
  <c r="X48" i="51" s="1"/>
  <c r="H48" i="51"/>
  <c r="D48" i="51"/>
  <c r="L48" i="51" s="1"/>
  <c r="B48" i="51"/>
  <c r="T47" i="51"/>
  <c r="P47" i="51"/>
  <c r="X47" i="51" s="1"/>
  <c r="H47" i="51"/>
  <c r="J47" i="51" s="1"/>
  <c r="D47" i="51"/>
  <c r="Z43" i="51"/>
  <c r="X43" i="51"/>
  <c r="N43" i="51"/>
  <c r="L43" i="51"/>
  <c r="J43" i="51"/>
  <c r="B43" i="51"/>
  <c r="Z42" i="51"/>
  <c r="X42" i="51"/>
  <c r="V42" i="51"/>
  <c r="N42" i="51"/>
  <c r="L42" i="51"/>
  <c r="B42" i="51"/>
  <c r="Z41" i="51"/>
  <c r="X41" i="51"/>
  <c r="N41" i="51"/>
  <c r="L41" i="51"/>
  <c r="B41" i="51"/>
  <c r="Z40" i="51"/>
  <c r="X40" i="51"/>
  <c r="N40" i="51"/>
  <c r="L40" i="51"/>
  <c r="B40" i="51"/>
  <c r="Z39" i="51"/>
  <c r="X39" i="51"/>
  <c r="N39" i="51"/>
  <c r="L39" i="51"/>
  <c r="J39" i="51"/>
  <c r="B39" i="51"/>
  <c r="Z38" i="51"/>
  <c r="X38" i="51"/>
  <c r="V38" i="51"/>
  <c r="N38" i="51"/>
  <c r="L38" i="51"/>
  <c r="B38" i="51"/>
  <c r="Z37" i="51"/>
  <c r="X37" i="51"/>
  <c r="N37" i="51"/>
  <c r="L37" i="51"/>
  <c r="B37" i="51"/>
  <c r="Z36" i="51"/>
  <c r="X36" i="51"/>
  <c r="N36" i="51"/>
  <c r="L36" i="51"/>
  <c r="B36" i="51"/>
  <c r="Z35" i="51"/>
  <c r="X35" i="51"/>
  <c r="N35" i="51"/>
  <c r="L35" i="51"/>
  <c r="J35" i="51"/>
  <c r="B35" i="51"/>
  <c r="Z34" i="51"/>
  <c r="X34" i="51"/>
  <c r="V34" i="51"/>
  <c r="N34" i="51"/>
  <c r="L34" i="51"/>
  <c r="B34" i="51"/>
  <c r="Z33" i="51"/>
  <c r="X33" i="51"/>
  <c r="L33" i="51"/>
  <c r="N33" i="51" s="1"/>
  <c r="B33" i="51"/>
  <c r="T32" i="51"/>
  <c r="P32" i="51"/>
  <c r="L32" i="51"/>
  <c r="N32" i="51" s="1"/>
  <c r="J32" i="51"/>
  <c r="H32" i="51"/>
  <c r="D32" i="51"/>
  <c r="Z30" i="51"/>
  <c r="X30" i="51"/>
  <c r="P30" i="51"/>
  <c r="N30" i="51"/>
  <c r="D30" i="51"/>
  <c r="L30" i="51" s="1"/>
  <c r="B30" i="51"/>
  <c r="Z29" i="51"/>
  <c r="X29" i="51"/>
  <c r="P29" i="51"/>
  <c r="N29" i="51"/>
  <c r="L29" i="51"/>
  <c r="D29" i="51"/>
  <c r="B29" i="51"/>
  <c r="Z28" i="51"/>
  <c r="X28" i="51"/>
  <c r="P28" i="51"/>
  <c r="N28" i="51"/>
  <c r="D28" i="51"/>
  <c r="L28" i="51" s="1"/>
  <c r="B28" i="51"/>
  <c r="Z27" i="51"/>
  <c r="P27" i="51"/>
  <c r="X27" i="51" s="1"/>
  <c r="N27" i="51"/>
  <c r="L27" i="51"/>
  <c r="D27" i="51"/>
  <c r="B27" i="51"/>
  <c r="Z26" i="51"/>
  <c r="X26" i="51"/>
  <c r="P26" i="51"/>
  <c r="N26" i="51"/>
  <c r="L26" i="51"/>
  <c r="D26" i="51"/>
  <c r="B26" i="51"/>
  <c r="Z25" i="51"/>
  <c r="P25" i="51"/>
  <c r="X25" i="51" s="1"/>
  <c r="N25" i="51"/>
  <c r="L25" i="51"/>
  <c r="D25" i="51"/>
  <c r="B25" i="51"/>
  <c r="Z24" i="51"/>
  <c r="P24" i="51"/>
  <c r="X24" i="51" s="1"/>
  <c r="N24" i="51"/>
  <c r="D24" i="51"/>
  <c r="L24" i="51" s="1"/>
  <c r="B24" i="51"/>
  <c r="Z23" i="51"/>
  <c r="P23" i="51"/>
  <c r="X23" i="51" s="1"/>
  <c r="N23" i="51"/>
  <c r="L23" i="51"/>
  <c r="D23" i="51"/>
  <c r="B23" i="51"/>
  <c r="Z22" i="51"/>
  <c r="X22" i="51"/>
  <c r="P22" i="51"/>
  <c r="N22" i="51"/>
  <c r="D22" i="51"/>
  <c r="L22" i="51" s="1"/>
  <c r="B22" i="51"/>
  <c r="Z21" i="51"/>
  <c r="P21" i="51"/>
  <c r="X21" i="51" s="1"/>
  <c r="N21" i="51"/>
  <c r="D21" i="51"/>
  <c r="L21" i="51" s="1"/>
  <c r="B21" i="51"/>
  <c r="Z20" i="51"/>
  <c r="X20" i="51"/>
  <c r="P20" i="51"/>
  <c r="N20" i="51"/>
  <c r="D20" i="51"/>
  <c r="L20" i="51" s="1"/>
  <c r="B20" i="51"/>
  <c r="P19" i="51"/>
  <c r="X19" i="51" s="1"/>
  <c r="Z19" i="51" s="1"/>
  <c r="N19" i="51"/>
  <c r="L19" i="51"/>
  <c r="D19" i="51"/>
  <c r="B19" i="51"/>
  <c r="Z18" i="51"/>
  <c r="X18" i="51"/>
  <c r="P18" i="51"/>
  <c r="N18" i="51"/>
  <c r="D18" i="51"/>
  <c r="L18" i="51" s="1"/>
  <c r="B18" i="51"/>
  <c r="Z17" i="51"/>
  <c r="X17" i="51"/>
  <c r="P17" i="51"/>
  <c r="N17" i="51"/>
  <c r="L17" i="51"/>
  <c r="D17" i="51"/>
  <c r="B17" i="51"/>
  <c r="Z16" i="51"/>
  <c r="X16" i="51"/>
  <c r="P16" i="51"/>
  <c r="N16" i="51"/>
  <c r="D16" i="51"/>
  <c r="B16" i="51"/>
  <c r="Z15" i="51"/>
  <c r="P15" i="51"/>
  <c r="X15" i="51" s="1"/>
  <c r="N15" i="51"/>
  <c r="L15" i="51"/>
  <c r="D15" i="51"/>
  <c r="B15" i="51"/>
  <c r="Z14" i="51"/>
  <c r="X14" i="51"/>
  <c r="P14" i="51"/>
  <c r="N14" i="51"/>
  <c r="L14" i="51"/>
  <c r="D14" i="51"/>
  <c r="B14" i="51"/>
  <c r="P13" i="51"/>
  <c r="L13" i="51"/>
  <c r="N13" i="51" s="1"/>
  <c r="D13" i="51"/>
  <c r="B13" i="51"/>
  <c r="T12" i="51"/>
  <c r="V92" i="51" s="1"/>
  <c r="H12" i="51"/>
  <c r="J88" i="51" s="1"/>
  <c r="D4" i="51"/>
  <c r="Z72" i="48"/>
  <c r="X72" i="48"/>
  <c r="N72" i="48"/>
  <c r="L72" i="48"/>
  <c r="P68" i="48"/>
  <c r="X68" i="48" s="1"/>
  <c r="Z68" i="48" s="1"/>
  <c r="L68" i="48"/>
  <c r="N68" i="48" s="1"/>
  <c r="D68" i="48"/>
  <c r="B68" i="48"/>
  <c r="T67" i="48"/>
  <c r="P67" i="48"/>
  <c r="L67" i="48"/>
  <c r="N67" i="48" s="1"/>
  <c r="H67" i="48"/>
  <c r="D67" i="48"/>
  <c r="X65" i="48"/>
  <c r="Z65" i="48" s="1"/>
  <c r="R65" i="48"/>
  <c r="L65" i="48"/>
  <c r="N65" i="48" s="1"/>
  <c r="B65" i="48"/>
  <c r="T64" i="48"/>
  <c r="P64" i="48"/>
  <c r="X64" i="48" s="1"/>
  <c r="N64" i="48"/>
  <c r="H64" i="48"/>
  <c r="D64" i="48"/>
  <c r="L64" i="48" s="1"/>
  <c r="B64" i="48"/>
  <c r="Z63" i="48"/>
  <c r="X63" i="48"/>
  <c r="N63" i="48"/>
  <c r="L63" i="48"/>
  <c r="B63" i="48"/>
  <c r="X62" i="48"/>
  <c r="Z62" i="48" s="1"/>
  <c r="N62" i="48"/>
  <c r="L62" i="48"/>
  <c r="B62" i="48"/>
  <c r="T61" i="48"/>
  <c r="R61" i="48"/>
  <c r="P61" i="48"/>
  <c r="H61" i="48"/>
  <c r="N61" i="48" s="1"/>
  <c r="D61" i="48"/>
  <c r="L61" i="48" s="1"/>
  <c r="B61" i="48"/>
  <c r="Z60" i="48"/>
  <c r="X60" i="48"/>
  <c r="R60" i="48"/>
  <c r="N60" i="48"/>
  <c r="L60" i="48"/>
  <c r="B60" i="48"/>
  <c r="X59" i="48"/>
  <c r="Z59" i="48" s="1"/>
  <c r="L59" i="48"/>
  <c r="N59" i="48" s="1"/>
  <c r="B59" i="48"/>
  <c r="Z58" i="48"/>
  <c r="X58" i="48"/>
  <c r="N58" i="48"/>
  <c r="L58" i="48"/>
  <c r="B58" i="48"/>
  <c r="Z57" i="48"/>
  <c r="T57" i="48"/>
  <c r="P57" i="48"/>
  <c r="X57" i="48" s="1"/>
  <c r="L57" i="48"/>
  <c r="H57" i="48"/>
  <c r="D57" i="48"/>
  <c r="B57" i="48"/>
  <c r="Z56" i="48"/>
  <c r="X56" i="48"/>
  <c r="N56" i="48"/>
  <c r="L56" i="48"/>
  <c r="B56" i="48"/>
  <c r="X55" i="48"/>
  <c r="Z55" i="48" s="1"/>
  <c r="T55" i="48"/>
  <c r="P55" i="48"/>
  <c r="H55" i="48"/>
  <c r="D55" i="48"/>
  <c r="B55" i="48"/>
  <c r="Z54" i="48"/>
  <c r="X54" i="48"/>
  <c r="N54" i="48"/>
  <c r="L54" i="48"/>
  <c r="B54" i="48"/>
  <c r="T53" i="48"/>
  <c r="P53" i="48"/>
  <c r="H53" i="48"/>
  <c r="D53" i="48"/>
  <c r="L53" i="48" s="1"/>
  <c r="B53" i="48"/>
  <c r="Z52" i="48"/>
  <c r="X52" i="48"/>
  <c r="N52" i="48"/>
  <c r="L52" i="48"/>
  <c r="B52" i="48"/>
  <c r="T51" i="48"/>
  <c r="P51" i="48"/>
  <c r="X51" i="48" s="1"/>
  <c r="N51" i="48"/>
  <c r="H51" i="48"/>
  <c r="D51" i="48"/>
  <c r="L51" i="48" s="1"/>
  <c r="B51" i="48"/>
  <c r="Z50" i="48"/>
  <c r="X50" i="48"/>
  <c r="L50" i="48"/>
  <c r="N50" i="48" s="1"/>
  <c r="B50" i="48"/>
  <c r="Z49" i="48"/>
  <c r="X49" i="48"/>
  <c r="N49" i="48"/>
  <c r="L49" i="48"/>
  <c r="B49" i="48"/>
  <c r="T48" i="48"/>
  <c r="P48" i="48"/>
  <c r="X48" i="48" s="1"/>
  <c r="N48" i="48"/>
  <c r="H48" i="48"/>
  <c r="D48" i="48"/>
  <c r="L48" i="48" s="1"/>
  <c r="B48" i="48"/>
  <c r="X47" i="48"/>
  <c r="Z47" i="48" s="1"/>
  <c r="L47" i="48"/>
  <c r="N47" i="48" s="1"/>
  <c r="B47" i="48"/>
  <c r="X46" i="48"/>
  <c r="Z46" i="48" s="1"/>
  <c r="T46" i="48"/>
  <c r="P46" i="48"/>
  <c r="N46" i="48"/>
  <c r="H46" i="48"/>
  <c r="D46" i="48"/>
  <c r="L46" i="48" s="1"/>
  <c r="B46" i="48"/>
  <c r="Z45" i="48"/>
  <c r="X45" i="48"/>
  <c r="L45" i="48"/>
  <c r="N45" i="48" s="1"/>
  <c r="B45" i="48"/>
  <c r="T44" i="48"/>
  <c r="P44" i="48"/>
  <c r="N44" i="48"/>
  <c r="L44" i="48"/>
  <c r="H44" i="48"/>
  <c r="D44" i="48"/>
  <c r="B44" i="48"/>
  <c r="X43" i="48"/>
  <c r="Z43" i="48" s="1"/>
  <c r="L43" i="48"/>
  <c r="N43" i="48" s="1"/>
  <c r="B43" i="48"/>
  <c r="T42" i="48"/>
  <c r="P42" i="48"/>
  <c r="X42" i="48" s="1"/>
  <c r="Z42" i="48" s="1"/>
  <c r="H42" i="48"/>
  <c r="D42" i="48"/>
  <c r="L42" i="48" s="1"/>
  <c r="B42" i="48"/>
  <c r="Z41" i="48"/>
  <c r="X41" i="48"/>
  <c r="R41" i="48"/>
  <c r="N41" i="48"/>
  <c r="L41" i="48"/>
  <c r="B41" i="48"/>
  <c r="Z40" i="48"/>
  <c r="X40" i="48"/>
  <c r="N40" i="48"/>
  <c r="L40" i="48"/>
  <c r="B40" i="48"/>
  <c r="X39" i="48"/>
  <c r="Z39" i="48" s="1"/>
  <c r="R39" i="48"/>
  <c r="L39" i="48"/>
  <c r="N39" i="48" s="1"/>
  <c r="B39" i="48"/>
  <c r="X38" i="48"/>
  <c r="Z38" i="48" s="1"/>
  <c r="N38" i="48"/>
  <c r="L38" i="48"/>
  <c r="B38" i="48"/>
  <c r="Z37" i="48"/>
  <c r="X37" i="48"/>
  <c r="R37" i="48"/>
  <c r="N37" i="48"/>
  <c r="L37" i="48"/>
  <c r="B37" i="48"/>
  <c r="Z36" i="48"/>
  <c r="X36" i="48"/>
  <c r="N36" i="48"/>
  <c r="L36" i="48"/>
  <c r="B36" i="48"/>
  <c r="X35" i="48"/>
  <c r="Z35" i="48" s="1"/>
  <c r="R35" i="48"/>
  <c r="L35" i="48"/>
  <c r="N35" i="48" s="1"/>
  <c r="B35" i="48"/>
  <c r="Z34" i="48"/>
  <c r="X34" i="48"/>
  <c r="N34" i="48"/>
  <c r="L34" i="48"/>
  <c r="B34" i="48"/>
  <c r="X33" i="48"/>
  <c r="Z33" i="48" s="1"/>
  <c r="R33" i="48"/>
  <c r="N33" i="48"/>
  <c r="L33" i="48"/>
  <c r="B33" i="48"/>
  <c r="Z32" i="48"/>
  <c r="X32" i="48"/>
  <c r="N32" i="48"/>
  <c r="L32" i="48"/>
  <c r="B32" i="48"/>
  <c r="T31" i="48"/>
  <c r="P31" i="48"/>
  <c r="X31" i="48" s="1"/>
  <c r="H31" i="48"/>
  <c r="D31" i="48"/>
  <c r="B31" i="48"/>
  <c r="Z30" i="48"/>
  <c r="X30" i="48"/>
  <c r="N30" i="48"/>
  <c r="L30" i="48"/>
  <c r="B30" i="48"/>
  <c r="Z29" i="48"/>
  <c r="X29" i="48"/>
  <c r="L29" i="48"/>
  <c r="N29" i="48" s="1"/>
  <c r="B29" i="48"/>
  <c r="Z28" i="48"/>
  <c r="X28" i="48"/>
  <c r="N28" i="48"/>
  <c r="L28" i="48"/>
  <c r="B28" i="48"/>
  <c r="Z27" i="48"/>
  <c r="X27" i="48"/>
  <c r="N27" i="48"/>
  <c r="L27" i="48"/>
  <c r="B27" i="48"/>
  <c r="Z26" i="48"/>
  <c r="X26" i="48"/>
  <c r="N26" i="48"/>
  <c r="L26" i="48"/>
  <c r="B26" i="48"/>
  <c r="Z25" i="48"/>
  <c r="X25" i="48"/>
  <c r="L25" i="48"/>
  <c r="N25" i="48" s="1"/>
  <c r="B25" i="48"/>
  <c r="Z24" i="48"/>
  <c r="X24" i="48"/>
  <c r="N24" i="48"/>
  <c r="L24" i="48"/>
  <c r="B24" i="48"/>
  <c r="X23" i="48"/>
  <c r="Z23" i="48" s="1"/>
  <c r="L23" i="48"/>
  <c r="N23" i="48" s="1"/>
  <c r="B23" i="48"/>
  <c r="Z22" i="48"/>
  <c r="X22" i="48"/>
  <c r="N22" i="48"/>
  <c r="L22" i="48"/>
  <c r="B22" i="48"/>
  <c r="Z21" i="48"/>
  <c r="X21" i="48"/>
  <c r="L21" i="48"/>
  <c r="N21" i="48" s="1"/>
  <c r="B21" i="48"/>
  <c r="T20" i="48"/>
  <c r="P20" i="48"/>
  <c r="N20" i="48"/>
  <c r="L20" i="48"/>
  <c r="H20" i="48"/>
  <c r="D20" i="48"/>
  <c r="B20" i="48"/>
  <c r="V19" i="48"/>
  <c r="T19" i="48"/>
  <c r="P19" i="48"/>
  <c r="X19" i="48" s="1"/>
  <c r="H19" i="48"/>
  <c r="D19" i="48"/>
  <c r="X15" i="48"/>
  <c r="V15" i="48"/>
  <c r="T15" i="48"/>
  <c r="Z15" i="48" s="1"/>
  <c r="P15" i="48"/>
  <c r="L15" i="48"/>
  <c r="H15" i="48"/>
  <c r="N15" i="48" s="1"/>
  <c r="D15" i="48"/>
  <c r="P13" i="48"/>
  <c r="P12" i="48" s="1"/>
  <c r="R72" i="48" s="1"/>
  <c r="D13" i="48"/>
  <c r="L13" i="48" s="1"/>
  <c r="N13" i="48" s="1"/>
  <c r="B13" i="48"/>
  <c r="T12" i="48"/>
  <c r="V55" i="48" s="1"/>
  <c r="H12" i="48"/>
  <c r="D12" i="48"/>
  <c r="D4" i="48"/>
  <c r="X100" i="45"/>
  <c r="Z100" i="45" s="1"/>
  <c r="L100" i="45"/>
  <c r="N100" i="45" s="1"/>
  <c r="T96" i="45"/>
  <c r="Z96" i="45" s="1"/>
  <c r="P96" i="45"/>
  <c r="X96" i="45" s="1"/>
  <c r="H96" i="45"/>
  <c r="N96" i="45" s="1"/>
  <c r="D96" i="45"/>
  <c r="L96" i="45" s="1"/>
  <c r="Z94" i="45"/>
  <c r="X94" i="45"/>
  <c r="L94" i="45"/>
  <c r="N94" i="45" s="1"/>
  <c r="B94" i="45"/>
  <c r="T93" i="45"/>
  <c r="X93" i="45" s="1"/>
  <c r="P93" i="45"/>
  <c r="N93" i="45"/>
  <c r="L93" i="45"/>
  <c r="J93" i="45"/>
  <c r="H93" i="45"/>
  <c r="D93" i="45"/>
  <c r="B93" i="45"/>
  <c r="X92" i="45"/>
  <c r="Z92" i="45" s="1"/>
  <c r="L92" i="45"/>
  <c r="N92" i="45" s="1"/>
  <c r="B92" i="45"/>
  <c r="Z91" i="45"/>
  <c r="V91" i="45"/>
  <c r="T91" i="45"/>
  <c r="P91" i="45"/>
  <c r="X91" i="45" s="1"/>
  <c r="J91" i="45"/>
  <c r="H91" i="45"/>
  <c r="D91" i="45"/>
  <c r="L91" i="45" s="1"/>
  <c r="N91" i="45" s="1"/>
  <c r="B91" i="45"/>
  <c r="X90" i="45"/>
  <c r="Z90" i="45" s="1"/>
  <c r="N90" i="45"/>
  <c r="L90" i="45"/>
  <c r="B90" i="45"/>
  <c r="Z89" i="45"/>
  <c r="X89" i="45"/>
  <c r="V89" i="45"/>
  <c r="N89" i="45"/>
  <c r="L89" i="45"/>
  <c r="B89" i="45"/>
  <c r="T88" i="45"/>
  <c r="P88" i="45"/>
  <c r="X88" i="45" s="1"/>
  <c r="L88" i="45"/>
  <c r="H88" i="45"/>
  <c r="D88" i="45"/>
  <c r="B88" i="45"/>
  <c r="Z87" i="45"/>
  <c r="X87" i="45"/>
  <c r="V87" i="45"/>
  <c r="N87" i="45"/>
  <c r="L87" i="45"/>
  <c r="B87" i="45"/>
  <c r="Z86" i="45"/>
  <c r="X86" i="45"/>
  <c r="L86" i="45"/>
  <c r="N86" i="45" s="1"/>
  <c r="B86" i="45"/>
  <c r="Z85" i="45"/>
  <c r="X85" i="45"/>
  <c r="N85" i="45"/>
  <c r="L85" i="45"/>
  <c r="J85" i="45"/>
  <c r="B85" i="45"/>
  <c r="X84" i="45"/>
  <c r="Z84" i="45" s="1"/>
  <c r="L84" i="45"/>
  <c r="N84" i="45" s="1"/>
  <c r="B84" i="45"/>
  <c r="Z83" i="45"/>
  <c r="X83" i="45"/>
  <c r="N83" i="45"/>
  <c r="L83" i="45"/>
  <c r="J83" i="45"/>
  <c r="B83" i="45"/>
  <c r="Z82" i="45"/>
  <c r="X82" i="45"/>
  <c r="L82" i="45"/>
  <c r="N82" i="45" s="1"/>
  <c r="B82" i="45"/>
  <c r="Z81" i="45"/>
  <c r="X81" i="45"/>
  <c r="V81" i="45"/>
  <c r="N81" i="45"/>
  <c r="L81" i="45"/>
  <c r="J81" i="45"/>
  <c r="B81" i="45"/>
  <c r="X80" i="45"/>
  <c r="Z80" i="45" s="1"/>
  <c r="L80" i="45"/>
  <c r="N80" i="45" s="1"/>
  <c r="B80" i="45"/>
  <c r="Z79" i="45"/>
  <c r="X79" i="45"/>
  <c r="V79" i="45"/>
  <c r="N79" i="45"/>
  <c r="L79" i="45"/>
  <c r="J79" i="45"/>
  <c r="B79" i="45"/>
  <c r="Z78" i="45"/>
  <c r="X78" i="45"/>
  <c r="L78" i="45"/>
  <c r="N78" i="45" s="1"/>
  <c r="B78" i="45"/>
  <c r="V77" i="45"/>
  <c r="T77" i="45"/>
  <c r="P77" i="45"/>
  <c r="N77" i="45"/>
  <c r="L77" i="45"/>
  <c r="H77" i="45"/>
  <c r="D77" i="45"/>
  <c r="B77" i="45"/>
  <c r="X76" i="45"/>
  <c r="Z76" i="45" s="1"/>
  <c r="V76" i="45"/>
  <c r="L76" i="45"/>
  <c r="N76" i="45" s="1"/>
  <c r="B76" i="45"/>
  <c r="Z75" i="45"/>
  <c r="X75" i="45"/>
  <c r="V75" i="45"/>
  <c r="L75" i="45"/>
  <c r="N75" i="45" s="1"/>
  <c r="B75" i="45"/>
  <c r="X74" i="45"/>
  <c r="Z74" i="45" s="1"/>
  <c r="L74" i="45"/>
  <c r="N74" i="45" s="1"/>
  <c r="B74" i="45"/>
  <c r="Z73" i="45"/>
  <c r="X73" i="45"/>
  <c r="V73" i="45"/>
  <c r="N73" i="45"/>
  <c r="L73" i="45"/>
  <c r="B73" i="45"/>
  <c r="T72" i="45"/>
  <c r="P72" i="45"/>
  <c r="X72" i="45" s="1"/>
  <c r="L72" i="45"/>
  <c r="H72" i="45"/>
  <c r="D72" i="45"/>
  <c r="B72" i="45"/>
  <c r="Z71" i="45"/>
  <c r="X71" i="45"/>
  <c r="V71" i="45"/>
  <c r="N71" i="45"/>
  <c r="L71" i="45"/>
  <c r="B71" i="45"/>
  <c r="X70" i="45"/>
  <c r="Z70" i="45" s="1"/>
  <c r="R70" i="45"/>
  <c r="L70" i="45"/>
  <c r="N70" i="45" s="1"/>
  <c r="B70" i="45"/>
  <c r="Z69" i="45"/>
  <c r="X69" i="45"/>
  <c r="V69" i="45"/>
  <c r="N69" i="45"/>
  <c r="L69" i="45"/>
  <c r="J69" i="45"/>
  <c r="B69" i="45"/>
  <c r="T68" i="45"/>
  <c r="P68" i="45"/>
  <c r="X68" i="45" s="1"/>
  <c r="L68" i="45"/>
  <c r="H68" i="45"/>
  <c r="D68" i="45"/>
  <c r="B68" i="45"/>
  <c r="Z67" i="45"/>
  <c r="X67" i="45"/>
  <c r="V67" i="45"/>
  <c r="N67" i="45"/>
  <c r="L67" i="45"/>
  <c r="J67" i="45"/>
  <c r="B67" i="45"/>
  <c r="T66" i="45"/>
  <c r="P66" i="45"/>
  <c r="X66" i="45" s="1"/>
  <c r="Z66" i="45" s="1"/>
  <c r="H66" i="45"/>
  <c r="D66" i="45"/>
  <c r="L66" i="45" s="1"/>
  <c r="B66" i="45"/>
  <c r="Z65" i="45"/>
  <c r="X65" i="45"/>
  <c r="V65" i="45"/>
  <c r="N65" i="45"/>
  <c r="L65" i="45"/>
  <c r="B65" i="45"/>
  <c r="T64" i="45"/>
  <c r="P64" i="45"/>
  <c r="X64" i="45" s="1"/>
  <c r="L64" i="45"/>
  <c r="H64" i="45"/>
  <c r="D64" i="45"/>
  <c r="B64" i="45"/>
  <c r="X63" i="45"/>
  <c r="Z63" i="45" s="1"/>
  <c r="V63" i="45"/>
  <c r="L63" i="45"/>
  <c r="N63" i="45" s="1"/>
  <c r="J63" i="45"/>
  <c r="B63" i="45"/>
  <c r="V62" i="45"/>
  <c r="T62" i="45"/>
  <c r="P62" i="45"/>
  <c r="X62" i="45" s="1"/>
  <c r="L62" i="45"/>
  <c r="H62" i="45"/>
  <c r="D62" i="45"/>
  <c r="B62" i="45"/>
  <c r="X61" i="45"/>
  <c r="Z61" i="45" s="1"/>
  <c r="R61" i="45"/>
  <c r="N61" i="45"/>
  <c r="L61" i="45"/>
  <c r="B61" i="45"/>
  <c r="T60" i="45"/>
  <c r="P60" i="45"/>
  <c r="X60" i="45" s="1"/>
  <c r="H60" i="45"/>
  <c r="D60" i="45"/>
  <c r="B60" i="45"/>
  <c r="Z59" i="45"/>
  <c r="X59" i="45"/>
  <c r="V59" i="45"/>
  <c r="L59" i="45"/>
  <c r="N59" i="45" s="1"/>
  <c r="J59" i="45"/>
  <c r="B59" i="45"/>
  <c r="T58" i="45"/>
  <c r="X58" i="45" s="1"/>
  <c r="Z58" i="45" s="1"/>
  <c r="P58" i="45"/>
  <c r="H58" i="45"/>
  <c r="D58" i="45"/>
  <c r="L58" i="45" s="1"/>
  <c r="N58" i="45" s="1"/>
  <c r="B58" i="45"/>
  <c r="Z57" i="45"/>
  <c r="X57" i="45"/>
  <c r="V57" i="45"/>
  <c r="L57" i="45"/>
  <c r="N57" i="45" s="1"/>
  <c r="B57" i="45"/>
  <c r="T56" i="45"/>
  <c r="P56" i="45"/>
  <c r="X56" i="45" s="1"/>
  <c r="L56" i="45"/>
  <c r="H56" i="45"/>
  <c r="D56" i="45"/>
  <c r="B56" i="45"/>
  <c r="X55" i="45"/>
  <c r="Z55" i="45" s="1"/>
  <c r="V55" i="45"/>
  <c r="N55" i="45"/>
  <c r="L55" i="45"/>
  <c r="J55" i="45"/>
  <c r="B55" i="45"/>
  <c r="T54" i="45"/>
  <c r="X54" i="45" s="1"/>
  <c r="Z54" i="45" s="1"/>
  <c r="P54" i="45"/>
  <c r="H54" i="45"/>
  <c r="D54" i="45"/>
  <c r="L54" i="45" s="1"/>
  <c r="B54" i="45"/>
  <c r="Z53" i="45"/>
  <c r="X53" i="45"/>
  <c r="V53" i="45"/>
  <c r="N53" i="45"/>
  <c r="L53" i="45"/>
  <c r="B53" i="45"/>
  <c r="T52" i="45"/>
  <c r="P52" i="45"/>
  <c r="X52" i="45" s="1"/>
  <c r="L52" i="45"/>
  <c r="H52" i="45"/>
  <c r="D52" i="45"/>
  <c r="B52" i="45"/>
  <c r="X51" i="45"/>
  <c r="Z51" i="45" s="1"/>
  <c r="V51" i="45"/>
  <c r="L51" i="45"/>
  <c r="N51" i="45" s="1"/>
  <c r="J51" i="45"/>
  <c r="B51" i="45"/>
  <c r="V50" i="45"/>
  <c r="T50" i="45"/>
  <c r="P50" i="45"/>
  <c r="X50" i="45" s="1"/>
  <c r="L50" i="45"/>
  <c r="J50" i="45"/>
  <c r="H50" i="45"/>
  <c r="D50" i="45"/>
  <c r="B50" i="45"/>
  <c r="Z49" i="45"/>
  <c r="X49" i="45"/>
  <c r="N49" i="45"/>
  <c r="L49" i="45"/>
  <c r="B49" i="45"/>
  <c r="T48" i="45"/>
  <c r="R48" i="45"/>
  <c r="P48" i="45"/>
  <c r="X48" i="45" s="1"/>
  <c r="L48" i="45"/>
  <c r="H48" i="45"/>
  <c r="N48" i="45" s="1"/>
  <c r="D48" i="45"/>
  <c r="B48" i="45"/>
  <c r="Z47" i="45"/>
  <c r="X47" i="45"/>
  <c r="V47" i="45"/>
  <c r="N47" i="45"/>
  <c r="L47" i="45"/>
  <c r="B47" i="45"/>
  <c r="Z46" i="45"/>
  <c r="X46" i="45"/>
  <c r="N46" i="45"/>
  <c r="L46" i="45"/>
  <c r="B46" i="45"/>
  <c r="Z45" i="45"/>
  <c r="X45" i="45"/>
  <c r="V45" i="45"/>
  <c r="N45" i="45"/>
  <c r="L45" i="45"/>
  <c r="B45" i="45"/>
  <c r="X44" i="45"/>
  <c r="Z44" i="45" s="1"/>
  <c r="V44" i="45"/>
  <c r="N44" i="45"/>
  <c r="L44" i="45"/>
  <c r="J44" i="45"/>
  <c r="B44" i="45"/>
  <c r="Z43" i="45"/>
  <c r="X43" i="45"/>
  <c r="V43" i="45"/>
  <c r="N43" i="45"/>
  <c r="L43" i="45"/>
  <c r="J43" i="45"/>
  <c r="B43" i="45"/>
  <c r="X42" i="45"/>
  <c r="Z42" i="45" s="1"/>
  <c r="N42" i="45"/>
  <c r="L42" i="45"/>
  <c r="B42" i="45"/>
  <c r="Z41" i="45"/>
  <c r="X41" i="45"/>
  <c r="V41" i="45"/>
  <c r="N41" i="45"/>
  <c r="L41" i="45"/>
  <c r="B41" i="45"/>
  <c r="Z40" i="45"/>
  <c r="X40" i="45"/>
  <c r="V40" i="45"/>
  <c r="N40" i="45"/>
  <c r="L40" i="45"/>
  <c r="J40" i="45"/>
  <c r="B40" i="45"/>
  <c r="X39" i="45"/>
  <c r="Z39" i="45" s="1"/>
  <c r="V39" i="45"/>
  <c r="L39" i="45"/>
  <c r="N39" i="45" s="1"/>
  <c r="J39" i="45"/>
  <c r="B39" i="45"/>
  <c r="Z38" i="45"/>
  <c r="X38" i="45"/>
  <c r="N38" i="45"/>
  <c r="L38" i="45"/>
  <c r="B38" i="45"/>
  <c r="Z37" i="45"/>
  <c r="V37" i="45"/>
  <c r="T37" i="45"/>
  <c r="P37" i="45"/>
  <c r="X37" i="45" s="1"/>
  <c r="J37" i="45"/>
  <c r="H37" i="45"/>
  <c r="D37" i="45"/>
  <c r="L37" i="45" s="1"/>
  <c r="N37" i="45" s="1"/>
  <c r="B37" i="45"/>
  <c r="X36" i="45"/>
  <c r="Z36" i="45" s="1"/>
  <c r="V36" i="45"/>
  <c r="L36" i="45"/>
  <c r="N36" i="45" s="1"/>
  <c r="J36" i="45"/>
  <c r="B36" i="45"/>
  <c r="X35" i="45"/>
  <c r="Z35" i="45" s="1"/>
  <c r="V35" i="45"/>
  <c r="N35" i="45"/>
  <c r="L35" i="45"/>
  <c r="J35" i="45"/>
  <c r="B35" i="45"/>
  <c r="Z34" i="45"/>
  <c r="X34" i="45"/>
  <c r="V34" i="45"/>
  <c r="L34" i="45"/>
  <c r="N34" i="45" s="1"/>
  <c r="B34" i="45"/>
  <c r="Z33" i="45"/>
  <c r="X33" i="45"/>
  <c r="V33" i="45"/>
  <c r="N33" i="45"/>
  <c r="L33" i="45"/>
  <c r="J33" i="45"/>
  <c r="B33" i="45"/>
  <c r="Z32" i="45"/>
  <c r="X32" i="45"/>
  <c r="V32" i="45"/>
  <c r="N32" i="45"/>
  <c r="L32" i="45"/>
  <c r="J32" i="45"/>
  <c r="B32" i="45"/>
  <c r="X31" i="45"/>
  <c r="Z31" i="45" s="1"/>
  <c r="V31" i="45"/>
  <c r="N31" i="45"/>
  <c r="L31" i="45"/>
  <c r="J31" i="45"/>
  <c r="B31" i="45"/>
  <c r="Z30" i="45"/>
  <c r="X30" i="45"/>
  <c r="V30" i="45"/>
  <c r="L30" i="45"/>
  <c r="N30" i="45" s="1"/>
  <c r="B30" i="45"/>
  <c r="Z29" i="45"/>
  <c r="X29" i="45"/>
  <c r="V29" i="45"/>
  <c r="N29" i="45"/>
  <c r="L29" i="45"/>
  <c r="J29" i="45"/>
  <c r="B29" i="45"/>
  <c r="X28" i="45"/>
  <c r="Z28" i="45" s="1"/>
  <c r="V28" i="45"/>
  <c r="L28" i="45"/>
  <c r="N28" i="45" s="1"/>
  <c r="J28" i="45"/>
  <c r="B28" i="45"/>
  <c r="X27" i="45"/>
  <c r="Z27" i="45" s="1"/>
  <c r="V27" i="45"/>
  <c r="N27" i="45"/>
  <c r="L27" i="45"/>
  <c r="J27" i="45"/>
  <c r="B27" i="45"/>
  <c r="T26" i="45"/>
  <c r="P26" i="45"/>
  <c r="X26" i="45" s="1"/>
  <c r="L26" i="45"/>
  <c r="H26" i="45"/>
  <c r="J26" i="45" s="1"/>
  <c r="D26" i="45"/>
  <c r="B26" i="45"/>
  <c r="T25" i="45"/>
  <c r="P25" i="45"/>
  <c r="J25" i="45"/>
  <c r="H25" i="45"/>
  <c r="D25" i="45"/>
  <c r="L25" i="45" s="1"/>
  <c r="Z21" i="45"/>
  <c r="X21" i="45"/>
  <c r="V21" i="45"/>
  <c r="N21" i="45"/>
  <c r="L21" i="45"/>
  <c r="J21" i="45"/>
  <c r="B21" i="45"/>
  <c r="Z20" i="45"/>
  <c r="X20" i="45"/>
  <c r="V20" i="45"/>
  <c r="N20" i="45"/>
  <c r="L20" i="45"/>
  <c r="J20" i="45"/>
  <c r="B20" i="45"/>
  <c r="Z19" i="45"/>
  <c r="X19" i="45"/>
  <c r="V19" i="45"/>
  <c r="L19" i="45"/>
  <c r="N19" i="45" s="1"/>
  <c r="J19" i="45"/>
  <c r="B19" i="45"/>
  <c r="T18" i="45"/>
  <c r="T23" i="45" s="1"/>
  <c r="P18" i="45"/>
  <c r="J18" i="45"/>
  <c r="H18" i="45"/>
  <c r="D18" i="45"/>
  <c r="L18" i="45" s="1"/>
  <c r="Z16" i="45"/>
  <c r="X16" i="45"/>
  <c r="P16" i="45"/>
  <c r="N16" i="45"/>
  <c r="D16" i="45"/>
  <c r="L16" i="45" s="1"/>
  <c r="B16" i="45"/>
  <c r="Z15" i="45"/>
  <c r="X15" i="45"/>
  <c r="P15" i="45"/>
  <c r="N15" i="45"/>
  <c r="D15" i="45"/>
  <c r="B15" i="45"/>
  <c r="X14" i="45"/>
  <c r="Z14" i="45" s="1"/>
  <c r="P14" i="45"/>
  <c r="D14" i="45"/>
  <c r="L14" i="45" s="1"/>
  <c r="N14" i="45" s="1"/>
  <c r="B14" i="45"/>
  <c r="Z13" i="45"/>
  <c r="P13" i="45"/>
  <c r="P12" i="45" s="1"/>
  <c r="R81" i="45" s="1"/>
  <c r="N13" i="45"/>
  <c r="L13" i="45"/>
  <c r="D13" i="45"/>
  <c r="B13" i="45"/>
  <c r="T12" i="45"/>
  <c r="V85" i="45" s="1"/>
  <c r="H12" i="45"/>
  <c r="J87" i="45" s="1"/>
  <c r="D4" i="45"/>
  <c r="Z119" i="42"/>
  <c r="X119" i="42"/>
  <c r="L119" i="42"/>
  <c r="N119" i="42" s="1"/>
  <c r="Z115" i="42"/>
  <c r="X115" i="42"/>
  <c r="V115" i="42"/>
  <c r="P115" i="42"/>
  <c r="N115" i="42"/>
  <c r="D115" i="42"/>
  <c r="L115" i="42" s="1"/>
  <c r="B115" i="42"/>
  <c r="Z114" i="42"/>
  <c r="X114" i="42"/>
  <c r="V114" i="42"/>
  <c r="P114" i="42"/>
  <c r="N114" i="42"/>
  <c r="L114" i="42"/>
  <c r="D114" i="42"/>
  <c r="B114" i="42"/>
  <c r="P113" i="42"/>
  <c r="L113" i="42"/>
  <c r="N113" i="42" s="1"/>
  <c r="D113" i="42"/>
  <c r="B113" i="42"/>
  <c r="P112" i="42"/>
  <c r="X112" i="42" s="1"/>
  <c r="Z112" i="42" s="1"/>
  <c r="J112" i="42"/>
  <c r="D112" i="42"/>
  <c r="B112" i="42"/>
  <c r="T111" i="42"/>
  <c r="J111" i="42"/>
  <c r="H111" i="42"/>
  <c r="X109" i="42"/>
  <c r="Z109" i="42" s="1"/>
  <c r="L109" i="42"/>
  <c r="N109" i="42" s="1"/>
  <c r="B109" i="42"/>
  <c r="T108" i="42"/>
  <c r="P108" i="42"/>
  <c r="X108" i="42" s="1"/>
  <c r="Z108" i="42" s="1"/>
  <c r="H108" i="42"/>
  <c r="D108" i="42"/>
  <c r="B108" i="42"/>
  <c r="Z107" i="42"/>
  <c r="X107" i="42"/>
  <c r="N107" i="42"/>
  <c r="L107" i="42"/>
  <c r="B107" i="42"/>
  <c r="Z106" i="42"/>
  <c r="X106" i="42"/>
  <c r="N106" i="42"/>
  <c r="L106" i="42"/>
  <c r="J106" i="42"/>
  <c r="B106" i="42"/>
  <c r="Z105" i="42"/>
  <c r="X105" i="42"/>
  <c r="V105" i="42"/>
  <c r="T105" i="42"/>
  <c r="P105" i="42"/>
  <c r="H105" i="42"/>
  <c r="N105" i="42" s="1"/>
  <c r="D105" i="42"/>
  <c r="L105" i="42" s="1"/>
  <c r="B105" i="42"/>
  <c r="Z104" i="42"/>
  <c r="X104" i="42"/>
  <c r="N104" i="42"/>
  <c r="L104" i="42"/>
  <c r="B104" i="42"/>
  <c r="T103" i="42"/>
  <c r="P103" i="42"/>
  <c r="N103" i="42"/>
  <c r="H103" i="42"/>
  <c r="D103" i="42"/>
  <c r="L103" i="42" s="1"/>
  <c r="B103" i="42"/>
  <c r="X102" i="42"/>
  <c r="Z102" i="42" s="1"/>
  <c r="V102" i="42"/>
  <c r="L102" i="42"/>
  <c r="N102" i="42" s="1"/>
  <c r="B102" i="42"/>
  <c r="X101" i="42"/>
  <c r="Z101" i="42" s="1"/>
  <c r="V101" i="42"/>
  <c r="L101" i="42"/>
  <c r="N101" i="42" s="1"/>
  <c r="B101" i="42"/>
  <c r="T100" i="42"/>
  <c r="P100" i="42"/>
  <c r="X100" i="42" s="1"/>
  <c r="Z100" i="42" s="1"/>
  <c r="H100" i="42"/>
  <c r="D100" i="42"/>
  <c r="L100" i="42" s="1"/>
  <c r="B100" i="42"/>
  <c r="Z99" i="42"/>
  <c r="X99" i="42"/>
  <c r="N99" i="42"/>
  <c r="L99" i="42"/>
  <c r="B99" i="42"/>
  <c r="X98" i="42"/>
  <c r="Z98" i="42" s="1"/>
  <c r="V98" i="42"/>
  <c r="N98" i="42"/>
  <c r="L98" i="42"/>
  <c r="B98" i="42"/>
  <c r="Z97" i="42"/>
  <c r="X97" i="42"/>
  <c r="V97" i="42"/>
  <c r="N97" i="42"/>
  <c r="L97" i="42"/>
  <c r="B97" i="42"/>
  <c r="Z96" i="42"/>
  <c r="X96" i="42"/>
  <c r="N96" i="42"/>
  <c r="L96" i="42"/>
  <c r="B96" i="42"/>
  <c r="Z95" i="42"/>
  <c r="X95" i="42"/>
  <c r="N95" i="42"/>
  <c r="L95" i="42"/>
  <c r="B95" i="42"/>
  <c r="X94" i="42"/>
  <c r="Z94" i="42" s="1"/>
  <c r="V94" i="42"/>
  <c r="L94" i="42"/>
  <c r="N94" i="42" s="1"/>
  <c r="J94" i="42"/>
  <c r="B94" i="42"/>
  <c r="X93" i="42"/>
  <c r="Z93" i="42" s="1"/>
  <c r="V93" i="42"/>
  <c r="N93" i="42"/>
  <c r="L93" i="42"/>
  <c r="B93" i="42"/>
  <c r="X92" i="42"/>
  <c r="Z92" i="42" s="1"/>
  <c r="L92" i="42"/>
  <c r="N92" i="42" s="1"/>
  <c r="B92" i="42"/>
  <c r="Z91" i="42"/>
  <c r="X91" i="42"/>
  <c r="V91" i="42"/>
  <c r="N91" i="42"/>
  <c r="L91" i="42"/>
  <c r="B91" i="42"/>
  <c r="Z90" i="42"/>
  <c r="X90" i="42"/>
  <c r="V90" i="42"/>
  <c r="N90" i="42"/>
  <c r="L90" i="42"/>
  <c r="B90" i="42"/>
  <c r="Z89" i="42"/>
  <c r="X89" i="42"/>
  <c r="V89" i="42"/>
  <c r="N89" i="42"/>
  <c r="L89" i="42"/>
  <c r="B89" i="42"/>
  <c r="Z88" i="42"/>
  <c r="X88" i="42"/>
  <c r="T88" i="42"/>
  <c r="P88" i="42"/>
  <c r="L88" i="42"/>
  <c r="J88" i="42"/>
  <c r="H88" i="42"/>
  <c r="N88" i="42" s="1"/>
  <c r="D88" i="42"/>
  <c r="B88" i="42"/>
  <c r="Z87" i="42"/>
  <c r="X87" i="42"/>
  <c r="V87" i="42"/>
  <c r="N87" i="42"/>
  <c r="L87" i="42"/>
  <c r="B87" i="42"/>
  <c r="V86" i="42"/>
  <c r="T86" i="42"/>
  <c r="P86" i="42"/>
  <c r="X86" i="42" s="1"/>
  <c r="H86" i="42"/>
  <c r="D86" i="42"/>
  <c r="B86" i="42"/>
  <c r="Z85" i="42"/>
  <c r="X85" i="42"/>
  <c r="V85" i="42"/>
  <c r="N85" i="42"/>
  <c r="L85" i="42"/>
  <c r="B85" i="42"/>
  <c r="X84" i="42"/>
  <c r="Z84" i="42" s="1"/>
  <c r="N84" i="42"/>
  <c r="L84" i="42"/>
  <c r="B84" i="42"/>
  <c r="Z83" i="42"/>
  <c r="X83" i="42"/>
  <c r="V83" i="42"/>
  <c r="N83" i="42"/>
  <c r="L83" i="42"/>
  <c r="B83" i="42"/>
  <c r="X82" i="42"/>
  <c r="Z82" i="42" s="1"/>
  <c r="V82" i="42"/>
  <c r="L82" i="42"/>
  <c r="N82" i="42" s="1"/>
  <c r="J82" i="42"/>
  <c r="B82" i="42"/>
  <c r="X81" i="42"/>
  <c r="Z81" i="42" s="1"/>
  <c r="V81" i="42"/>
  <c r="L81" i="42"/>
  <c r="N81" i="42" s="1"/>
  <c r="J81" i="42"/>
  <c r="B81" i="42"/>
  <c r="T80" i="42"/>
  <c r="P80" i="42"/>
  <c r="X80" i="42" s="1"/>
  <c r="Z80" i="42" s="1"/>
  <c r="L80" i="42"/>
  <c r="H80" i="42"/>
  <c r="D80" i="42"/>
  <c r="B80" i="42"/>
  <c r="Z79" i="42"/>
  <c r="X79" i="42"/>
  <c r="V79" i="42"/>
  <c r="N79" i="42"/>
  <c r="L79" i="42"/>
  <c r="J79" i="42"/>
  <c r="B79" i="42"/>
  <c r="Z78" i="42"/>
  <c r="X78" i="42"/>
  <c r="V78" i="42"/>
  <c r="N78" i="42"/>
  <c r="L78" i="42"/>
  <c r="B78" i="42"/>
  <c r="Z77" i="42"/>
  <c r="X77" i="42"/>
  <c r="V77" i="42"/>
  <c r="T77" i="42"/>
  <c r="P77" i="42"/>
  <c r="N77" i="42"/>
  <c r="J77" i="42"/>
  <c r="H77" i="42"/>
  <c r="D77" i="42"/>
  <c r="L77" i="42" s="1"/>
  <c r="B77" i="42"/>
  <c r="X76" i="42"/>
  <c r="Z76" i="42" s="1"/>
  <c r="L76" i="42"/>
  <c r="N76" i="42" s="1"/>
  <c r="B76" i="42"/>
  <c r="Z75" i="42"/>
  <c r="X75" i="42"/>
  <c r="V75" i="42"/>
  <c r="N75" i="42"/>
  <c r="L75" i="42"/>
  <c r="J75" i="42"/>
  <c r="B75" i="42"/>
  <c r="Z74" i="42"/>
  <c r="X74" i="42"/>
  <c r="V74" i="42"/>
  <c r="N74" i="42"/>
  <c r="L74" i="42"/>
  <c r="B74" i="42"/>
  <c r="Z73" i="42"/>
  <c r="X73" i="42"/>
  <c r="V73" i="42"/>
  <c r="N73" i="42"/>
  <c r="L73" i="42"/>
  <c r="J73" i="42"/>
  <c r="B73" i="42"/>
  <c r="T72" i="42"/>
  <c r="Z72" i="42" s="1"/>
  <c r="P72" i="42"/>
  <c r="X72" i="42" s="1"/>
  <c r="L72" i="42"/>
  <c r="H72" i="42"/>
  <c r="D72" i="42"/>
  <c r="B72" i="42"/>
  <c r="Z71" i="42"/>
  <c r="X71" i="42"/>
  <c r="V71" i="42"/>
  <c r="N71" i="42"/>
  <c r="L71" i="42"/>
  <c r="J71" i="42"/>
  <c r="B71" i="42"/>
  <c r="T70" i="42"/>
  <c r="P70" i="42"/>
  <c r="X70" i="42" s="1"/>
  <c r="H70" i="42"/>
  <c r="D70" i="42"/>
  <c r="L70" i="42" s="1"/>
  <c r="N70" i="42" s="1"/>
  <c r="B70" i="42"/>
  <c r="Z69" i="42"/>
  <c r="X69" i="42"/>
  <c r="V69" i="42"/>
  <c r="L69" i="42"/>
  <c r="N69" i="42" s="1"/>
  <c r="J69" i="42"/>
  <c r="B69" i="42"/>
  <c r="T68" i="42"/>
  <c r="V68" i="42" s="1"/>
  <c r="P68" i="42"/>
  <c r="X68" i="42" s="1"/>
  <c r="L68" i="42"/>
  <c r="H68" i="42"/>
  <c r="D68" i="42"/>
  <c r="B68" i="42"/>
  <c r="Z67" i="42"/>
  <c r="X67" i="42"/>
  <c r="V67" i="42"/>
  <c r="N67" i="42"/>
  <c r="L67" i="42"/>
  <c r="J67" i="42"/>
  <c r="B67" i="42"/>
  <c r="T66" i="42"/>
  <c r="P66" i="42"/>
  <c r="X66" i="42" s="1"/>
  <c r="H66" i="42"/>
  <c r="D66" i="42"/>
  <c r="L66" i="42" s="1"/>
  <c r="N66" i="42" s="1"/>
  <c r="B66" i="42"/>
  <c r="Z65" i="42"/>
  <c r="X65" i="42"/>
  <c r="V65" i="42"/>
  <c r="N65" i="42"/>
  <c r="L65" i="42"/>
  <c r="J65" i="42"/>
  <c r="B65" i="42"/>
  <c r="T64" i="42"/>
  <c r="P64" i="42"/>
  <c r="X64" i="42" s="1"/>
  <c r="L64" i="42"/>
  <c r="H64" i="42"/>
  <c r="N64" i="42" s="1"/>
  <c r="D64" i="42"/>
  <c r="B64" i="42"/>
  <c r="Z63" i="42"/>
  <c r="X63" i="42"/>
  <c r="V63" i="42"/>
  <c r="N63" i="42"/>
  <c r="L63" i="42"/>
  <c r="J63" i="42"/>
  <c r="B63" i="42"/>
  <c r="T62" i="42"/>
  <c r="Z62" i="42" s="1"/>
  <c r="P62" i="42"/>
  <c r="X62" i="42" s="1"/>
  <c r="N62" i="42"/>
  <c r="H62" i="42"/>
  <c r="D62" i="42"/>
  <c r="L62" i="42" s="1"/>
  <c r="B62" i="42"/>
  <c r="Z61" i="42"/>
  <c r="X61" i="42"/>
  <c r="V61" i="42"/>
  <c r="L61" i="42"/>
  <c r="N61" i="42" s="1"/>
  <c r="J61" i="42"/>
  <c r="B61" i="42"/>
  <c r="T60" i="42"/>
  <c r="P60" i="42"/>
  <c r="X60" i="42" s="1"/>
  <c r="L60" i="42"/>
  <c r="H60" i="42"/>
  <c r="D60" i="42"/>
  <c r="B60" i="42"/>
  <c r="Z59" i="42"/>
  <c r="X59" i="42"/>
  <c r="V59" i="42"/>
  <c r="N59" i="42"/>
  <c r="L59" i="42"/>
  <c r="J59" i="42"/>
  <c r="B59" i="42"/>
  <c r="T58" i="42"/>
  <c r="Z58" i="42" s="1"/>
  <c r="P58" i="42"/>
  <c r="X58" i="42" s="1"/>
  <c r="N58" i="42"/>
  <c r="H58" i="42"/>
  <c r="D58" i="42"/>
  <c r="L58" i="42" s="1"/>
  <c r="B58" i="42"/>
  <c r="Z57" i="42"/>
  <c r="X57" i="42"/>
  <c r="V57" i="42"/>
  <c r="L57" i="42"/>
  <c r="N57" i="42" s="1"/>
  <c r="J57" i="42"/>
  <c r="B57" i="42"/>
  <c r="X56" i="42"/>
  <c r="Z56" i="42" s="1"/>
  <c r="V56" i="42"/>
  <c r="N56" i="42"/>
  <c r="L56" i="42"/>
  <c r="B56" i="42"/>
  <c r="Z55" i="42"/>
  <c r="X55" i="42"/>
  <c r="V55" i="42"/>
  <c r="N55" i="42"/>
  <c r="L55" i="42"/>
  <c r="B55" i="42"/>
  <c r="X54" i="42"/>
  <c r="T54" i="42"/>
  <c r="P54" i="42"/>
  <c r="L54" i="42"/>
  <c r="N54" i="42" s="1"/>
  <c r="J54" i="42"/>
  <c r="H54" i="42"/>
  <c r="D54" i="42"/>
  <c r="B54" i="42"/>
  <c r="X53" i="42"/>
  <c r="Z53" i="42" s="1"/>
  <c r="V53" i="42"/>
  <c r="L53" i="42"/>
  <c r="N53" i="42" s="1"/>
  <c r="J53" i="42"/>
  <c r="B53" i="42"/>
  <c r="T52" i="42"/>
  <c r="Z52" i="42" s="1"/>
  <c r="P52" i="42"/>
  <c r="X52" i="42" s="1"/>
  <c r="L52" i="42"/>
  <c r="H52" i="42"/>
  <c r="D52" i="42"/>
  <c r="B52" i="42"/>
  <c r="Z51" i="42"/>
  <c r="X51" i="42"/>
  <c r="V51" i="42"/>
  <c r="N51" i="42"/>
  <c r="L51" i="42"/>
  <c r="J51" i="42"/>
  <c r="B51" i="42"/>
  <c r="V50" i="42"/>
  <c r="T50" i="42"/>
  <c r="P50" i="42"/>
  <c r="H50" i="42"/>
  <c r="D50" i="42"/>
  <c r="L50" i="42" s="1"/>
  <c r="B50" i="42"/>
  <c r="X49" i="42"/>
  <c r="Z49" i="42" s="1"/>
  <c r="V49" i="42"/>
  <c r="N49" i="42"/>
  <c r="L49" i="42"/>
  <c r="B49" i="42"/>
  <c r="T48" i="42"/>
  <c r="P48" i="42"/>
  <c r="H48" i="42"/>
  <c r="D48" i="42"/>
  <c r="L48" i="42" s="1"/>
  <c r="B48" i="42"/>
  <c r="Z47" i="42"/>
  <c r="X47" i="42"/>
  <c r="V47" i="42"/>
  <c r="N47" i="42"/>
  <c r="L47" i="42"/>
  <c r="B47" i="42"/>
  <c r="Z46" i="42"/>
  <c r="X46" i="42"/>
  <c r="V46" i="42"/>
  <c r="N46" i="42"/>
  <c r="L46" i="42"/>
  <c r="J46" i="42"/>
  <c r="B46" i="42"/>
  <c r="X45" i="42"/>
  <c r="Z45" i="42" s="1"/>
  <c r="V45" i="42"/>
  <c r="N45" i="42"/>
  <c r="L45" i="42"/>
  <c r="B45" i="42"/>
  <c r="Z44" i="42"/>
  <c r="X44" i="42"/>
  <c r="N44" i="42"/>
  <c r="L44" i="42"/>
  <c r="B44" i="42"/>
  <c r="Z43" i="42"/>
  <c r="X43" i="42"/>
  <c r="V43" i="42"/>
  <c r="N43" i="42"/>
  <c r="L43" i="42"/>
  <c r="J43" i="42"/>
  <c r="B43" i="42"/>
  <c r="X42" i="42"/>
  <c r="Z42" i="42" s="1"/>
  <c r="V42" i="42"/>
  <c r="N42" i="42"/>
  <c r="L42" i="42"/>
  <c r="B42" i="42"/>
  <c r="Z41" i="42"/>
  <c r="X41" i="42"/>
  <c r="V41" i="42"/>
  <c r="L41" i="42"/>
  <c r="N41" i="42" s="1"/>
  <c r="J41" i="42"/>
  <c r="B41" i="42"/>
  <c r="Z40" i="42"/>
  <c r="X40" i="42"/>
  <c r="N40" i="42"/>
  <c r="L40" i="42"/>
  <c r="B40" i="42"/>
  <c r="X39" i="42"/>
  <c r="Z39" i="42" s="1"/>
  <c r="V39" i="42"/>
  <c r="N39" i="42"/>
  <c r="L39" i="42"/>
  <c r="B39" i="42"/>
  <c r="X38" i="42"/>
  <c r="Z38" i="42" s="1"/>
  <c r="V38" i="42"/>
  <c r="L38" i="42"/>
  <c r="N38" i="42" s="1"/>
  <c r="J38" i="42"/>
  <c r="B38" i="42"/>
  <c r="V37" i="42"/>
  <c r="T37" i="42"/>
  <c r="P37" i="42"/>
  <c r="X37" i="42" s="1"/>
  <c r="Z37" i="42" s="1"/>
  <c r="H37" i="42"/>
  <c r="L37" i="42" s="1"/>
  <c r="N37" i="42" s="1"/>
  <c r="D37" i="42"/>
  <c r="B37" i="42"/>
  <c r="X36" i="42"/>
  <c r="Z36" i="42" s="1"/>
  <c r="N36" i="42"/>
  <c r="L36" i="42"/>
  <c r="J36" i="42"/>
  <c r="B36" i="42"/>
  <c r="Z35" i="42"/>
  <c r="X35" i="42"/>
  <c r="V35" i="42"/>
  <c r="N35" i="42"/>
  <c r="L35" i="42"/>
  <c r="J35" i="42"/>
  <c r="B35" i="42"/>
  <c r="Z34" i="42"/>
  <c r="X34" i="42"/>
  <c r="V34" i="42"/>
  <c r="L34" i="42"/>
  <c r="N34" i="42" s="1"/>
  <c r="J34" i="42"/>
  <c r="B34" i="42"/>
  <c r="Z33" i="42"/>
  <c r="X33" i="42"/>
  <c r="V33" i="42"/>
  <c r="N33" i="42"/>
  <c r="L33" i="42"/>
  <c r="J33" i="42"/>
  <c r="B33" i="42"/>
  <c r="X32" i="42"/>
  <c r="Z32" i="42" s="1"/>
  <c r="L32" i="42"/>
  <c r="N32" i="42" s="1"/>
  <c r="J32" i="42"/>
  <c r="B32" i="42"/>
  <c r="Z31" i="42"/>
  <c r="X31" i="42"/>
  <c r="V31" i="42"/>
  <c r="N31" i="42"/>
  <c r="L31" i="42"/>
  <c r="J31" i="42"/>
  <c r="B31" i="42"/>
  <c r="X30" i="42"/>
  <c r="Z30" i="42" s="1"/>
  <c r="V30" i="42"/>
  <c r="L30" i="42"/>
  <c r="N30" i="42" s="1"/>
  <c r="J30" i="42"/>
  <c r="B30" i="42"/>
  <c r="Z29" i="42"/>
  <c r="X29" i="42"/>
  <c r="V29" i="42"/>
  <c r="L29" i="42"/>
  <c r="N29" i="42" s="1"/>
  <c r="J29" i="42"/>
  <c r="B29" i="42"/>
  <c r="X28" i="42"/>
  <c r="Z28" i="42" s="1"/>
  <c r="L28" i="42"/>
  <c r="N28" i="42" s="1"/>
  <c r="J28" i="42"/>
  <c r="B28" i="42"/>
  <c r="V27" i="42"/>
  <c r="T27" i="42"/>
  <c r="P27" i="42"/>
  <c r="H27" i="42"/>
  <c r="D27" i="42"/>
  <c r="B27" i="42"/>
  <c r="T26" i="42"/>
  <c r="P26" i="42"/>
  <c r="H26" i="42"/>
  <c r="D26" i="42"/>
  <c r="L26" i="42" s="1"/>
  <c r="T24" i="42"/>
  <c r="H24" i="42"/>
  <c r="Z22" i="42"/>
  <c r="X22" i="42"/>
  <c r="V22" i="42"/>
  <c r="N22" i="42"/>
  <c r="L22" i="42"/>
  <c r="J22" i="42"/>
  <c r="B22" i="42"/>
  <c r="Z21" i="42"/>
  <c r="X21" i="42"/>
  <c r="V21" i="42"/>
  <c r="N21" i="42"/>
  <c r="L21" i="42"/>
  <c r="B21" i="42"/>
  <c r="X20" i="42"/>
  <c r="Z20" i="42" s="1"/>
  <c r="V20" i="42"/>
  <c r="L20" i="42"/>
  <c r="N20" i="42" s="1"/>
  <c r="B20" i="42"/>
  <c r="Z19" i="42"/>
  <c r="V19" i="42"/>
  <c r="T19" i="42"/>
  <c r="P19" i="42"/>
  <c r="X19" i="42" s="1"/>
  <c r="L19" i="42"/>
  <c r="N19" i="42" s="1"/>
  <c r="J19" i="42"/>
  <c r="H19" i="42"/>
  <c r="D19" i="42"/>
  <c r="Z17" i="42"/>
  <c r="P17" i="42"/>
  <c r="X17" i="42" s="1"/>
  <c r="N17" i="42"/>
  <c r="D17" i="42"/>
  <c r="L17" i="42" s="1"/>
  <c r="B17" i="42"/>
  <c r="Z16" i="42"/>
  <c r="X16" i="42"/>
  <c r="P16" i="42"/>
  <c r="D16" i="42"/>
  <c r="L16" i="42" s="1"/>
  <c r="N16" i="42" s="1"/>
  <c r="B16" i="42"/>
  <c r="Z15" i="42"/>
  <c r="X15" i="42"/>
  <c r="P15" i="42"/>
  <c r="N15" i="42"/>
  <c r="D15" i="42"/>
  <c r="L15" i="42" s="1"/>
  <c r="B15" i="42"/>
  <c r="Z14" i="42"/>
  <c r="P14" i="42"/>
  <c r="X14" i="42" s="1"/>
  <c r="N14" i="42"/>
  <c r="D14" i="42"/>
  <c r="L14" i="42" s="1"/>
  <c r="B14" i="42"/>
  <c r="P13" i="42"/>
  <c r="X13" i="42" s="1"/>
  <c r="Z13" i="42" s="1"/>
  <c r="L13" i="42"/>
  <c r="N13" i="42" s="1"/>
  <c r="D13" i="42"/>
  <c r="B13" i="42"/>
  <c r="T12" i="42"/>
  <c r="V106" i="42" s="1"/>
  <c r="H12" i="42"/>
  <c r="J101" i="42" s="1"/>
  <c r="D4" i="42"/>
  <c r="X123" i="39"/>
  <c r="Z123" i="39" s="1"/>
  <c r="L123" i="39"/>
  <c r="N123" i="39" s="1"/>
  <c r="Z119" i="39"/>
  <c r="P119" i="39"/>
  <c r="X119" i="39" s="1"/>
  <c r="N119" i="39"/>
  <c r="D119" i="39"/>
  <c r="L119" i="39" s="1"/>
  <c r="B119" i="39"/>
  <c r="Z118" i="39"/>
  <c r="P118" i="39"/>
  <c r="X118" i="39" s="1"/>
  <c r="N118" i="39"/>
  <c r="L118" i="39"/>
  <c r="D118" i="39"/>
  <c r="D115" i="39" s="1"/>
  <c r="L115" i="39" s="1"/>
  <c r="B118" i="39"/>
  <c r="X117" i="39"/>
  <c r="Z117" i="39" s="1"/>
  <c r="P117" i="39"/>
  <c r="P115" i="39" s="1"/>
  <c r="L117" i="39"/>
  <c r="N117" i="39" s="1"/>
  <c r="D117" i="39"/>
  <c r="B117" i="39"/>
  <c r="X116" i="39"/>
  <c r="Z116" i="39" s="1"/>
  <c r="V116" i="39"/>
  <c r="P116" i="39"/>
  <c r="L116" i="39"/>
  <c r="N116" i="39" s="1"/>
  <c r="D116" i="39"/>
  <c r="B116" i="39"/>
  <c r="X115" i="39"/>
  <c r="V115" i="39"/>
  <c r="T115" i="39"/>
  <c r="H115" i="39"/>
  <c r="X113" i="39"/>
  <c r="Z113" i="39" s="1"/>
  <c r="V113" i="39"/>
  <c r="L113" i="39"/>
  <c r="N113" i="39" s="1"/>
  <c r="B113" i="39"/>
  <c r="T112" i="39"/>
  <c r="P112" i="39"/>
  <c r="X112" i="39" s="1"/>
  <c r="Z112" i="39" s="1"/>
  <c r="N112" i="39"/>
  <c r="H112" i="39"/>
  <c r="D112" i="39"/>
  <c r="L112" i="39" s="1"/>
  <c r="B112" i="39"/>
  <c r="Z111" i="39"/>
  <c r="X111" i="39"/>
  <c r="N111" i="39"/>
  <c r="L111" i="39"/>
  <c r="B111" i="39"/>
  <c r="Z110" i="39"/>
  <c r="X110" i="39"/>
  <c r="V110" i="39"/>
  <c r="N110" i="39"/>
  <c r="L110" i="39"/>
  <c r="B110" i="39"/>
  <c r="T109" i="39"/>
  <c r="Z109" i="39" s="1"/>
  <c r="P109" i="39"/>
  <c r="X109" i="39" s="1"/>
  <c r="H109" i="39"/>
  <c r="N109" i="39" s="1"/>
  <c r="D109" i="39"/>
  <c r="L109" i="39" s="1"/>
  <c r="B109" i="39"/>
  <c r="X108" i="39"/>
  <c r="Z108" i="39" s="1"/>
  <c r="N108" i="39"/>
  <c r="L108" i="39"/>
  <c r="B108" i="39"/>
  <c r="X107" i="39"/>
  <c r="Z107" i="39" s="1"/>
  <c r="T107" i="39"/>
  <c r="P107" i="39"/>
  <c r="N107" i="39"/>
  <c r="H107" i="39"/>
  <c r="D107" i="39"/>
  <c r="L107" i="39" s="1"/>
  <c r="B107" i="39"/>
  <c r="Z106" i="39"/>
  <c r="X106" i="39"/>
  <c r="L106" i="39"/>
  <c r="N106" i="39" s="1"/>
  <c r="B106" i="39"/>
  <c r="X105" i="39"/>
  <c r="Z105" i="39" s="1"/>
  <c r="V105" i="39"/>
  <c r="N105" i="39"/>
  <c r="L105" i="39"/>
  <c r="B105" i="39"/>
  <c r="T104" i="39"/>
  <c r="P104" i="39"/>
  <c r="X104" i="39" s="1"/>
  <c r="Z104" i="39" s="1"/>
  <c r="N104" i="39"/>
  <c r="H104" i="39"/>
  <c r="D104" i="39"/>
  <c r="L104" i="39" s="1"/>
  <c r="B104" i="39"/>
  <c r="X103" i="39"/>
  <c r="Z103" i="39" s="1"/>
  <c r="N103" i="39"/>
  <c r="L103" i="39"/>
  <c r="B103" i="39"/>
  <c r="X102" i="39"/>
  <c r="Z102" i="39" s="1"/>
  <c r="V102" i="39"/>
  <c r="L102" i="39"/>
  <c r="N102" i="39" s="1"/>
  <c r="B102" i="39"/>
  <c r="Z101" i="39"/>
  <c r="X101" i="39"/>
  <c r="N101" i="39"/>
  <c r="L101" i="39"/>
  <c r="B101" i="39"/>
  <c r="Z100" i="39"/>
  <c r="X100" i="39"/>
  <c r="V100" i="39"/>
  <c r="N100" i="39"/>
  <c r="L100" i="39"/>
  <c r="B100" i="39"/>
  <c r="Z99" i="39"/>
  <c r="X99" i="39"/>
  <c r="N99" i="39"/>
  <c r="L99" i="39"/>
  <c r="B99" i="39"/>
  <c r="X98" i="39"/>
  <c r="Z98" i="39" s="1"/>
  <c r="V98" i="39"/>
  <c r="L98" i="39"/>
  <c r="N98" i="39" s="1"/>
  <c r="J98" i="39"/>
  <c r="B98" i="39"/>
  <c r="Z97" i="39"/>
  <c r="X97" i="39"/>
  <c r="L97" i="39"/>
  <c r="N97" i="39" s="1"/>
  <c r="B97" i="39"/>
  <c r="Z96" i="39"/>
  <c r="X96" i="39"/>
  <c r="V96" i="39"/>
  <c r="L96" i="39"/>
  <c r="N96" i="39" s="1"/>
  <c r="B96" i="39"/>
  <c r="X95" i="39"/>
  <c r="Z95" i="39" s="1"/>
  <c r="N95" i="39"/>
  <c r="L95" i="39"/>
  <c r="B95" i="39"/>
  <c r="X94" i="39"/>
  <c r="Z94" i="39" s="1"/>
  <c r="V94" i="39"/>
  <c r="L94" i="39"/>
  <c r="N94" i="39" s="1"/>
  <c r="B94" i="39"/>
  <c r="Z93" i="39"/>
  <c r="X93" i="39"/>
  <c r="N93" i="39"/>
  <c r="L93" i="39"/>
  <c r="B93" i="39"/>
  <c r="X92" i="39"/>
  <c r="Z92" i="39" s="1"/>
  <c r="V92" i="39"/>
  <c r="T92" i="39"/>
  <c r="P92" i="39"/>
  <c r="L92" i="39"/>
  <c r="N92" i="39" s="1"/>
  <c r="J92" i="39"/>
  <c r="H92" i="39"/>
  <c r="D92" i="39"/>
  <c r="B92" i="39"/>
  <c r="Z91" i="39"/>
  <c r="X91" i="39"/>
  <c r="L91" i="39"/>
  <c r="N91" i="39" s="1"/>
  <c r="B91" i="39"/>
  <c r="V90" i="39"/>
  <c r="T90" i="39"/>
  <c r="P90" i="39"/>
  <c r="H90" i="39"/>
  <c r="D90" i="39"/>
  <c r="B90" i="39"/>
  <c r="X89" i="39"/>
  <c r="Z89" i="39" s="1"/>
  <c r="V89" i="39"/>
  <c r="N89" i="39"/>
  <c r="L89" i="39"/>
  <c r="B89" i="39"/>
  <c r="Z88" i="39"/>
  <c r="X88" i="39"/>
  <c r="L88" i="39"/>
  <c r="N88" i="39" s="1"/>
  <c r="B88" i="39"/>
  <c r="X87" i="39"/>
  <c r="Z87" i="39" s="1"/>
  <c r="V87" i="39"/>
  <c r="N87" i="39"/>
  <c r="L87" i="39"/>
  <c r="B87" i="39"/>
  <c r="Z86" i="39"/>
  <c r="X86" i="39"/>
  <c r="L86" i="39"/>
  <c r="N86" i="39" s="1"/>
  <c r="B86" i="39"/>
  <c r="X85" i="39"/>
  <c r="Z85" i="39" s="1"/>
  <c r="V85" i="39"/>
  <c r="N85" i="39"/>
  <c r="L85" i="39"/>
  <c r="B85" i="39"/>
  <c r="T84" i="39"/>
  <c r="P84" i="39"/>
  <c r="X84" i="39" s="1"/>
  <c r="Z84" i="39" s="1"/>
  <c r="N84" i="39"/>
  <c r="H84" i="39"/>
  <c r="D84" i="39"/>
  <c r="L84" i="39" s="1"/>
  <c r="B84" i="39"/>
  <c r="Z83" i="39"/>
  <c r="X83" i="39"/>
  <c r="L83" i="39"/>
  <c r="N83" i="39" s="1"/>
  <c r="B83" i="39"/>
  <c r="Z82" i="39"/>
  <c r="X82" i="39"/>
  <c r="V82" i="39"/>
  <c r="N82" i="39"/>
  <c r="L82" i="39"/>
  <c r="B82" i="39"/>
  <c r="T81" i="39"/>
  <c r="P81" i="39"/>
  <c r="X81" i="39" s="1"/>
  <c r="H81" i="39"/>
  <c r="D81" i="39"/>
  <c r="B81" i="39"/>
  <c r="X80" i="39"/>
  <c r="Z80" i="39" s="1"/>
  <c r="V80" i="39"/>
  <c r="N80" i="39"/>
  <c r="L80" i="39"/>
  <c r="B80" i="39"/>
  <c r="Z79" i="39"/>
  <c r="X79" i="39"/>
  <c r="N79" i="39"/>
  <c r="L79" i="39"/>
  <c r="J79" i="39"/>
  <c r="B79" i="39"/>
  <c r="X78" i="39"/>
  <c r="Z78" i="39" s="1"/>
  <c r="V78" i="39"/>
  <c r="N78" i="39"/>
  <c r="L78" i="39"/>
  <c r="B78" i="39"/>
  <c r="Z77" i="39"/>
  <c r="X77" i="39"/>
  <c r="L77" i="39"/>
  <c r="N77" i="39" s="1"/>
  <c r="J77" i="39"/>
  <c r="B77" i="39"/>
  <c r="T76" i="39"/>
  <c r="P76" i="39"/>
  <c r="H76" i="39"/>
  <c r="D76" i="39"/>
  <c r="B76" i="39"/>
  <c r="X75" i="39"/>
  <c r="Z75" i="39" s="1"/>
  <c r="V75" i="39"/>
  <c r="N75" i="39"/>
  <c r="L75" i="39"/>
  <c r="B75" i="39"/>
  <c r="Z74" i="39"/>
  <c r="T74" i="39"/>
  <c r="P74" i="39"/>
  <c r="X74" i="39" s="1"/>
  <c r="N74" i="39"/>
  <c r="H74" i="39"/>
  <c r="D74" i="39"/>
  <c r="L74" i="39" s="1"/>
  <c r="B74" i="39"/>
  <c r="X73" i="39"/>
  <c r="Z73" i="39" s="1"/>
  <c r="L73" i="39"/>
  <c r="N73" i="39" s="1"/>
  <c r="B73" i="39"/>
  <c r="X72" i="39"/>
  <c r="Z72" i="39" s="1"/>
  <c r="V72" i="39"/>
  <c r="T72" i="39"/>
  <c r="P72" i="39"/>
  <c r="L72" i="39"/>
  <c r="N72" i="39" s="1"/>
  <c r="J72" i="39"/>
  <c r="H72" i="39"/>
  <c r="D72" i="39"/>
  <c r="B72" i="39"/>
  <c r="Z71" i="39"/>
  <c r="X71" i="39"/>
  <c r="L71" i="39"/>
  <c r="N71" i="39" s="1"/>
  <c r="B71" i="39"/>
  <c r="V70" i="39"/>
  <c r="T70" i="39"/>
  <c r="P70" i="39"/>
  <c r="H70" i="39"/>
  <c r="D70" i="39"/>
  <c r="B70" i="39"/>
  <c r="X69" i="39"/>
  <c r="Z69" i="39" s="1"/>
  <c r="V69" i="39"/>
  <c r="N69" i="39"/>
  <c r="L69" i="39"/>
  <c r="B69" i="39"/>
  <c r="Z68" i="39"/>
  <c r="T68" i="39"/>
  <c r="P68" i="39"/>
  <c r="X68" i="39" s="1"/>
  <c r="N68" i="39"/>
  <c r="H68" i="39"/>
  <c r="D68" i="39"/>
  <c r="L68" i="39" s="1"/>
  <c r="B68" i="39"/>
  <c r="Z67" i="39"/>
  <c r="X67" i="39"/>
  <c r="N67" i="39"/>
  <c r="L67" i="39"/>
  <c r="B67" i="39"/>
  <c r="Z66" i="39"/>
  <c r="X66" i="39"/>
  <c r="V66" i="39"/>
  <c r="N66" i="39"/>
  <c r="L66" i="39"/>
  <c r="B66" i="39"/>
  <c r="T65" i="39"/>
  <c r="Z65" i="39" s="1"/>
  <c r="P65" i="39"/>
  <c r="X65" i="39" s="1"/>
  <c r="H65" i="39"/>
  <c r="N65" i="39" s="1"/>
  <c r="D65" i="39"/>
  <c r="B65" i="39"/>
  <c r="X64" i="39"/>
  <c r="Z64" i="39" s="1"/>
  <c r="V64" i="39"/>
  <c r="N64" i="39"/>
  <c r="L64" i="39"/>
  <c r="B64" i="39"/>
  <c r="X63" i="39"/>
  <c r="Z63" i="39" s="1"/>
  <c r="T63" i="39"/>
  <c r="P63" i="39"/>
  <c r="H63" i="39"/>
  <c r="D63" i="39"/>
  <c r="L63" i="39" s="1"/>
  <c r="N63" i="39" s="1"/>
  <c r="B63" i="39"/>
  <c r="Z62" i="39"/>
  <c r="X62" i="39"/>
  <c r="N62" i="39"/>
  <c r="L62" i="39"/>
  <c r="J62" i="39"/>
  <c r="B62" i="39"/>
  <c r="X61" i="39"/>
  <c r="T61" i="39"/>
  <c r="Z61" i="39" s="1"/>
  <c r="P61" i="39"/>
  <c r="H61" i="39"/>
  <c r="D61" i="39"/>
  <c r="B61" i="39"/>
  <c r="Z60" i="39"/>
  <c r="X60" i="39"/>
  <c r="V60" i="39"/>
  <c r="L60" i="39"/>
  <c r="N60" i="39" s="1"/>
  <c r="B60" i="39"/>
  <c r="Z59" i="39"/>
  <c r="X59" i="39"/>
  <c r="N59" i="39"/>
  <c r="L59" i="39"/>
  <c r="B59" i="39"/>
  <c r="Z58" i="39"/>
  <c r="X58" i="39"/>
  <c r="V58" i="39"/>
  <c r="N58" i="39"/>
  <c r="L58" i="39"/>
  <c r="B58" i="39"/>
  <c r="T57" i="39"/>
  <c r="Z57" i="39" s="1"/>
  <c r="P57" i="39"/>
  <c r="X57" i="39" s="1"/>
  <c r="H57" i="39"/>
  <c r="D57" i="39"/>
  <c r="B57" i="39"/>
  <c r="X56" i="39"/>
  <c r="Z56" i="39" s="1"/>
  <c r="V56" i="39"/>
  <c r="N56" i="39"/>
  <c r="L56" i="39"/>
  <c r="B56" i="39"/>
  <c r="Z55" i="39"/>
  <c r="X55" i="39"/>
  <c r="T55" i="39"/>
  <c r="P55" i="39"/>
  <c r="L55" i="39"/>
  <c r="N55" i="39" s="1"/>
  <c r="H55" i="39"/>
  <c r="D55" i="39"/>
  <c r="B55" i="39"/>
  <c r="Z54" i="39"/>
  <c r="X54" i="39"/>
  <c r="L54" i="39"/>
  <c r="N54" i="39" s="1"/>
  <c r="B54" i="39"/>
  <c r="X53" i="39"/>
  <c r="V53" i="39"/>
  <c r="T53" i="39"/>
  <c r="P53" i="39"/>
  <c r="H53" i="39"/>
  <c r="D53" i="39"/>
  <c r="B53" i="39"/>
  <c r="X52" i="39"/>
  <c r="Z52" i="39" s="1"/>
  <c r="V52" i="39"/>
  <c r="L52" i="39"/>
  <c r="N52" i="39" s="1"/>
  <c r="B52" i="39"/>
  <c r="T51" i="39"/>
  <c r="P51" i="39"/>
  <c r="X51" i="39" s="1"/>
  <c r="H51" i="39"/>
  <c r="N51" i="39" s="1"/>
  <c r="D51" i="39"/>
  <c r="L51" i="39" s="1"/>
  <c r="B51" i="39"/>
  <c r="Z50" i="39"/>
  <c r="X50" i="39"/>
  <c r="V50" i="39"/>
  <c r="N50" i="39"/>
  <c r="L50" i="39"/>
  <c r="B50" i="39"/>
  <c r="Z49" i="39"/>
  <c r="X49" i="39"/>
  <c r="N49" i="39"/>
  <c r="L49" i="39"/>
  <c r="B49" i="39"/>
  <c r="X48" i="39"/>
  <c r="Z48" i="39" s="1"/>
  <c r="V48" i="39"/>
  <c r="N48" i="39"/>
  <c r="L48" i="39"/>
  <c r="B48" i="39"/>
  <c r="Z47" i="39"/>
  <c r="X47" i="39"/>
  <c r="N47" i="39"/>
  <c r="L47" i="39"/>
  <c r="B47" i="39"/>
  <c r="Z46" i="39"/>
  <c r="X46" i="39"/>
  <c r="V46" i="39"/>
  <c r="N46" i="39"/>
  <c r="L46" i="39"/>
  <c r="B46" i="39"/>
  <c r="Z45" i="39"/>
  <c r="X45" i="39"/>
  <c r="L45" i="39"/>
  <c r="N45" i="39" s="1"/>
  <c r="B45" i="39"/>
  <c r="X44" i="39"/>
  <c r="Z44" i="39" s="1"/>
  <c r="V44" i="39"/>
  <c r="N44" i="39"/>
  <c r="L44" i="39"/>
  <c r="B44" i="39"/>
  <c r="Z43" i="39"/>
  <c r="X43" i="39"/>
  <c r="N43" i="39"/>
  <c r="L43" i="39"/>
  <c r="B43" i="39"/>
  <c r="X42" i="39"/>
  <c r="Z42" i="39" s="1"/>
  <c r="V42" i="39"/>
  <c r="N42" i="39"/>
  <c r="L42" i="39"/>
  <c r="B42" i="39"/>
  <c r="X41" i="39"/>
  <c r="Z41" i="39" s="1"/>
  <c r="L41" i="39"/>
  <c r="N41" i="39" s="1"/>
  <c r="B41" i="39"/>
  <c r="T40" i="39"/>
  <c r="P40" i="39"/>
  <c r="X40" i="39" s="1"/>
  <c r="H40" i="39"/>
  <c r="D40" i="39"/>
  <c r="B40" i="39"/>
  <c r="X39" i="39"/>
  <c r="Z39" i="39" s="1"/>
  <c r="V39" i="39"/>
  <c r="N39" i="39"/>
  <c r="L39" i="39"/>
  <c r="B39" i="39"/>
  <c r="Z38" i="39"/>
  <c r="X38" i="39"/>
  <c r="L38" i="39"/>
  <c r="N38" i="39" s="1"/>
  <c r="B38" i="39"/>
  <c r="X37" i="39"/>
  <c r="Z37" i="39" s="1"/>
  <c r="V37" i="39"/>
  <c r="N37" i="39"/>
  <c r="L37" i="39"/>
  <c r="B37" i="39"/>
  <c r="Z36" i="39"/>
  <c r="X36" i="39"/>
  <c r="N36" i="39"/>
  <c r="L36" i="39"/>
  <c r="B36" i="39"/>
  <c r="X35" i="39"/>
  <c r="Z35" i="39" s="1"/>
  <c r="V35" i="39"/>
  <c r="N35" i="39"/>
  <c r="L35" i="39"/>
  <c r="B35" i="39"/>
  <c r="Z34" i="39"/>
  <c r="X34" i="39"/>
  <c r="L34" i="39"/>
  <c r="N34" i="39" s="1"/>
  <c r="B34" i="39"/>
  <c r="X33" i="39"/>
  <c r="Z33" i="39" s="1"/>
  <c r="V33" i="39"/>
  <c r="N33" i="39"/>
  <c r="L33" i="39"/>
  <c r="B33" i="39"/>
  <c r="Z32" i="39"/>
  <c r="X32" i="39"/>
  <c r="L32" i="39"/>
  <c r="N32" i="39" s="1"/>
  <c r="B32" i="39"/>
  <c r="X31" i="39"/>
  <c r="Z31" i="39" s="1"/>
  <c r="V31" i="39"/>
  <c r="N31" i="39"/>
  <c r="L31" i="39"/>
  <c r="B31" i="39"/>
  <c r="T30" i="39"/>
  <c r="P30" i="39"/>
  <c r="X30" i="39" s="1"/>
  <c r="Z30" i="39" s="1"/>
  <c r="H30" i="39"/>
  <c r="D30" i="39"/>
  <c r="L30" i="39" s="1"/>
  <c r="N30" i="39" s="1"/>
  <c r="B30" i="39"/>
  <c r="T29" i="39"/>
  <c r="Z29" i="39" s="1"/>
  <c r="P29" i="39"/>
  <c r="X29" i="39" s="1"/>
  <c r="H29" i="39"/>
  <c r="H121" i="39" s="1"/>
  <c r="D29" i="39"/>
  <c r="T27" i="39"/>
  <c r="H27" i="39"/>
  <c r="Z25" i="39"/>
  <c r="X25" i="39"/>
  <c r="N25" i="39"/>
  <c r="L25" i="39"/>
  <c r="B25" i="39"/>
  <c r="Z24" i="39"/>
  <c r="X24" i="39"/>
  <c r="V24" i="39"/>
  <c r="N24" i="39"/>
  <c r="L24" i="39"/>
  <c r="B24" i="39"/>
  <c r="Z23" i="39"/>
  <c r="X23" i="39"/>
  <c r="N23" i="39"/>
  <c r="L23" i="39"/>
  <c r="B23" i="39"/>
  <c r="X22" i="39"/>
  <c r="Z22" i="39" s="1"/>
  <c r="V22" i="39"/>
  <c r="T22" i="39"/>
  <c r="P22" i="39"/>
  <c r="L22" i="39"/>
  <c r="N22" i="39" s="1"/>
  <c r="J22" i="39"/>
  <c r="H22" i="39"/>
  <c r="D22" i="39"/>
  <c r="Z20" i="39"/>
  <c r="X20" i="39"/>
  <c r="P20" i="39"/>
  <c r="N20" i="39"/>
  <c r="D20" i="39"/>
  <c r="L20" i="39" s="1"/>
  <c r="B20" i="39"/>
  <c r="Z19" i="39"/>
  <c r="X19" i="39"/>
  <c r="P19" i="39"/>
  <c r="N19" i="39"/>
  <c r="D19" i="39"/>
  <c r="L19" i="39" s="1"/>
  <c r="B19" i="39"/>
  <c r="Z18" i="39"/>
  <c r="X18" i="39"/>
  <c r="P18" i="39"/>
  <c r="N18" i="39"/>
  <c r="D18" i="39"/>
  <c r="L18" i="39" s="1"/>
  <c r="B18" i="39"/>
  <c r="P17" i="39"/>
  <c r="X17" i="39" s="1"/>
  <c r="Z17" i="39" s="1"/>
  <c r="L17" i="39"/>
  <c r="N17" i="39" s="1"/>
  <c r="D17" i="39"/>
  <c r="B17" i="39"/>
  <c r="Z16" i="39"/>
  <c r="P16" i="39"/>
  <c r="X16" i="39" s="1"/>
  <c r="N16" i="39"/>
  <c r="L16" i="39"/>
  <c r="D16" i="39"/>
  <c r="B16" i="39"/>
  <c r="Z15" i="39"/>
  <c r="P15" i="39"/>
  <c r="X15" i="39" s="1"/>
  <c r="N15" i="39"/>
  <c r="L15" i="39"/>
  <c r="D15" i="39"/>
  <c r="B15" i="39"/>
  <c r="Z14" i="39"/>
  <c r="P14" i="39"/>
  <c r="X14" i="39" s="1"/>
  <c r="N14" i="39"/>
  <c r="L14" i="39"/>
  <c r="D14" i="39"/>
  <c r="B14" i="39"/>
  <c r="Z13" i="39"/>
  <c r="X13" i="39"/>
  <c r="P13" i="39"/>
  <c r="D13" i="39"/>
  <c r="B13" i="39"/>
  <c r="T12" i="39"/>
  <c r="V117" i="39" s="1"/>
  <c r="H12" i="39"/>
  <c r="J123" i="39" s="1"/>
  <c r="D4" i="39"/>
  <c r="Z126" i="36"/>
  <c r="X126" i="36"/>
  <c r="L126" i="36"/>
  <c r="N126" i="36" s="1"/>
  <c r="Z122" i="36"/>
  <c r="P122" i="36"/>
  <c r="X122" i="36" s="1"/>
  <c r="N122" i="36"/>
  <c r="D122" i="36"/>
  <c r="B122" i="36"/>
  <c r="Z121" i="36"/>
  <c r="P121" i="36"/>
  <c r="N121" i="36"/>
  <c r="L121" i="36"/>
  <c r="D121" i="36"/>
  <c r="B121" i="36"/>
  <c r="X120" i="36"/>
  <c r="Z120" i="36" s="1"/>
  <c r="P120" i="36"/>
  <c r="L120" i="36"/>
  <c r="N120" i="36" s="1"/>
  <c r="D120" i="36"/>
  <c r="B120" i="36"/>
  <c r="Z119" i="36"/>
  <c r="X119" i="36"/>
  <c r="P119" i="36"/>
  <c r="L119" i="36"/>
  <c r="N119" i="36" s="1"/>
  <c r="D119" i="36"/>
  <c r="B119" i="36"/>
  <c r="T118" i="36"/>
  <c r="H118" i="36"/>
  <c r="X116" i="36"/>
  <c r="Z116" i="36" s="1"/>
  <c r="L116" i="36"/>
  <c r="N116" i="36" s="1"/>
  <c r="B116" i="36"/>
  <c r="Z115" i="36"/>
  <c r="T115" i="36"/>
  <c r="P115" i="36"/>
  <c r="X115" i="36" s="1"/>
  <c r="H115" i="36"/>
  <c r="D115" i="36"/>
  <c r="L115" i="36" s="1"/>
  <c r="N115" i="36" s="1"/>
  <c r="B115" i="36"/>
  <c r="Z114" i="36"/>
  <c r="X114" i="36"/>
  <c r="N114" i="36"/>
  <c r="L114" i="36"/>
  <c r="B114" i="36"/>
  <c r="Z113" i="36"/>
  <c r="X113" i="36"/>
  <c r="L113" i="36"/>
  <c r="N113" i="36" s="1"/>
  <c r="B113" i="36"/>
  <c r="T112" i="36"/>
  <c r="P112" i="36"/>
  <c r="X112" i="36" s="1"/>
  <c r="H112" i="36"/>
  <c r="D112" i="36"/>
  <c r="L112" i="36" s="1"/>
  <c r="N112" i="36" s="1"/>
  <c r="B112" i="36"/>
  <c r="X111" i="36"/>
  <c r="Z111" i="36" s="1"/>
  <c r="N111" i="36"/>
  <c r="L111" i="36"/>
  <c r="B111" i="36"/>
  <c r="T110" i="36"/>
  <c r="P110" i="36"/>
  <c r="X110" i="36" s="1"/>
  <c r="Z110" i="36" s="1"/>
  <c r="L110" i="36"/>
  <c r="N110" i="36" s="1"/>
  <c r="H110" i="36"/>
  <c r="F110" i="36"/>
  <c r="D110" i="36"/>
  <c r="B110" i="36"/>
  <c r="X109" i="36"/>
  <c r="Z109" i="36" s="1"/>
  <c r="N109" i="36"/>
  <c r="L109" i="36"/>
  <c r="B109" i="36"/>
  <c r="Z108" i="36"/>
  <c r="X108" i="36"/>
  <c r="N108" i="36"/>
  <c r="L108" i="36"/>
  <c r="B108" i="36"/>
  <c r="Z107" i="36"/>
  <c r="X107" i="36"/>
  <c r="T107" i="36"/>
  <c r="P107" i="36"/>
  <c r="H107" i="36"/>
  <c r="D107" i="36"/>
  <c r="B107" i="36"/>
  <c r="Z106" i="36"/>
  <c r="X106" i="36"/>
  <c r="N106" i="36"/>
  <c r="L106" i="36"/>
  <c r="B106" i="36"/>
  <c r="Z105" i="36"/>
  <c r="X105" i="36"/>
  <c r="L105" i="36"/>
  <c r="N105" i="36" s="1"/>
  <c r="B105" i="36"/>
  <c r="Z104" i="36"/>
  <c r="X104" i="36"/>
  <c r="N104" i="36"/>
  <c r="L104" i="36"/>
  <c r="J104" i="36"/>
  <c r="B104" i="36"/>
  <c r="Z103" i="36"/>
  <c r="X103" i="36"/>
  <c r="L103" i="36"/>
  <c r="N103" i="36" s="1"/>
  <c r="B103" i="36"/>
  <c r="Z102" i="36"/>
  <c r="X102" i="36"/>
  <c r="N102" i="36"/>
  <c r="L102" i="36"/>
  <c r="B102" i="36"/>
  <c r="Z101" i="36"/>
  <c r="X101" i="36"/>
  <c r="L101" i="36"/>
  <c r="N101" i="36" s="1"/>
  <c r="B101" i="36"/>
  <c r="Z100" i="36"/>
  <c r="X100" i="36"/>
  <c r="L100" i="36"/>
  <c r="N100" i="36" s="1"/>
  <c r="B100" i="36"/>
  <c r="Z99" i="36"/>
  <c r="X99" i="36"/>
  <c r="L99" i="36"/>
  <c r="N99" i="36" s="1"/>
  <c r="B99" i="36"/>
  <c r="Z98" i="36"/>
  <c r="X98" i="36"/>
  <c r="N98" i="36"/>
  <c r="L98" i="36"/>
  <c r="B98" i="36"/>
  <c r="Z97" i="36"/>
  <c r="X97" i="36"/>
  <c r="V97" i="36"/>
  <c r="L97" i="36"/>
  <c r="N97" i="36" s="1"/>
  <c r="B97" i="36"/>
  <c r="Z96" i="36"/>
  <c r="X96" i="36"/>
  <c r="L96" i="36"/>
  <c r="N96" i="36" s="1"/>
  <c r="B96" i="36"/>
  <c r="T95" i="36"/>
  <c r="P95" i="36"/>
  <c r="X95" i="36" s="1"/>
  <c r="Z95" i="36" s="1"/>
  <c r="H95" i="36"/>
  <c r="D95" i="36"/>
  <c r="L95" i="36" s="1"/>
  <c r="B95" i="36"/>
  <c r="X94" i="36"/>
  <c r="Z94" i="36" s="1"/>
  <c r="N94" i="36"/>
  <c r="L94" i="36"/>
  <c r="B94" i="36"/>
  <c r="X93" i="36"/>
  <c r="T93" i="36"/>
  <c r="P93" i="36"/>
  <c r="H93" i="36"/>
  <c r="D93" i="36"/>
  <c r="L93" i="36" s="1"/>
  <c r="B93" i="36"/>
  <c r="Z92" i="36"/>
  <c r="X92" i="36"/>
  <c r="N92" i="36"/>
  <c r="L92" i="36"/>
  <c r="B92" i="36"/>
  <c r="Z91" i="36"/>
  <c r="X91" i="36"/>
  <c r="N91" i="36"/>
  <c r="L91" i="36"/>
  <c r="B91" i="36"/>
  <c r="Z90" i="36"/>
  <c r="X90" i="36"/>
  <c r="N90" i="36"/>
  <c r="L90" i="36"/>
  <c r="B90" i="36"/>
  <c r="X89" i="36"/>
  <c r="Z89" i="36" s="1"/>
  <c r="N89" i="36"/>
  <c r="L89" i="36"/>
  <c r="J89" i="36"/>
  <c r="F89" i="36"/>
  <c r="B89" i="36"/>
  <c r="Z88" i="36"/>
  <c r="X88" i="36"/>
  <c r="N88" i="36"/>
  <c r="L88" i="36"/>
  <c r="B88" i="36"/>
  <c r="Z87" i="36"/>
  <c r="X87" i="36"/>
  <c r="T87" i="36"/>
  <c r="P87" i="36"/>
  <c r="H87" i="36"/>
  <c r="D87" i="36"/>
  <c r="B87" i="36"/>
  <c r="Z86" i="36"/>
  <c r="X86" i="36"/>
  <c r="N86" i="36"/>
  <c r="L86" i="36"/>
  <c r="B86" i="36"/>
  <c r="Z85" i="36"/>
  <c r="X85" i="36"/>
  <c r="N85" i="36"/>
  <c r="L85" i="36"/>
  <c r="B85" i="36"/>
  <c r="T84" i="36"/>
  <c r="Z84" i="36" s="1"/>
  <c r="P84" i="36"/>
  <c r="X84" i="36" s="1"/>
  <c r="N84" i="36"/>
  <c r="H84" i="36"/>
  <c r="D84" i="36"/>
  <c r="L84" i="36" s="1"/>
  <c r="B84" i="36"/>
  <c r="X83" i="36"/>
  <c r="Z83" i="36" s="1"/>
  <c r="L83" i="36"/>
  <c r="N83" i="36" s="1"/>
  <c r="F83" i="36"/>
  <c r="B83" i="36"/>
  <c r="X82" i="36"/>
  <c r="Z82" i="36" s="1"/>
  <c r="N82" i="36"/>
  <c r="L82" i="36"/>
  <c r="B82" i="36"/>
  <c r="X81" i="36"/>
  <c r="Z81" i="36" s="1"/>
  <c r="N81" i="36"/>
  <c r="L81" i="36"/>
  <c r="B81" i="36"/>
  <c r="Z80" i="36"/>
  <c r="X80" i="36"/>
  <c r="N80" i="36"/>
  <c r="L80" i="36"/>
  <c r="B80" i="36"/>
  <c r="T79" i="36"/>
  <c r="P79" i="36"/>
  <c r="X79" i="36" s="1"/>
  <c r="L79" i="36"/>
  <c r="H79" i="36"/>
  <c r="N79" i="36" s="1"/>
  <c r="D79" i="36"/>
  <c r="B79" i="36"/>
  <c r="Z78" i="36"/>
  <c r="X78" i="36"/>
  <c r="N78" i="36"/>
  <c r="L78" i="36"/>
  <c r="J78" i="36"/>
  <c r="B78" i="36"/>
  <c r="T77" i="36"/>
  <c r="P77" i="36"/>
  <c r="H77" i="36"/>
  <c r="D77" i="36"/>
  <c r="B77" i="36"/>
  <c r="Z76" i="36"/>
  <c r="X76" i="36"/>
  <c r="L76" i="36"/>
  <c r="N76" i="36" s="1"/>
  <c r="J76" i="36"/>
  <c r="B76" i="36"/>
  <c r="T75" i="36"/>
  <c r="P75" i="36"/>
  <c r="X75" i="36" s="1"/>
  <c r="Z75" i="36" s="1"/>
  <c r="H75" i="36"/>
  <c r="D75" i="36"/>
  <c r="L75" i="36" s="1"/>
  <c r="B75" i="36"/>
  <c r="Z74" i="36"/>
  <c r="X74" i="36"/>
  <c r="N74" i="36"/>
  <c r="L74" i="36"/>
  <c r="B74" i="36"/>
  <c r="X73" i="36"/>
  <c r="T73" i="36"/>
  <c r="P73" i="36"/>
  <c r="H73" i="36"/>
  <c r="D73" i="36"/>
  <c r="L73" i="36" s="1"/>
  <c r="B73" i="36"/>
  <c r="Z72" i="36"/>
  <c r="X72" i="36"/>
  <c r="N72" i="36"/>
  <c r="L72" i="36"/>
  <c r="B72" i="36"/>
  <c r="T71" i="36"/>
  <c r="X71" i="36" s="1"/>
  <c r="Z71" i="36" s="1"/>
  <c r="P71" i="36"/>
  <c r="H71" i="36"/>
  <c r="D71" i="36"/>
  <c r="B71" i="36"/>
  <c r="Z70" i="36"/>
  <c r="X70" i="36"/>
  <c r="N70" i="36"/>
  <c r="L70" i="36"/>
  <c r="B70" i="36"/>
  <c r="T69" i="36"/>
  <c r="P69" i="36"/>
  <c r="X69" i="36" s="1"/>
  <c r="H69" i="36"/>
  <c r="D69" i="36"/>
  <c r="L69" i="36" s="1"/>
  <c r="N69" i="36" s="1"/>
  <c r="B69" i="36"/>
  <c r="Z68" i="36"/>
  <c r="X68" i="36"/>
  <c r="N68" i="36"/>
  <c r="L68" i="36"/>
  <c r="B68" i="36"/>
  <c r="T67" i="36"/>
  <c r="Z67" i="36" s="1"/>
  <c r="P67" i="36"/>
  <c r="X67" i="36" s="1"/>
  <c r="L67" i="36"/>
  <c r="H67" i="36"/>
  <c r="N67" i="36" s="1"/>
  <c r="D67" i="36"/>
  <c r="B67" i="36"/>
  <c r="Z66" i="36"/>
  <c r="X66" i="36"/>
  <c r="N66" i="36"/>
  <c r="L66" i="36"/>
  <c r="B66" i="36"/>
  <c r="T65" i="36"/>
  <c r="P65" i="36"/>
  <c r="N65" i="36"/>
  <c r="L65" i="36"/>
  <c r="H65" i="36"/>
  <c r="D65" i="36"/>
  <c r="B65" i="36"/>
  <c r="Z64" i="36"/>
  <c r="X64" i="36"/>
  <c r="L64" i="36"/>
  <c r="N64" i="36" s="1"/>
  <c r="B64" i="36"/>
  <c r="T63" i="36"/>
  <c r="P63" i="36"/>
  <c r="X63" i="36" s="1"/>
  <c r="Z63" i="36" s="1"/>
  <c r="J63" i="36"/>
  <c r="H63" i="36"/>
  <c r="D63" i="36"/>
  <c r="B63" i="36"/>
  <c r="Z62" i="36"/>
  <c r="X62" i="36"/>
  <c r="N62" i="36"/>
  <c r="L62" i="36"/>
  <c r="B62" i="36"/>
  <c r="X61" i="36"/>
  <c r="T61" i="36"/>
  <c r="Z61" i="36" s="1"/>
  <c r="P61" i="36"/>
  <c r="H61" i="36"/>
  <c r="N61" i="36" s="1"/>
  <c r="D61" i="36"/>
  <c r="L61" i="36" s="1"/>
  <c r="B61" i="36"/>
  <c r="Z60" i="36"/>
  <c r="X60" i="36"/>
  <c r="N60" i="36"/>
  <c r="L60" i="36"/>
  <c r="B60" i="36"/>
  <c r="X59" i="36"/>
  <c r="Z59" i="36" s="1"/>
  <c r="N59" i="36"/>
  <c r="L59" i="36"/>
  <c r="B59" i="36"/>
  <c r="Z58" i="36"/>
  <c r="X58" i="36"/>
  <c r="N58" i="36"/>
  <c r="L58" i="36"/>
  <c r="B58" i="36"/>
  <c r="T57" i="36"/>
  <c r="P57" i="36"/>
  <c r="N57" i="36"/>
  <c r="L57" i="36"/>
  <c r="H57" i="36"/>
  <c r="D57" i="36"/>
  <c r="B57" i="36"/>
  <c r="Z56" i="36"/>
  <c r="X56" i="36"/>
  <c r="L56" i="36"/>
  <c r="N56" i="36" s="1"/>
  <c r="B56" i="36"/>
  <c r="T55" i="36"/>
  <c r="P55" i="36"/>
  <c r="X55" i="36" s="1"/>
  <c r="Z55" i="36" s="1"/>
  <c r="J55" i="36"/>
  <c r="H55" i="36"/>
  <c r="D55" i="36"/>
  <c r="B55" i="36"/>
  <c r="Z54" i="36"/>
  <c r="X54" i="36"/>
  <c r="N54" i="36"/>
  <c r="L54" i="36"/>
  <c r="B54" i="36"/>
  <c r="X53" i="36"/>
  <c r="T53" i="36"/>
  <c r="P53" i="36"/>
  <c r="H53" i="36"/>
  <c r="N53" i="36" s="1"/>
  <c r="D53" i="36"/>
  <c r="L53" i="36" s="1"/>
  <c r="B53" i="36"/>
  <c r="Z52" i="36"/>
  <c r="X52" i="36"/>
  <c r="N52" i="36"/>
  <c r="L52" i="36"/>
  <c r="B52" i="36"/>
  <c r="Z51" i="36"/>
  <c r="X51" i="36"/>
  <c r="T51" i="36"/>
  <c r="P51" i="36"/>
  <c r="H51" i="36"/>
  <c r="D51" i="36"/>
  <c r="B51" i="36"/>
  <c r="Z50" i="36"/>
  <c r="X50" i="36"/>
  <c r="N50" i="36"/>
  <c r="L50" i="36"/>
  <c r="B50" i="36"/>
  <c r="Z49" i="36"/>
  <c r="X49" i="36"/>
  <c r="N49" i="36"/>
  <c r="L49" i="36"/>
  <c r="B49" i="36"/>
  <c r="Z48" i="36"/>
  <c r="X48" i="36"/>
  <c r="L48" i="36"/>
  <c r="N48" i="36" s="1"/>
  <c r="J48" i="36"/>
  <c r="B48" i="36"/>
  <c r="Z47" i="36"/>
  <c r="X47" i="36"/>
  <c r="N47" i="36"/>
  <c r="L47" i="36"/>
  <c r="B47" i="36"/>
  <c r="Z46" i="36"/>
  <c r="X46" i="36"/>
  <c r="N46" i="36"/>
  <c r="L46" i="36"/>
  <c r="B46" i="36"/>
  <c r="Z45" i="36"/>
  <c r="X45" i="36"/>
  <c r="L45" i="36"/>
  <c r="N45" i="36" s="1"/>
  <c r="B45" i="36"/>
  <c r="Z44" i="36"/>
  <c r="X44" i="36"/>
  <c r="L44" i="36"/>
  <c r="N44" i="36" s="1"/>
  <c r="J44" i="36"/>
  <c r="B44" i="36"/>
  <c r="Z43" i="36"/>
  <c r="X43" i="36"/>
  <c r="N43" i="36"/>
  <c r="L43" i="36"/>
  <c r="B43" i="36"/>
  <c r="Z42" i="36"/>
  <c r="X42" i="36"/>
  <c r="N42" i="36"/>
  <c r="L42" i="36"/>
  <c r="B42" i="36"/>
  <c r="Z41" i="36"/>
  <c r="X41" i="36"/>
  <c r="L41" i="36"/>
  <c r="N41" i="36" s="1"/>
  <c r="B41" i="36"/>
  <c r="T40" i="36"/>
  <c r="Z40" i="36" s="1"/>
  <c r="P40" i="36"/>
  <c r="X40" i="36" s="1"/>
  <c r="H40" i="36"/>
  <c r="D40" i="36"/>
  <c r="L40" i="36" s="1"/>
  <c r="N40" i="36" s="1"/>
  <c r="B40" i="36"/>
  <c r="X39" i="36"/>
  <c r="Z39" i="36" s="1"/>
  <c r="N39" i="36"/>
  <c r="L39" i="36"/>
  <c r="B39" i="36"/>
  <c r="X38" i="36"/>
  <c r="Z38" i="36" s="1"/>
  <c r="N38" i="36"/>
  <c r="L38" i="36"/>
  <c r="B38" i="36"/>
  <c r="X37" i="36"/>
  <c r="Z37" i="36" s="1"/>
  <c r="L37" i="36"/>
  <c r="N37" i="36" s="1"/>
  <c r="B37" i="36"/>
  <c r="Z36" i="36"/>
  <c r="X36" i="36"/>
  <c r="N36" i="36"/>
  <c r="L36" i="36"/>
  <c r="B36" i="36"/>
  <c r="Z35" i="36"/>
  <c r="X35" i="36"/>
  <c r="N35" i="36"/>
  <c r="L35" i="36"/>
  <c r="B35" i="36"/>
  <c r="X34" i="36"/>
  <c r="Z34" i="36" s="1"/>
  <c r="N34" i="36"/>
  <c r="L34" i="36"/>
  <c r="F34" i="36"/>
  <c r="B34" i="36"/>
  <c r="X33" i="36"/>
  <c r="Z33" i="36" s="1"/>
  <c r="L33" i="36"/>
  <c r="N33" i="36" s="1"/>
  <c r="F33" i="36"/>
  <c r="B33" i="36"/>
  <c r="X32" i="36"/>
  <c r="Z32" i="36" s="1"/>
  <c r="N32" i="36"/>
  <c r="L32" i="36"/>
  <c r="B32" i="36"/>
  <c r="X31" i="36"/>
  <c r="Z31" i="36" s="1"/>
  <c r="N31" i="36"/>
  <c r="L31" i="36"/>
  <c r="B31" i="36"/>
  <c r="X30" i="36"/>
  <c r="Z30" i="36" s="1"/>
  <c r="N30" i="36"/>
  <c r="L30" i="36"/>
  <c r="B30" i="36"/>
  <c r="X29" i="36"/>
  <c r="T29" i="36"/>
  <c r="Z29" i="36" s="1"/>
  <c r="P29" i="36"/>
  <c r="L29" i="36"/>
  <c r="H29" i="36"/>
  <c r="D29" i="36"/>
  <c r="B29" i="36"/>
  <c r="X28" i="36"/>
  <c r="T28" i="36"/>
  <c r="P28" i="36"/>
  <c r="H28" i="36"/>
  <c r="L28" i="36" s="1"/>
  <c r="D28" i="36"/>
  <c r="Z24" i="36"/>
  <c r="X24" i="36"/>
  <c r="N24" i="36"/>
  <c r="L24" i="36"/>
  <c r="B24" i="36"/>
  <c r="Z23" i="36"/>
  <c r="X23" i="36"/>
  <c r="N23" i="36"/>
  <c r="L23" i="36"/>
  <c r="B23" i="36"/>
  <c r="Z22" i="36"/>
  <c r="X22" i="36"/>
  <c r="N22" i="36"/>
  <c r="L22" i="36"/>
  <c r="J22" i="36"/>
  <c r="B22" i="36"/>
  <c r="T21" i="36"/>
  <c r="P21" i="36"/>
  <c r="H21" i="36"/>
  <c r="D21" i="36"/>
  <c r="Z19" i="36"/>
  <c r="X19" i="36"/>
  <c r="P19" i="36"/>
  <c r="N19" i="36"/>
  <c r="L19" i="36"/>
  <c r="D19" i="36"/>
  <c r="B19" i="36"/>
  <c r="Z18" i="36"/>
  <c r="P18" i="36"/>
  <c r="X18" i="36" s="1"/>
  <c r="N18" i="36"/>
  <c r="D18" i="36"/>
  <c r="L18" i="36" s="1"/>
  <c r="B18" i="36"/>
  <c r="X17" i="36"/>
  <c r="Z17" i="36" s="1"/>
  <c r="P17" i="36"/>
  <c r="L17" i="36"/>
  <c r="N17" i="36" s="1"/>
  <c r="D17" i="36"/>
  <c r="B17" i="36"/>
  <c r="Z16" i="36"/>
  <c r="X16" i="36"/>
  <c r="P16" i="36"/>
  <c r="N16" i="36"/>
  <c r="L16" i="36"/>
  <c r="D16" i="36"/>
  <c r="B16" i="36"/>
  <c r="Z15" i="36"/>
  <c r="P15" i="36"/>
  <c r="N15" i="36"/>
  <c r="D15" i="36"/>
  <c r="L15" i="36" s="1"/>
  <c r="B15" i="36"/>
  <c r="Z14" i="36"/>
  <c r="X14" i="36"/>
  <c r="P14" i="36"/>
  <c r="N14" i="36"/>
  <c r="L14" i="36"/>
  <c r="D14" i="36"/>
  <c r="B14" i="36"/>
  <c r="Z13" i="36"/>
  <c r="X13" i="36"/>
  <c r="P13" i="36"/>
  <c r="N13" i="36"/>
  <c r="L13" i="36"/>
  <c r="D13" i="36"/>
  <c r="D12" i="36" s="1"/>
  <c r="F62" i="36" s="1"/>
  <c r="B13" i="36"/>
  <c r="T12" i="36"/>
  <c r="V69" i="36" s="1"/>
  <c r="H12" i="36"/>
  <c r="D4" i="36"/>
  <c r="Z81" i="33"/>
  <c r="X81" i="33"/>
  <c r="N81" i="33"/>
  <c r="L81" i="33"/>
  <c r="J81" i="33"/>
  <c r="X77" i="33"/>
  <c r="Z77" i="33" s="1"/>
  <c r="P77" i="33"/>
  <c r="N77" i="33"/>
  <c r="L77" i="33"/>
  <c r="J77" i="33"/>
  <c r="D77" i="33"/>
  <c r="B77" i="33"/>
  <c r="T76" i="33"/>
  <c r="P76" i="33"/>
  <c r="H76" i="33"/>
  <c r="D76" i="33"/>
  <c r="Z74" i="33"/>
  <c r="X74" i="33"/>
  <c r="N74" i="33"/>
  <c r="L74" i="33"/>
  <c r="B74" i="33"/>
  <c r="Z73" i="33"/>
  <c r="T73" i="33"/>
  <c r="P73" i="33"/>
  <c r="X73" i="33" s="1"/>
  <c r="N73" i="33"/>
  <c r="H73" i="33"/>
  <c r="D73" i="33"/>
  <c r="L73" i="33" s="1"/>
  <c r="B73" i="33"/>
  <c r="X72" i="33"/>
  <c r="Z72" i="33" s="1"/>
  <c r="V72" i="33"/>
  <c r="L72" i="33"/>
  <c r="N72" i="33" s="1"/>
  <c r="B72" i="33"/>
  <c r="T71" i="33"/>
  <c r="P71" i="33"/>
  <c r="X71" i="33" s="1"/>
  <c r="Z71" i="33" s="1"/>
  <c r="L71" i="33"/>
  <c r="H71" i="33"/>
  <c r="D71" i="33"/>
  <c r="B71" i="33"/>
  <c r="Z70" i="33"/>
  <c r="X70" i="33"/>
  <c r="N70" i="33"/>
  <c r="L70" i="33"/>
  <c r="B70" i="33"/>
  <c r="Z69" i="33"/>
  <c r="X69" i="33"/>
  <c r="R69" i="33"/>
  <c r="N69" i="33"/>
  <c r="L69" i="33"/>
  <c r="B69" i="33"/>
  <c r="Z68" i="33"/>
  <c r="X68" i="33"/>
  <c r="N68" i="33"/>
  <c r="L68" i="33"/>
  <c r="B68" i="33"/>
  <c r="Z67" i="33"/>
  <c r="X67" i="33"/>
  <c r="N67" i="33"/>
  <c r="L67" i="33"/>
  <c r="B67" i="33"/>
  <c r="Z66" i="33"/>
  <c r="X66" i="33"/>
  <c r="N66" i="33"/>
  <c r="L66" i="33"/>
  <c r="J66" i="33"/>
  <c r="B66" i="33"/>
  <c r="T65" i="33"/>
  <c r="P65" i="33"/>
  <c r="H65" i="33"/>
  <c r="D65" i="33"/>
  <c r="B65" i="33"/>
  <c r="Z64" i="33"/>
  <c r="X64" i="33"/>
  <c r="L64" i="33"/>
  <c r="N64" i="33" s="1"/>
  <c r="B64" i="33"/>
  <c r="T63" i="33"/>
  <c r="P63" i="33"/>
  <c r="X63" i="33" s="1"/>
  <c r="Z63" i="33" s="1"/>
  <c r="H63" i="33"/>
  <c r="D63" i="33"/>
  <c r="L63" i="33" s="1"/>
  <c r="B63" i="33"/>
  <c r="X62" i="33"/>
  <c r="Z62" i="33" s="1"/>
  <c r="N62" i="33"/>
  <c r="L62" i="33"/>
  <c r="B62" i="33"/>
  <c r="X61" i="33"/>
  <c r="T61" i="33"/>
  <c r="P61" i="33"/>
  <c r="L61" i="33"/>
  <c r="N61" i="33" s="1"/>
  <c r="J61" i="33"/>
  <c r="H61" i="33"/>
  <c r="D61" i="33"/>
  <c r="B61" i="33"/>
  <c r="Z60" i="33"/>
  <c r="X60" i="33"/>
  <c r="N60" i="33"/>
  <c r="L60" i="33"/>
  <c r="B60" i="33"/>
  <c r="X59" i="33"/>
  <c r="Z59" i="33" s="1"/>
  <c r="N59" i="33"/>
  <c r="L59" i="33"/>
  <c r="B59" i="33"/>
  <c r="X58" i="33"/>
  <c r="T58" i="33"/>
  <c r="Z58" i="33" s="1"/>
  <c r="P58" i="33"/>
  <c r="N58" i="33"/>
  <c r="L58" i="33"/>
  <c r="H58" i="33"/>
  <c r="D58" i="33"/>
  <c r="B58" i="33"/>
  <c r="Z57" i="33"/>
  <c r="X57" i="33"/>
  <c r="L57" i="33"/>
  <c r="N57" i="33" s="1"/>
  <c r="B57" i="33"/>
  <c r="T56" i="33"/>
  <c r="P56" i="33"/>
  <c r="X56" i="33" s="1"/>
  <c r="H56" i="33"/>
  <c r="D56" i="33"/>
  <c r="L56" i="33" s="1"/>
  <c r="N56" i="33" s="1"/>
  <c r="B56" i="33"/>
  <c r="X55" i="33"/>
  <c r="Z55" i="33" s="1"/>
  <c r="L55" i="33"/>
  <c r="N55" i="33" s="1"/>
  <c r="B55" i="33"/>
  <c r="X54" i="33"/>
  <c r="T54" i="33"/>
  <c r="P54" i="33"/>
  <c r="L54" i="33"/>
  <c r="N54" i="33" s="1"/>
  <c r="J54" i="33"/>
  <c r="H54" i="33"/>
  <c r="D54" i="33"/>
  <c r="B54" i="33"/>
  <c r="Z53" i="33"/>
  <c r="X53" i="33"/>
  <c r="N53" i="33"/>
  <c r="L53" i="33"/>
  <c r="B53" i="33"/>
  <c r="Z52" i="33"/>
  <c r="X52" i="33"/>
  <c r="T52" i="33"/>
  <c r="P52" i="33"/>
  <c r="H52" i="33"/>
  <c r="D52" i="33"/>
  <c r="B52" i="33"/>
  <c r="Z51" i="33"/>
  <c r="X51" i="33"/>
  <c r="L51" i="33"/>
  <c r="N51" i="33" s="1"/>
  <c r="B51" i="33"/>
  <c r="V50" i="33"/>
  <c r="T50" i="33"/>
  <c r="P50" i="33"/>
  <c r="H50" i="33"/>
  <c r="D50" i="33"/>
  <c r="L50" i="33" s="1"/>
  <c r="B50" i="33"/>
  <c r="Z49" i="33"/>
  <c r="X49" i="33"/>
  <c r="N49" i="33"/>
  <c r="L49" i="33"/>
  <c r="F49" i="33"/>
  <c r="B49" i="33"/>
  <c r="Z48" i="33"/>
  <c r="X48" i="33"/>
  <c r="N48" i="33"/>
  <c r="L48" i="33"/>
  <c r="B48" i="33"/>
  <c r="Z47" i="33"/>
  <c r="X47" i="33"/>
  <c r="V47" i="33"/>
  <c r="N47" i="33"/>
  <c r="L47" i="33"/>
  <c r="B47" i="33"/>
  <c r="Z46" i="33"/>
  <c r="X46" i="33"/>
  <c r="N46" i="33"/>
  <c r="L46" i="33"/>
  <c r="B46" i="33"/>
  <c r="Z45" i="33"/>
  <c r="X45" i="33"/>
  <c r="V45" i="33"/>
  <c r="N45" i="33"/>
  <c r="L45" i="33"/>
  <c r="B45" i="33"/>
  <c r="Z44" i="33"/>
  <c r="X44" i="33"/>
  <c r="N44" i="33"/>
  <c r="L44" i="33"/>
  <c r="B44" i="33"/>
  <c r="Z43" i="33"/>
  <c r="X43" i="33"/>
  <c r="N43" i="33"/>
  <c r="L43" i="33"/>
  <c r="B43" i="33"/>
  <c r="Z42" i="33"/>
  <c r="X42" i="33"/>
  <c r="N42" i="33"/>
  <c r="L42" i="33"/>
  <c r="B42" i="33"/>
  <c r="X41" i="33"/>
  <c r="Z41" i="33" s="1"/>
  <c r="N41" i="33"/>
  <c r="L41" i="33"/>
  <c r="B41" i="33"/>
  <c r="Z40" i="33"/>
  <c r="X40" i="33"/>
  <c r="N40" i="33"/>
  <c r="L40" i="33"/>
  <c r="B40" i="33"/>
  <c r="T39" i="33"/>
  <c r="P39" i="33"/>
  <c r="X39" i="33" s="1"/>
  <c r="Z39" i="33" s="1"/>
  <c r="H39" i="33"/>
  <c r="D39" i="33"/>
  <c r="L39" i="33" s="1"/>
  <c r="B39" i="33"/>
  <c r="Z38" i="33"/>
  <c r="X38" i="33"/>
  <c r="N38" i="33"/>
  <c r="L38" i="33"/>
  <c r="J38" i="33"/>
  <c r="B38" i="33"/>
  <c r="Z37" i="33"/>
  <c r="X37" i="33"/>
  <c r="N37" i="33"/>
  <c r="L37" i="33"/>
  <c r="B37" i="33"/>
  <c r="Z36" i="33"/>
  <c r="X36" i="33"/>
  <c r="L36" i="33"/>
  <c r="N36" i="33" s="1"/>
  <c r="J36" i="33"/>
  <c r="F36" i="33"/>
  <c r="B36" i="33"/>
  <c r="Z35" i="33"/>
  <c r="X35" i="33"/>
  <c r="N35" i="33"/>
  <c r="L35" i="33"/>
  <c r="J35" i="33"/>
  <c r="B35" i="33"/>
  <c r="Z34" i="33"/>
  <c r="X34" i="33"/>
  <c r="N34" i="33"/>
  <c r="L34" i="33"/>
  <c r="B34" i="33"/>
  <c r="Z33" i="33"/>
  <c r="X33" i="33"/>
  <c r="N33" i="33"/>
  <c r="L33" i="33"/>
  <c r="J33" i="33"/>
  <c r="B33" i="33"/>
  <c r="X32" i="33"/>
  <c r="Z32" i="33" s="1"/>
  <c r="N32" i="33"/>
  <c r="L32" i="33"/>
  <c r="B32" i="33"/>
  <c r="Z31" i="33"/>
  <c r="X31" i="33"/>
  <c r="N31" i="33"/>
  <c r="L31" i="33"/>
  <c r="J31" i="33"/>
  <c r="B31" i="33"/>
  <c r="Z30" i="33"/>
  <c r="X30" i="33"/>
  <c r="N30" i="33"/>
  <c r="L30" i="33"/>
  <c r="J30" i="33"/>
  <c r="B30" i="33"/>
  <c r="T29" i="33"/>
  <c r="P29" i="33"/>
  <c r="L29" i="33"/>
  <c r="H29" i="33"/>
  <c r="D29" i="33"/>
  <c r="B29" i="33"/>
  <c r="T28" i="33"/>
  <c r="P28" i="33"/>
  <c r="H28" i="33"/>
  <c r="D28" i="33"/>
  <c r="F28" i="33" s="1"/>
  <c r="H26" i="33"/>
  <c r="T24" i="33"/>
  <c r="Z24" i="33" s="1"/>
  <c r="P24" i="33"/>
  <c r="X24" i="33" s="1"/>
  <c r="N24" i="33"/>
  <c r="H24" i="33"/>
  <c r="D24" i="33"/>
  <c r="L24" i="33" s="1"/>
  <c r="Z22" i="33"/>
  <c r="X22" i="33"/>
  <c r="P22" i="33"/>
  <c r="N22" i="33"/>
  <c r="L22" i="33"/>
  <c r="D22" i="33"/>
  <c r="B22" i="33"/>
  <c r="Z21" i="33"/>
  <c r="P21" i="33"/>
  <c r="X21" i="33" s="1"/>
  <c r="N21" i="33"/>
  <c r="D21" i="33"/>
  <c r="L21" i="33" s="1"/>
  <c r="B21" i="33"/>
  <c r="Z20" i="33"/>
  <c r="P20" i="33"/>
  <c r="X20" i="33" s="1"/>
  <c r="N20" i="33"/>
  <c r="L20" i="33"/>
  <c r="D20" i="33"/>
  <c r="B20" i="33"/>
  <c r="Z19" i="33"/>
  <c r="X19" i="33"/>
  <c r="P19" i="33"/>
  <c r="N19" i="33"/>
  <c r="L19" i="33"/>
  <c r="D19" i="33"/>
  <c r="B19" i="33"/>
  <c r="Z18" i="33"/>
  <c r="P18" i="33"/>
  <c r="X18" i="33" s="1"/>
  <c r="N18" i="33"/>
  <c r="D18" i="33"/>
  <c r="L18" i="33" s="1"/>
  <c r="B18" i="33"/>
  <c r="X17" i="33"/>
  <c r="Z17" i="33" s="1"/>
  <c r="P17" i="33"/>
  <c r="D17" i="33"/>
  <c r="L17" i="33" s="1"/>
  <c r="N17" i="33" s="1"/>
  <c r="B17" i="33"/>
  <c r="Z16" i="33"/>
  <c r="P16" i="33"/>
  <c r="X16" i="33" s="1"/>
  <c r="N16" i="33"/>
  <c r="D16" i="33"/>
  <c r="L16" i="33" s="1"/>
  <c r="B16" i="33"/>
  <c r="Z15" i="33"/>
  <c r="X15" i="33"/>
  <c r="P15" i="33"/>
  <c r="N15" i="33"/>
  <c r="L15" i="33"/>
  <c r="D15" i="33"/>
  <c r="B15" i="33"/>
  <c r="Z14" i="33"/>
  <c r="P14" i="33"/>
  <c r="X14" i="33" s="1"/>
  <c r="N14" i="33"/>
  <c r="L14" i="33"/>
  <c r="D14" i="33"/>
  <c r="B14" i="33"/>
  <c r="P13" i="33"/>
  <c r="X13" i="33" s="1"/>
  <c r="Z13" i="33" s="1"/>
  <c r="L13" i="33"/>
  <c r="N13" i="33" s="1"/>
  <c r="D13" i="33"/>
  <c r="D12" i="33" s="1"/>
  <c r="F66" i="33" s="1"/>
  <c r="B13" i="33"/>
  <c r="T12" i="33"/>
  <c r="P12" i="33"/>
  <c r="H12" i="33"/>
  <c r="J70" i="33" s="1"/>
  <c r="D4" i="33"/>
  <c r="X159" i="30"/>
  <c r="Z159" i="30" s="1"/>
  <c r="V159" i="30"/>
  <c r="N159" i="30"/>
  <c r="L159" i="30"/>
  <c r="Z155" i="30"/>
  <c r="X155" i="30"/>
  <c r="P155" i="30"/>
  <c r="N155" i="30"/>
  <c r="L155" i="30"/>
  <c r="J155" i="30"/>
  <c r="D155" i="30"/>
  <c r="B155" i="30"/>
  <c r="Z154" i="30"/>
  <c r="P154" i="30"/>
  <c r="X154" i="30" s="1"/>
  <c r="N154" i="30"/>
  <c r="J154" i="30"/>
  <c r="D154" i="30"/>
  <c r="L154" i="30" s="1"/>
  <c r="B154" i="30"/>
  <c r="P153" i="30"/>
  <c r="X153" i="30" s="1"/>
  <c r="Z153" i="30" s="1"/>
  <c r="D153" i="30"/>
  <c r="B153" i="30"/>
  <c r="T152" i="30"/>
  <c r="H152" i="30"/>
  <c r="Z150" i="30"/>
  <c r="X150" i="30"/>
  <c r="L150" i="30"/>
  <c r="N150" i="30" s="1"/>
  <c r="B150" i="30"/>
  <c r="X149" i="30"/>
  <c r="Z149" i="30" s="1"/>
  <c r="V149" i="30"/>
  <c r="T149" i="30"/>
  <c r="P149" i="30"/>
  <c r="J149" i="30"/>
  <c r="H149" i="30"/>
  <c r="D149" i="30"/>
  <c r="B149" i="30"/>
  <c r="Z148" i="30"/>
  <c r="X148" i="30"/>
  <c r="L148" i="30"/>
  <c r="N148" i="30" s="1"/>
  <c r="B148" i="30"/>
  <c r="X147" i="30"/>
  <c r="Z147" i="30" s="1"/>
  <c r="N147" i="30"/>
  <c r="L147" i="30"/>
  <c r="B147" i="30"/>
  <c r="X146" i="30"/>
  <c r="Z146" i="30" s="1"/>
  <c r="T146" i="30"/>
  <c r="P146" i="30"/>
  <c r="L146" i="30"/>
  <c r="N146" i="30" s="1"/>
  <c r="H146" i="30"/>
  <c r="D146" i="30"/>
  <c r="B146" i="30"/>
  <c r="Z145" i="30"/>
  <c r="X145" i="30"/>
  <c r="N145" i="30"/>
  <c r="L145" i="30"/>
  <c r="J145" i="30"/>
  <c r="B145" i="30"/>
  <c r="T144" i="30"/>
  <c r="P144" i="30"/>
  <c r="J144" i="30"/>
  <c r="H144" i="30"/>
  <c r="N144" i="30" s="1"/>
  <c r="D144" i="30"/>
  <c r="B144" i="30"/>
  <c r="Z143" i="30"/>
  <c r="X143" i="30"/>
  <c r="L143" i="30"/>
  <c r="N143" i="30" s="1"/>
  <c r="J143" i="30"/>
  <c r="B143" i="30"/>
  <c r="Z142" i="30"/>
  <c r="X142" i="30"/>
  <c r="L142" i="30"/>
  <c r="N142" i="30" s="1"/>
  <c r="B142" i="30"/>
  <c r="X141" i="30"/>
  <c r="Z141" i="30" s="1"/>
  <c r="T141" i="30"/>
  <c r="P141" i="30"/>
  <c r="J141" i="30"/>
  <c r="H141" i="30"/>
  <c r="D141" i="30"/>
  <c r="B141" i="30"/>
  <c r="Z140" i="30"/>
  <c r="X140" i="30"/>
  <c r="L140" i="30"/>
  <c r="N140" i="30" s="1"/>
  <c r="B140" i="30"/>
  <c r="X139" i="30"/>
  <c r="Z139" i="30" s="1"/>
  <c r="N139" i="30"/>
  <c r="L139" i="30"/>
  <c r="B139" i="30"/>
  <c r="X138" i="30"/>
  <c r="Z138" i="30" s="1"/>
  <c r="N138" i="30"/>
  <c r="L138" i="30"/>
  <c r="J138" i="30"/>
  <c r="B138" i="30"/>
  <c r="Z137" i="30"/>
  <c r="X137" i="30"/>
  <c r="N137" i="30"/>
  <c r="L137" i="30"/>
  <c r="B137" i="30"/>
  <c r="X136" i="30"/>
  <c r="Z136" i="30" s="1"/>
  <c r="L136" i="30"/>
  <c r="N136" i="30" s="1"/>
  <c r="F136" i="30"/>
  <c r="B136" i="30"/>
  <c r="X135" i="30"/>
  <c r="Z135" i="30" s="1"/>
  <c r="N135" i="30"/>
  <c r="L135" i="30"/>
  <c r="B135" i="30"/>
  <c r="X134" i="30"/>
  <c r="Z134" i="30" s="1"/>
  <c r="L134" i="30"/>
  <c r="N134" i="30" s="1"/>
  <c r="J134" i="30"/>
  <c r="B134" i="30"/>
  <c r="Z133" i="30"/>
  <c r="X133" i="30"/>
  <c r="N133" i="30"/>
  <c r="L133" i="30"/>
  <c r="B133" i="30"/>
  <c r="Z132" i="30"/>
  <c r="X132" i="30"/>
  <c r="T132" i="30"/>
  <c r="P132" i="30"/>
  <c r="L132" i="30"/>
  <c r="N132" i="30" s="1"/>
  <c r="J132" i="30"/>
  <c r="H132" i="30"/>
  <c r="D132" i="30"/>
  <c r="B132" i="30"/>
  <c r="Z131" i="30"/>
  <c r="X131" i="30"/>
  <c r="N131" i="30"/>
  <c r="L131" i="30"/>
  <c r="J131" i="30"/>
  <c r="B131" i="30"/>
  <c r="X130" i="30"/>
  <c r="Z130" i="30" s="1"/>
  <c r="V130" i="30"/>
  <c r="N130" i="30"/>
  <c r="L130" i="30"/>
  <c r="B130" i="30"/>
  <c r="T129" i="30"/>
  <c r="P129" i="30"/>
  <c r="X129" i="30" s="1"/>
  <c r="Z129" i="30" s="1"/>
  <c r="N129" i="30"/>
  <c r="L129" i="30"/>
  <c r="H129" i="30"/>
  <c r="D129" i="30"/>
  <c r="B129" i="30"/>
  <c r="Z128" i="30"/>
  <c r="X128" i="30"/>
  <c r="N128" i="30"/>
  <c r="L128" i="30"/>
  <c r="B128" i="30"/>
  <c r="Z127" i="30"/>
  <c r="X127" i="30"/>
  <c r="L127" i="30"/>
  <c r="N127" i="30" s="1"/>
  <c r="J127" i="30"/>
  <c r="B127" i="30"/>
  <c r="Z126" i="30"/>
  <c r="X126" i="30"/>
  <c r="N126" i="30"/>
  <c r="L126" i="30"/>
  <c r="J126" i="30"/>
  <c r="B126" i="30"/>
  <c r="Z125" i="30"/>
  <c r="X125" i="30"/>
  <c r="T125" i="30"/>
  <c r="P125" i="30"/>
  <c r="J125" i="30"/>
  <c r="H125" i="30"/>
  <c r="D125" i="30"/>
  <c r="B125" i="30"/>
  <c r="X124" i="30"/>
  <c r="Z124" i="30" s="1"/>
  <c r="L124" i="30"/>
  <c r="N124" i="30" s="1"/>
  <c r="B124" i="30"/>
  <c r="X123" i="30"/>
  <c r="Z123" i="30" s="1"/>
  <c r="V123" i="30"/>
  <c r="N123" i="30"/>
  <c r="L123" i="30"/>
  <c r="B123" i="30"/>
  <c r="X122" i="30"/>
  <c r="Z122" i="30" s="1"/>
  <c r="L122" i="30"/>
  <c r="N122" i="30" s="1"/>
  <c r="J122" i="30"/>
  <c r="B122" i="30"/>
  <c r="T121" i="30"/>
  <c r="P121" i="30"/>
  <c r="X121" i="30" s="1"/>
  <c r="J121" i="30"/>
  <c r="H121" i="30"/>
  <c r="D121" i="30"/>
  <c r="B121" i="30"/>
  <c r="X120" i="30"/>
  <c r="Z120" i="30" s="1"/>
  <c r="N120" i="30"/>
  <c r="L120" i="30"/>
  <c r="B120" i="30"/>
  <c r="Z119" i="30"/>
  <c r="X119" i="30"/>
  <c r="N119" i="30"/>
  <c r="L119" i="30"/>
  <c r="J119" i="30"/>
  <c r="B119" i="30"/>
  <c r="V118" i="30"/>
  <c r="T118" i="30"/>
  <c r="P118" i="30"/>
  <c r="H118" i="30"/>
  <c r="D118" i="30"/>
  <c r="B118" i="30"/>
  <c r="Z117" i="30"/>
  <c r="X117" i="30"/>
  <c r="N117" i="30"/>
  <c r="L117" i="30"/>
  <c r="B117" i="30"/>
  <c r="T116" i="30"/>
  <c r="P116" i="30"/>
  <c r="X116" i="30" s="1"/>
  <c r="Z116" i="30" s="1"/>
  <c r="H116" i="30"/>
  <c r="D116" i="30"/>
  <c r="L116" i="30" s="1"/>
  <c r="N116" i="30" s="1"/>
  <c r="B116" i="30"/>
  <c r="X115" i="30"/>
  <c r="Z115" i="30" s="1"/>
  <c r="N115" i="30"/>
  <c r="L115" i="30"/>
  <c r="B115" i="30"/>
  <c r="T114" i="30"/>
  <c r="P114" i="30"/>
  <c r="X114" i="30" s="1"/>
  <c r="Z114" i="30" s="1"/>
  <c r="N114" i="30"/>
  <c r="L114" i="30"/>
  <c r="H114" i="30"/>
  <c r="D114" i="30"/>
  <c r="B114" i="30"/>
  <c r="X113" i="30"/>
  <c r="Z113" i="30" s="1"/>
  <c r="N113" i="30"/>
  <c r="L113" i="30"/>
  <c r="J113" i="30"/>
  <c r="B113" i="30"/>
  <c r="T112" i="30"/>
  <c r="P112" i="30"/>
  <c r="J112" i="30"/>
  <c r="H112" i="30"/>
  <c r="D112" i="30"/>
  <c r="B112" i="30"/>
  <c r="Z111" i="30"/>
  <c r="X111" i="30"/>
  <c r="L111" i="30"/>
  <c r="N111" i="30" s="1"/>
  <c r="J111" i="30"/>
  <c r="B111" i="30"/>
  <c r="T110" i="30"/>
  <c r="Z110" i="30" s="1"/>
  <c r="P110" i="30"/>
  <c r="X110" i="30" s="1"/>
  <c r="H110" i="30"/>
  <c r="D110" i="30"/>
  <c r="B110" i="30"/>
  <c r="Z109" i="30"/>
  <c r="X109" i="30"/>
  <c r="N109" i="30"/>
  <c r="L109" i="30"/>
  <c r="B109" i="30"/>
  <c r="Z108" i="30"/>
  <c r="X108" i="30"/>
  <c r="N108" i="30"/>
  <c r="L108" i="30"/>
  <c r="B108" i="30"/>
  <c r="T107" i="30"/>
  <c r="P107" i="30"/>
  <c r="H107" i="30"/>
  <c r="N107" i="30" s="1"/>
  <c r="D107" i="30"/>
  <c r="L107" i="30" s="1"/>
  <c r="B107" i="30"/>
  <c r="X106" i="30"/>
  <c r="Z106" i="30" s="1"/>
  <c r="V106" i="30"/>
  <c r="N106" i="30"/>
  <c r="L106" i="30"/>
  <c r="B106" i="30"/>
  <c r="Z105" i="30"/>
  <c r="X105" i="30"/>
  <c r="N105" i="30"/>
  <c r="L105" i="30"/>
  <c r="J105" i="30"/>
  <c r="B105" i="30"/>
  <c r="T104" i="30"/>
  <c r="P104" i="30"/>
  <c r="H104" i="30"/>
  <c r="D104" i="30"/>
  <c r="B104" i="30"/>
  <c r="Z103" i="30"/>
  <c r="X103" i="30"/>
  <c r="N103" i="30"/>
  <c r="L103" i="30"/>
  <c r="J103" i="30"/>
  <c r="B103" i="30"/>
  <c r="T102" i="30"/>
  <c r="P102" i="30"/>
  <c r="X102" i="30" s="1"/>
  <c r="N102" i="30"/>
  <c r="H102" i="30"/>
  <c r="D102" i="30"/>
  <c r="L102" i="30" s="1"/>
  <c r="B102" i="30"/>
  <c r="Z101" i="30"/>
  <c r="X101" i="30"/>
  <c r="N101" i="30"/>
  <c r="L101" i="30"/>
  <c r="B101" i="30"/>
  <c r="Z100" i="30"/>
  <c r="X100" i="30"/>
  <c r="T100" i="30"/>
  <c r="P100" i="30"/>
  <c r="N100" i="30"/>
  <c r="J100" i="30"/>
  <c r="H100" i="30"/>
  <c r="D100" i="30"/>
  <c r="L100" i="30" s="1"/>
  <c r="B100" i="30"/>
  <c r="Z99" i="30"/>
  <c r="X99" i="30"/>
  <c r="N99" i="30"/>
  <c r="L99" i="30"/>
  <c r="J99" i="30"/>
  <c r="B99" i="30"/>
  <c r="T98" i="30"/>
  <c r="P98" i="30"/>
  <c r="H98" i="30"/>
  <c r="D98" i="30"/>
  <c r="B98" i="30"/>
  <c r="Z97" i="30"/>
  <c r="X97" i="30"/>
  <c r="N97" i="30"/>
  <c r="L97" i="30"/>
  <c r="B97" i="30"/>
  <c r="T96" i="30"/>
  <c r="P96" i="30"/>
  <c r="H96" i="30"/>
  <c r="D96" i="30"/>
  <c r="L96" i="30" s="1"/>
  <c r="B96" i="30"/>
  <c r="Z95" i="30"/>
  <c r="X95" i="30"/>
  <c r="N95" i="30"/>
  <c r="L95" i="30"/>
  <c r="B95" i="30"/>
  <c r="T94" i="30"/>
  <c r="P94" i="30"/>
  <c r="X94" i="30" s="1"/>
  <c r="Z94" i="30" s="1"/>
  <c r="L94" i="30"/>
  <c r="N94" i="30" s="1"/>
  <c r="H94" i="30"/>
  <c r="D94" i="30"/>
  <c r="B94" i="30"/>
  <c r="X93" i="30"/>
  <c r="Z93" i="30" s="1"/>
  <c r="N93" i="30"/>
  <c r="L93" i="30"/>
  <c r="J93" i="30"/>
  <c r="B93" i="30"/>
  <c r="T92" i="30"/>
  <c r="P92" i="30"/>
  <c r="H92" i="30"/>
  <c r="D92" i="30"/>
  <c r="B92" i="30"/>
  <c r="Z91" i="30"/>
  <c r="X91" i="30"/>
  <c r="N91" i="30"/>
  <c r="L91" i="30"/>
  <c r="J91" i="30"/>
  <c r="B91" i="30"/>
  <c r="Z90" i="30"/>
  <c r="X90" i="30"/>
  <c r="N90" i="30"/>
  <c r="L90" i="30"/>
  <c r="J90" i="30"/>
  <c r="B90" i="30"/>
  <c r="X89" i="30"/>
  <c r="Z89" i="30" s="1"/>
  <c r="V89" i="30"/>
  <c r="N89" i="30"/>
  <c r="L89" i="30"/>
  <c r="B89" i="30"/>
  <c r="Z88" i="30"/>
  <c r="X88" i="30"/>
  <c r="N88" i="30"/>
  <c r="L88" i="30"/>
  <c r="B88" i="30"/>
  <c r="Z87" i="30"/>
  <c r="X87" i="30"/>
  <c r="V87" i="30"/>
  <c r="N87" i="30"/>
  <c r="L87" i="30"/>
  <c r="J87" i="30"/>
  <c r="B87" i="30"/>
  <c r="Z86" i="30"/>
  <c r="X86" i="30"/>
  <c r="N86" i="30"/>
  <c r="L86" i="30"/>
  <c r="J86" i="30"/>
  <c r="B86" i="30"/>
  <c r="Z85" i="30"/>
  <c r="X85" i="30"/>
  <c r="N85" i="30"/>
  <c r="L85" i="30"/>
  <c r="B85" i="30"/>
  <c r="Z84" i="30"/>
  <c r="X84" i="30"/>
  <c r="N84" i="30"/>
  <c r="L84" i="30"/>
  <c r="B84" i="30"/>
  <c r="Z83" i="30"/>
  <c r="X83" i="30"/>
  <c r="N83" i="30"/>
  <c r="L83" i="30"/>
  <c r="J83" i="30"/>
  <c r="B83" i="30"/>
  <c r="Z82" i="30"/>
  <c r="X82" i="30"/>
  <c r="N82" i="30"/>
  <c r="L82" i="30"/>
  <c r="J82" i="30"/>
  <c r="B82" i="30"/>
  <c r="Z81" i="30"/>
  <c r="X81" i="30"/>
  <c r="V81" i="30"/>
  <c r="T81" i="30"/>
  <c r="P81" i="30"/>
  <c r="H81" i="30"/>
  <c r="D81" i="30"/>
  <c r="B81" i="30"/>
  <c r="Z80" i="30"/>
  <c r="X80" i="30"/>
  <c r="L80" i="30"/>
  <c r="N80" i="30" s="1"/>
  <c r="B80" i="30"/>
  <c r="X79" i="30"/>
  <c r="Z79" i="30" s="1"/>
  <c r="V79" i="30"/>
  <c r="N79" i="30"/>
  <c r="L79" i="30"/>
  <c r="B79" i="30"/>
  <c r="X78" i="30"/>
  <c r="Z78" i="30" s="1"/>
  <c r="V78" i="30"/>
  <c r="L78" i="30"/>
  <c r="N78" i="30" s="1"/>
  <c r="J78" i="30"/>
  <c r="B78" i="30"/>
  <c r="Z77" i="30"/>
  <c r="X77" i="30"/>
  <c r="N77" i="30"/>
  <c r="L77" i="30"/>
  <c r="B77" i="30"/>
  <c r="Z76" i="30"/>
  <c r="X76" i="30"/>
  <c r="L76" i="30"/>
  <c r="N76" i="30" s="1"/>
  <c r="B76" i="30"/>
  <c r="X75" i="30"/>
  <c r="Z75" i="30" s="1"/>
  <c r="N75" i="30"/>
  <c r="L75" i="30"/>
  <c r="B75" i="30"/>
  <c r="X74" i="30"/>
  <c r="Z74" i="30" s="1"/>
  <c r="V74" i="30"/>
  <c r="L74" i="30"/>
  <c r="N74" i="30" s="1"/>
  <c r="J74" i="30"/>
  <c r="B74" i="30"/>
  <c r="X73" i="30"/>
  <c r="Z73" i="30" s="1"/>
  <c r="L73" i="30"/>
  <c r="N73" i="30" s="1"/>
  <c r="B73" i="30"/>
  <c r="Z72" i="30"/>
  <c r="X72" i="30"/>
  <c r="L72" i="30"/>
  <c r="N72" i="30" s="1"/>
  <c r="B72" i="30"/>
  <c r="V71" i="30"/>
  <c r="T71" i="30"/>
  <c r="P71" i="30"/>
  <c r="X71" i="30" s="1"/>
  <c r="H71" i="30"/>
  <c r="D71" i="30"/>
  <c r="L71" i="30" s="1"/>
  <c r="B71" i="30"/>
  <c r="T70" i="30"/>
  <c r="P70" i="30"/>
  <c r="H70" i="30"/>
  <c r="D70" i="30"/>
  <c r="H68" i="30"/>
  <c r="Z66" i="30"/>
  <c r="X66" i="30"/>
  <c r="V66" i="30"/>
  <c r="N66" i="30"/>
  <c r="L66" i="30"/>
  <c r="B66" i="30"/>
  <c r="Z65" i="30"/>
  <c r="X65" i="30"/>
  <c r="V65" i="30"/>
  <c r="N65" i="30"/>
  <c r="L65" i="30"/>
  <c r="J65" i="30"/>
  <c r="B65" i="30"/>
  <c r="Z64" i="30"/>
  <c r="X64" i="30"/>
  <c r="N64" i="30"/>
  <c r="L64" i="30"/>
  <c r="B64" i="30"/>
  <c r="Z63" i="30"/>
  <c r="X63" i="30"/>
  <c r="N63" i="30"/>
  <c r="L63" i="30"/>
  <c r="J63" i="30"/>
  <c r="B63" i="30"/>
  <c r="Z62" i="30"/>
  <c r="X62" i="30"/>
  <c r="V62" i="30"/>
  <c r="N62" i="30"/>
  <c r="L62" i="30"/>
  <c r="B62" i="30"/>
  <c r="Z61" i="30"/>
  <c r="X61" i="30"/>
  <c r="V61" i="30"/>
  <c r="N61" i="30"/>
  <c r="L61" i="30"/>
  <c r="J61" i="30"/>
  <c r="B61" i="30"/>
  <c r="Z60" i="30"/>
  <c r="X60" i="30"/>
  <c r="N60" i="30"/>
  <c r="L60" i="30"/>
  <c r="B60" i="30"/>
  <c r="Z59" i="30"/>
  <c r="X59" i="30"/>
  <c r="N59" i="30"/>
  <c r="L59" i="30"/>
  <c r="J59" i="30"/>
  <c r="B59" i="30"/>
  <c r="Z58" i="30"/>
  <c r="X58" i="30"/>
  <c r="V58" i="30"/>
  <c r="N58" i="30"/>
  <c r="L58" i="30"/>
  <c r="B58" i="30"/>
  <c r="Z57" i="30"/>
  <c r="X57" i="30"/>
  <c r="N57" i="30"/>
  <c r="L57" i="30"/>
  <c r="J57" i="30"/>
  <c r="B57" i="30"/>
  <c r="Z56" i="30"/>
  <c r="X56" i="30"/>
  <c r="N56" i="30"/>
  <c r="L56" i="30"/>
  <c r="F56" i="30"/>
  <c r="B56" i="30"/>
  <c r="Z55" i="30"/>
  <c r="X55" i="30"/>
  <c r="N55" i="30"/>
  <c r="L55" i="30"/>
  <c r="J55" i="30"/>
  <c r="B55" i="30"/>
  <c r="Z54" i="30"/>
  <c r="X54" i="30"/>
  <c r="V54" i="30"/>
  <c r="N54" i="30"/>
  <c r="L54" i="30"/>
  <c r="B54" i="30"/>
  <c r="Z53" i="30"/>
  <c r="X53" i="30"/>
  <c r="V53" i="30"/>
  <c r="N53" i="30"/>
  <c r="L53" i="30"/>
  <c r="J53" i="30"/>
  <c r="B53" i="30"/>
  <c r="Z52" i="30"/>
  <c r="X52" i="30"/>
  <c r="N52" i="30"/>
  <c r="L52" i="30"/>
  <c r="B52" i="30"/>
  <c r="Z51" i="30"/>
  <c r="X51" i="30"/>
  <c r="N51" i="30"/>
  <c r="L51" i="30"/>
  <c r="J51" i="30"/>
  <c r="B51" i="30"/>
  <c r="T50" i="30"/>
  <c r="T68" i="30" s="1"/>
  <c r="P50" i="30"/>
  <c r="H50" i="30"/>
  <c r="D50" i="30"/>
  <c r="L50" i="30" s="1"/>
  <c r="Z48" i="30"/>
  <c r="P48" i="30"/>
  <c r="X48" i="30" s="1"/>
  <c r="N48" i="30"/>
  <c r="D48" i="30"/>
  <c r="L48" i="30" s="1"/>
  <c r="B48" i="30"/>
  <c r="Z47" i="30"/>
  <c r="P47" i="30"/>
  <c r="X47" i="30" s="1"/>
  <c r="N47" i="30"/>
  <c r="L47" i="30"/>
  <c r="D47" i="30"/>
  <c r="B47" i="30"/>
  <c r="Z46" i="30"/>
  <c r="X46" i="30"/>
  <c r="P46" i="30"/>
  <c r="N46" i="30"/>
  <c r="D46" i="30"/>
  <c r="L46" i="30" s="1"/>
  <c r="B46" i="30"/>
  <c r="Z45" i="30"/>
  <c r="X45" i="30"/>
  <c r="P45" i="30"/>
  <c r="N45" i="30"/>
  <c r="L45" i="30"/>
  <c r="D45" i="30"/>
  <c r="B45" i="30"/>
  <c r="Z44" i="30"/>
  <c r="X44" i="30"/>
  <c r="P44" i="30"/>
  <c r="N44" i="30"/>
  <c r="D44" i="30"/>
  <c r="L44" i="30" s="1"/>
  <c r="B44" i="30"/>
  <c r="Z43" i="30"/>
  <c r="P43" i="30"/>
  <c r="X43" i="30" s="1"/>
  <c r="N43" i="30"/>
  <c r="L43" i="30"/>
  <c r="D43" i="30"/>
  <c r="B43" i="30"/>
  <c r="Z42" i="30"/>
  <c r="X42" i="30"/>
  <c r="P42" i="30"/>
  <c r="N42" i="30"/>
  <c r="L42" i="30"/>
  <c r="D42" i="30"/>
  <c r="B42" i="30"/>
  <c r="Z41" i="30"/>
  <c r="P41" i="30"/>
  <c r="X41" i="30" s="1"/>
  <c r="N41" i="30"/>
  <c r="L41" i="30"/>
  <c r="D41" i="30"/>
  <c r="B41" i="30"/>
  <c r="Z40" i="30"/>
  <c r="X40" i="30"/>
  <c r="P40" i="30"/>
  <c r="N40" i="30"/>
  <c r="D40" i="30"/>
  <c r="L40" i="30" s="1"/>
  <c r="B40" i="30"/>
  <c r="Z39" i="30"/>
  <c r="P39" i="30"/>
  <c r="X39" i="30" s="1"/>
  <c r="N39" i="30"/>
  <c r="L39" i="30"/>
  <c r="D39" i="30"/>
  <c r="B39" i="30"/>
  <c r="Z38" i="30"/>
  <c r="X38" i="30"/>
  <c r="P38" i="30"/>
  <c r="N38" i="30"/>
  <c r="L38" i="30"/>
  <c r="D38" i="30"/>
  <c r="B38" i="30"/>
  <c r="Z37" i="30"/>
  <c r="P37" i="30"/>
  <c r="X37" i="30" s="1"/>
  <c r="N37" i="30"/>
  <c r="D37" i="30"/>
  <c r="L37" i="30" s="1"/>
  <c r="B37" i="30"/>
  <c r="Z36" i="30"/>
  <c r="X36" i="30"/>
  <c r="P36" i="30"/>
  <c r="N36" i="30"/>
  <c r="D36" i="30"/>
  <c r="L36" i="30" s="1"/>
  <c r="B36" i="30"/>
  <c r="Z35" i="30"/>
  <c r="P35" i="30"/>
  <c r="X35" i="30" s="1"/>
  <c r="N35" i="30"/>
  <c r="L35" i="30"/>
  <c r="D35" i="30"/>
  <c r="B35" i="30"/>
  <c r="Z34" i="30"/>
  <c r="X34" i="30"/>
  <c r="P34" i="30"/>
  <c r="N34" i="30"/>
  <c r="D34" i="30"/>
  <c r="L34" i="30" s="1"/>
  <c r="B34" i="30"/>
  <c r="Z33" i="30"/>
  <c r="X33" i="30"/>
  <c r="P33" i="30"/>
  <c r="N33" i="30"/>
  <c r="L33" i="30"/>
  <c r="D33" i="30"/>
  <c r="B33" i="30"/>
  <c r="Z32" i="30"/>
  <c r="X32" i="30"/>
  <c r="P32" i="30"/>
  <c r="N32" i="30"/>
  <c r="D32" i="30"/>
  <c r="L32" i="30" s="1"/>
  <c r="B32" i="30"/>
  <c r="Z31" i="30"/>
  <c r="P31" i="30"/>
  <c r="X31" i="30" s="1"/>
  <c r="N31" i="30"/>
  <c r="L31" i="30"/>
  <c r="D31" i="30"/>
  <c r="B31" i="30"/>
  <c r="Z30" i="30"/>
  <c r="X30" i="30"/>
  <c r="P30" i="30"/>
  <c r="N30" i="30"/>
  <c r="D30" i="30"/>
  <c r="L30" i="30" s="1"/>
  <c r="B30" i="30"/>
  <c r="Z29" i="30"/>
  <c r="P29" i="30"/>
  <c r="X29" i="30" s="1"/>
  <c r="N29" i="30"/>
  <c r="L29" i="30"/>
  <c r="D29" i="30"/>
  <c r="B29" i="30"/>
  <c r="Z28" i="30"/>
  <c r="P28" i="30"/>
  <c r="X28" i="30" s="1"/>
  <c r="N28" i="30"/>
  <c r="D28" i="30"/>
  <c r="L28" i="30" s="1"/>
  <c r="B28" i="30"/>
  <c r="Z27" i="30"/>
  <c r="X27" i="30"/>
  <c r="P27" i="30"/>
  <c r="N27" i="30"/>
  <c r="L27" i="30"/>
  <c r="D27" i="30"/>
  <c r="B27" i="30"/>
  <c r="Z26" i="30"/>
  <c r="X26" i="30"/>
  <c r="P26" i="30"/>
  <c r="N26" i="30"/>
  <c r="D26" i="30"/>
  <c r="L26" i="30" s="1"/>
  <c r="B26" i="30"/>
  <c r="Z25" i="30"/>
  <c r="P25" i="30"/>
  <c r="X25" i="30" s="1"/>
  <c r="N25" i="30"/>
  <c r="D25" i="30"/>
  <c r="L25" i="30" s="1"/>
  <c r="B25" i="30"/>
  <c r="Z24" i="30"/>
  <c r="X24" i="30"/>
  <c r="P24" i="30"/>
  <c r="N24" i="30"/>
  <c r="D24" i="30"/>
  <c r="L24" i="30" s="1"/>
  <c r="B24" i="30"/>
  <c r="Z23" i="30"/>
  <c r="X23" i="30"/>
  <c r="P23" i="30"/>
  <c r="N23" i="30"/>
  <c r="L23" i="30"/>
  <c r="D23" i="30"/>
  <c r="B23" i="30"/>
  <c r="Z22" i="30"/>
  <c r="P22" i="30"/>
  <c r="X22" i="30" s="1"/>
  <c r="N22" i="30"/>
  <c r="D22" i="30"/>
  <c r="L22" i="30" s="1"/>
  <c r="B22" i="30"/>
  <c r="Z21" i="30"/>
  <c r="P21" i="30"/>
  <c r="X21" i="30" s="1"/>
  <c r="N21" i="30"/>
  <c r="D21" i="30"/>
  <c r="L21" i="30" s="1"/>
  <c r="B21" i="30"/>
  <c r="Z20" i="30"/>
  <c r="X20" i="30"/>
  <c r="P20" i="30"/>
  <c r="N20" i="30"/>
  <c r="L20" i="30"/>
  <c r="D20" i="30"/>
  <c r="B20" i="30"/>
  <c r="Z19" i="30"/>
  <c r="P19" i="30"/>
  <c r="X19" i="30" s="1"/>
  <c r="N19" i="30"/>
  <c r="L19" i="30"/>
  <c r="D19" i="30"/>
  <c r="B19" i="30"/>
  <c r="Z18" i="30"/>
  <c r="X18" i="30"/>
  <c r="P18" i="30"/>
  <c r="N18" i="30"/>
  <c r="L18" i="30"/>
  <c r="D18" i="30"/>
  <c r="B18" i="30"/>
  <c r="Z17" i="30"/>
  <c r="P17" i="30"/>
  <c r="X17" i="30" s="1"/>
  <c r="N17" i="30"/>
  <c r="L17" i="30"/>
  <c r="D17" i="30"/>
  <c r="B17" i="30"/>
  <c r="Z16" i="30"/>
  <c r="X16" i="30"/>
  <c r="P16" i="30"/>
  <c r="N16" i="30"/>
  <c r="D16" i="30"/>
  <c r="L16" i="30" s="1"/>
  <c r="B16" i="30"/>
  <c r="Z15" i="30"/>
  <c r="X15" i="30"/>
  <c r="P15" i="30"/>
  <c r="P12" i="30" s="1"/>
  <c r="N15" i="30"/>
  <c r="D15" i="30"/>
  <c r="L15" i="30" s="1"/>
  <c r="B15" i="30"/>
  <c r="Z14" i="30"/>
  <c r="X14" i="30"/>
  <c r="P14" i="30"/>
  <c r="N14" i="30"/>
  <c r="D14" i="30"/>
  <c r="L14" i="30" s="1"/>
  <c r="B14" i="30"/>
  <c r="Z13" i="30"/>
  <c r="P13" i="30"/>
  <c r="X13" i="30" s="1"/>
  <c r="L13" i="30"/>
  <c r="N13" i="30" s="1"/>
  <c r="D13" i="30"/>
  <c r="D12" i="30" s="1"/>
  <c r="F127" i="30" s="1"/>
  <c r="B13" i="30"/>
  <c r="T12" i="30"/>
  <c r="V135" i="30" s="1"/>
  <c r="H12" i="30"/>
  <c r="J146" i="30" s="1"/>
  <c r="D4" i="30"/>
  <c r="Z110" i="27"/>
  <c r="X110" i="27"/>
  <c r="L110" i="27"/>
  <c r="N110" i="27" s="1"/>
  <c r="Z106" i="27"/>
  <c r="P106" i="27"/>
  <c r="X106" i="27" s="1"/>
  <c r="N106" i="27"/>
  <c r="D106" i="27"/>
  <c r="L106" i="27" s="1"/>
  <c r="B106" i="27"/>
  <c r="P105" i="27"/>
  <c r="X105" i="27" s="1"/>
  <c r="Z105" i="27" s="1"/>
  <c r="D105" i="27"/>
  <c r="L105" i="27" s="1"/>
  <c r="N105" i="27" s="1"/>
  <c r="B105" i="27"/>
  <c r="Z104" i="27"/>
  <c r="X104" i="27"/>
  <c r="P104" i="27"/>
  <c r="L104" i="27"/>
  <c r="N104" i="27" s="1"/>
  <c r="D104" i="27"/>
  <c r="B104" i="27"/>
  <c r="T103" i="27"/>
  <c r="H103" i="27"/>
  <c r="D103" i="27"/>
  <c r="L103" i="27" s="1"/>
  <c r="N103" i="27" s="1"/>
  <c r="Z101" i="27"/>
  <c r="X101" i="27"/>
  <c r="N101" i="27"/>
  <c r="L101" i="27"/>
  <c r="B101" i="27"/>
  <c r="V100" i="27"/>
  <c r="T100" i="27"/>
  <c r="P100" i="27"/>
  <c r="H100" i="27"/>
  <c r="N100" i="27" s="1"/>
  <c r="D100" i="27"/>
  <c r="L100" i="27" s="1"/>
  <c r="B100" i="27"/>
  <c r="X99" i="27"/>
  <c r="Z99" i="27" s="1"/>
  <c r="V99" i="27"/>
  <c r="N99" i="27"/>
  <c r="L99" i="27"/>
  <c r="B99" i="27"/>
  <c r="Z98" i="27"/>
  <c r="X98" i="27"/>
  <c r="L98" i="27"/>
  <c r="N98" i="27" s="1"/>
  <c r="B98" i="27"/>
  <c r="T97" i="27"/>
  <c r="P97" i="27"/>
  <c r="L97" i="27"/>
  <c r="H97" i="27"/>
  <c r="D97" i="27"/>
  <c r="B97" i="27"/>
  <c r="X96" i="27"/>
  <c r="Z96" i="27" s="1"/>
  <c r="V96" i="27"/>
  <c r="L96" i="27"/>
  <c r="N96" i="27" s="1"/>
  <c r="B96" i="27"/>
  <c r="Z95" i="27"/>
  <c r="X95" i="27"/>
  <c r="L95" i="27"/>
  <c r="N95" i="27" s="1"/>
  <c r="B95" i="27"/>
  <c r="Z94" i="27"/>
  <c r="X94" i="27"/>
  <c r="V94" i="27"/>
  <c r="L94" i="27"/>
  <c r="N94" i="27" s="1"/>
  <c r="B94" i="27"/>
  <c r="T93" i="27"/>
  <c r="P93" i="27"/>
  <c r="X93" i="27" s="1"/>
  <c r="H93" i="27"/>
  <c r="D93" i="27"/>
  <c r="L93" i="27" s="1"/>
  <c r="N93" i="27" s="1"/>
  <c r="B93" i="27"/>
  <c r="X92" i="27"/>
  <c r="Z92" i="27" s="1"/>
  <c r="V92" i="27"/>
  <c r="N92" i="27"/>
  <c r="L92" i="27"/>
  <c r="B92" i="27"/>
  <c r="V91" i="27"/>
  <c r="T91" i="27"/>
  <c r="P91" i="27"/>
  <c r="X91" i="27" s="1"/>
  <c r="Z91" i="27" s="1"/>
  <c r="L91" i="27"/>
  <c r="N91" i="27" s="1"/>
  <c r="H91" i="27"/>
  <c r="D91" i="27"/>
  <c r="B91" i="27"/>
  <c r="Z90" i="27"/>
  <c r="X90" i="27"/>
  <c r="N90" i="27"/>
  <c r="L90" i="27"/>
  <c r="B90" i="27"/>
  <c r="Z89" i="27"/>
  <c r="X89" i="27"/>
  <c r="N89" i="27"/>
  <c r="L89" i="27"/>
  <c r="B89" i="27"/>
  <c r="T88" i="27"/>
  <c r="P88" i="27"/>
  <c r="X88" i="27" s="1"/>
  <c r="Z88" i="27" s="1"/>
  <c r="H88" i="27"/>
  <c r="D88" i="27"/>
  <c r="L88" i="27" s="1"/>
  <c r="N88" i="27" s="1"/>
  <c r="B88" i="27"/>
  <c r="Z87" i="27"/>
  <c r="X87" i="27"/>
  <c r="L87" i="27"/>
  <c r="N87" i="27" s="1"/>
  <c r="B87" i="27"/>
  <c r="X86" i="27"/>
  <c r="Z86" i="27" s="1"/>
  <c r="V86" i="27"/>
  <c r="T86" i="27"/>
  <c r="P86" i="27"/>
  <c r="H86" i="27"/>
  <c r="D86" i="27"/>
  <c r="B86" i="27"/>
  <c r="Z85" i="27"/>
  <c r="X85" i="27"/>
  <c r="N85" i="27"/>
  <c r="L85" i="27"/>
  <c r="B85" i="27"/>
  <c r="X84" i="27"/>
  <c r="Z84" i="27" s="1"/>
  <c r="V84" i="27"/>
  <c r="N84" i="27"/>
  <c r="L84" i="27"/>
  <c r="B84" i="27"/>
  <c r="X83" i="27"/>
  <c r="Z83" i="27" s="1"/>
  <c r="V83" i="27"/>
  <c r="T83" i="27"/>
  <c r="P83" i="27"/>
  <c r="N83" i="27"/>
  <c r="L83" i="27"/>
  <c r="H83" i="27"/>
  <c r="D83" i="27"/>
  <c r="B83" i="27"/>
  <c r="Z82" i="27"/>
  <c r="X82" i="27"/>
  <c r="L82" i="27"/>
  <c r="N82" i="27" s="1"/>
  <c r="B82" i="27"/>
  <c r="T81" i="27"/>
  <c r="P81" i="27"/>
  <c r="H81" i="27"/>
  <c r="D81" i="27"/>
  <c r="B81" i="27"/>
  <c r="X80" i="27"/>
  <c r="Z80" i="27" s="1"/>
  <c r="V80" i="27"/>
  <c r="L80" i="27"/>
  <c r="N80" i="27" s="1"/>
  <c r="B80" i="27"/>
  <c r="T79" i="27"/>
  <c r="Z79" i="27" s="1"/>
  <c r="P79" i="27"/>
  <c r="X79" i="27" s="1"/>
  <c r="H79" i="27"/>
  <c r="D79" i="27"/>
  <c r="B79" i="27"/>
  <c r="X78" i="27"/>
  <c r="Z78" i="27" s="1"/>
  <c r="N78" i="27"/>
  <c r="L78" i="27"/>
  <c r="B78" i="27"/>
  <c r="Z77" i="27"/>
  <c r="X77" i="27"/>
  <c r="T77" i="27"/>
  <c r="P77" i="27"/>
  <c r="L77" i="27"/>
  <c r="N77" i="27" s="1"/>
  <c r="H77" i="27"/>
  <c r="D77" i="27"/>
  <c r="B77" i="27"/>
  <c r="Z76" i="27"/>
  <c r="X76" i="27"/>
  <c r="L76" i="27"/>
  <c r="N76" i="27" s="1"/>
  <c r="B76" i="27"/>
  <c r="V75" i="27"/>
  <c r="T75" i="27"/>
  <c r="P75" i="27"/>
  <c r="H75" i="27"/>
  <c r="D75" i="27"/>
  <c r="B75" i="27"/>
  <c r="Z74" i="27"/>
  <c r="X74" i="27"/>
  <c r="V74" i="27"/>
  <c r="L74" i="27"/>
  <c r="N74" i="27" s="1"/>
  <c r="B74" i="27"/>
  <c r="T73" i="27"/>
  <c r="P73" i="27"/>
  <c r="X73" i="27" s="1"/>
  <c r="H73" i="27"/>
  <c r="N73" i="27" s="1"/>
  <c r="D73" i="27"/>
  <c r="L73" i="27" s="1"/>
  <c r="B73" i="27"/>
  <c r="Z72" i="27"/>
  <c r="X72" i="27"/>
  <c r="V72" i="27"/>
  <c r="N72" i="27"/>
  <c r="L72" i="27"/>
  <c r="B72" i="27"/>
  <c r="Z71" i="27"/>
  <c r="X71" i="27"/>
  <c r="V71" i="27"/>
  <c r="N71" i="27"/>
  <c r="L71" i="27"/>
  <c r="B71" i="27"/>
  <c r="X70" i="27"/>
  <c r="Z70" i="27" s="1"/>
  <c r="N70" i="27"/>
  <c r="L70" i="27"/>
  <c r="B70" i="27"/>
  <c r="Z69" i="27"/>
  <c r="X69" i="27"/>
  <c r="N69" i="27"/>
  <c r="L69" i="27"/>
  <c r="B69" i="27"/>
  <c r="Z68" i="27"/>
  <c r="X68" i="27"/>
  <c r="V68" i="27"/>
  <c r="N68" i="27"/>
  <c r="L68" i="27"/>
  <c r="B68" i="27"/>
  <c r="X67" i="27"/>
  <c r="Z67" i="27" s="1"/>
  <c r="V67" i="27"/>
  <c r="L67" i="27"/>
  <c r="N67" i="27" s="1"/>
  <c r="B67" i="27"/>
  <c r="X66" i="27"/>
  <c r="Z66" i="27" s="1"/>
  <c r="N66" i="27"/>
  <c r="L66" i="27"/>
  <c r="B66" i="27"/>
  <c r="Z65" i="27"/>
  <c r="X65" i="27"/>
  <c r="N65" i="27"/>
  <c r="L65" i="27"/>
  <c r="B65" i="27"/>
  <c r="X64" i="27"/>
  <c r="Z64" i="27" s="1"/>
  <c r="V64" i="27"/>
  <c r="N64" i="27"/>
  <c r="L64" i="27"/>
  <c r="B64" i="27"/>
  <c r="Z63" i="27"/>
  <c r="X63" i="27"/>
  <c r="V63" i="27"/>
  <c r="N63" i="27"/>
  <c r="L63" i="27"/>
  <c r="B63" i="27"/>
  <c r="T62" i="27"/>
  <c r="P62" i="27"/>
  <c r="X62" i="27" s="1"/>
  <c r="H62" i="27"/>
  <c r="D62" i="27"/>
  <c r="L62" i="27" s="1"/>
  <c r="B62" i="27"/>
  <c r="X61" i="27"/>
  <c r="Z61" i="27" s="1"/>
  <c r="N61" i="27"/>
  <c r="L61" i="27"/>
  <c r="B61" i="27"/>
  <c r="Z60" i="27"/>
  <c r="X60" i="27"/>
  <c r="L60" i="27"/>
  <c r="N60" i="27" s="1"/>
  <c r="B60" i="27"/>
  <c r="X59" i="27"/>
  <c r="Z59" i="27" s="1"/>
  <c r="V59" i="27"/>
  <c r="N59" i="27"/>
  <c r="L59" i="27"/>
  <c r="B59" i="27"/>
  <c r="Z58" i="27"/>
  <c r="X58" i="27"/>
  <c r="N58" i="27"/>
  <c r="L58" i="27"/>
  <c r="B58" i="27"/>
  <c r="Z57" i="27"/>
  <c r="X57" i="27"/>
  <c r="N57" i="27"/>
  <c r="L57" i="27"/>
  <c r="B57" i="27"/>
  <c r="Z56" i="27"/>
  <c r="X56" i="27"/>
  <c r="L56" i="27"/>
  <c r="N56" i="27" s="1"/>
  <c r="B56" i="27"/>
  <c r="X55" i="27"/>
  <c r="Z55" i="27" s="1"/>
  <c r="V55" i="27"/>
  <c r="N55" i="27"/>
  <c r="L55" i="27"/>
  <c r="B55" i="27"/>
  <c r="Z54" i="27"/>
  <c r="X54" i="27"/>
  <c r="N54" i="27"/>
  <c r="L54" i="27"/>
  <c r="B54" i="27"/>
  <c r="X53" i="27"/>
  <c r="Z53" i="27" s="1"/>
  <c r="N53" i="27"/>
  <c r="L53" i="27"/>
  <c r="B53" i="27"/>
  <c r="Z52" i="27"/>
  <c r="X52" i="27"/>
  <c r="L52" i="27"/>
  <c r="N52" i="27" s="1"/>
  <c r="B52" i="27"/>
  <c r="V51" i="27"/>
  <c r="T51" i="27"/>
  <c r="P51" i="27"/>
  <c r="H51" i="27"/>
  <c r="D51" i="27"/>
  <c r="B51" i="27"/>
  <c r="T50" i="27"/>
  <c r="P50" i="27"/>
  <c r="X50" i="27" s="1"/>
  <c r="H50" i="27"/>
  <c r="D50" i="27"/>
  <c r="L50" i="27" s="1"/>
  <c r="V48" i="27"/>
  <c r="Z46" i="27"/>
  <c r="X46" i="27"/>
  <c r="V46" i="27"/>
  <c r="N46" i="27"/>
  <c r="L46" i="27"/>
  <c r="B46" i="27"/>
  <c r="Z45" i="27"/>
  <c r="X45" i="27"/>
  <c r="V45" i="27"/>
  <c r="N45" i="27"/>
  <c r="L45" i="27"/>
  <c r="B45" i="27"/>
  <c r="Z44" i="27"/>
  <c r="X44" i="27"/>
  <c r="V44" i="27"/>
  <c r="N44" i="27"/>
  <c r="L44" i="27"/>
  <c r="B44" i="27"/>
  <c r="Z43" i="27"/>
  <c r="X43" i="27"/>
  <c r="V43" i="27"/>
  <c r="N43" i="27"/>
  <c r="L43" i="27"/>
  <c r="B43" i="27"/>
  <c r="Z42" i="27"/>
  <c r="X42" i="27"/>
  <c r="V42" i="27"/>
  <c r="N42" i="27"/>
  <c r="L42" i="27"/>
  <c r="B42" i="27"/>
  <c r="Z41" i="27"/>
  <c r="X41" i="27"/>
  <c r="V41" i="27"/>
  <c r="N41" i="27"/>
  <c r="L41" i="27"/>
  <c r="B41" i="27"/>
  <c r="Z40" i="27"/>
  <c r="X40" i="27"/>
  <c r="V40" i="27"/>
  <c r="N40" i="27"/>
  <c r="L40" i="27"/>
  <c r="B40" i="27"/>
  <c r="Z39" i="27"/>
  <c r="X39" i="27"/>
  <c r="V39" i="27"/>
  <c r="N39" i="27"/>
  <c r="L39" i="27"/>
  <c r="B39" i="27"/>
  <c r="Z38" i="27"/>
  <c r="X38" i="27"/>
  <c r="V38" i="27"/>
  <c r="N38" i="27"/>
  <c r="L38" i="27"/>
  <c r="B38" i="27"/>
  <c r="Z37" i="27"/>
  <c r="X37" i="27"/>
  <c r="V37" i="27"/>
  <c r="N37" i="27"/>
  <c r="L37" i="27"/>
  <c r="B37" i="27"/>
  <c r="Z36" i="27"/>
  <c r="X36" i="27"/>
  <c r="V36" i="27"/>
  <c r="N36" i="27"/>
  <c r="L36" i="27"/>
  <c r="B36" i="27"/>
  <c r="Z35" i="27"/>
  <c r="X35" i="27"/>
  <c r="V35" i="27"/>
  <c r="L35" i="27"/>
  <c r="N35" i="27" s="1"/>
  <c r="B35" i="27"/>
  <c r="X34" i="27"/>
  <c r="Z34" i="27" s="1"/>
  <c r="V34" i="27"/>
  <c r="T34" i="27"/>
  <c r="T48" i="27" s="1"/>
  <c r="T108" i="27" s="1"/>
  <c r="P34" i="27"/>
  <c r="H34" i="27"/>
  <c r="N34" i="27" s="1"/>
  <c r="D34" i="27"/>
  <c r="L34" i="27" s="1"/>
  <c r="Z32" i="27"/>
  <c r="P32" i="27"/>
  <c r="X32" i="27" s="1"/>
  <c r="N32" i="27"/>
  <c r="D32" i="27"/>
  <c r="L32" i="27" s="1"/>
  <c r="B32" i="27"/>
  <c r="Z31" i="27"/>
  <c r="P31" i="27"/>
  <c r="X31" i="27" s="1"/>
  <c r="N31" i="27"/>
  <c r="D31" i="27"/>
  <c r="L31" i="27" s="1"/>
  <c r="B31" i="27"/>
  <c r="Z30" i="27"/>
  <c r="X30" i="27"/>
  <c r="P30" i="27"/>
  <c r="N30" i="27"/>
  <c r="D30" i="27"/>
  <c r="L30" i="27" s="1"/>
  <c r="B30" i="27"/>
  <c r="Z29" i="27"/>
  <c r="P29" i="27"/>
  <c r="X29" i="27" s="1"/>
  <c r="N29" i="27"/>
  <c r="L29" i="27"/>
  <c r="D29" i="27"/>
  <c r="B29" i="27"/>
  <c r="Z28" i="27"/>
  <c r="X28" i="27"/>
  <c r="P28" i="27"/>
  <c r="N28" i="27"/>
  <c r="D28" i="27"/>
  <c r="L28" i="27" s="1"/>
  <c r="B28" i="27"/>
  <c r="Z27" i="27"/>
  <c r="X27" i="27"/>
  <c r="P27" i="27"/>
  <c r="N27" i="27"/>
  <c r="L27" i="27"/>
  <c r="D27" i="27"/>
  <c r="B27" i="27"/>
  <c r="Z26" i="27"/>
  <c r="P26" i="27"/>
  <c r="X26" i="27" s="1"/>
  <c r="N26" i="27"/>
  <c r="D26" i="27"/>
  <c r="L26" i="27" s="1"/>
  <c r="B26" i="27"/>
  <c r="Z25" i="27"/>
  <c r="X25" i="27"/>
  <c r="P25" i="27"/>
  <c r="N25" i="27"/>
  <c r="L25" i="27"/>
  <c r="D25" i="27"/>
  <c r="B25" i="27"/>
  <c r="Z24" i="27"/>
  <c r="X24" i="27"/>
  <c r="P24" i="27"/>
  <c r="N24" i="27"/>
  <c r="L24" i="27"/>
  <c r="D24" i="27"/>
  <c r="B24" i="27"/>
  <c r="Z23" i="27"/>
  <c r="P23" i="27"/>
  <c r="X23" i="27" s="1"/>
  <c r="N23" i="27"/>
  <c r="D23" i="27"/>
  <c r="L23" i="27" s="1"/>
  <c r="B23" i="27"/>
  <c r="Z22" i="27"/>
  <c r="P22" i="27"/>
  <c r="X22" i="27" s="1"/>
  <c r="N22" i="27"/>
  <c r="L22" i="27"/>
  <c r="D22" i="27"/>
  <c r="B22" i="27"/>
  <c r="Z21" i="27"/>
  <c r="P21" i="27"/>
  <c r="X21" i="27" s="1"/>
  <c r="N21" i="27"/>
  <c r="L21" i="27"/>
  <c r="D21" i="27"/>
  <c r="B21" i="27"/>
  <c r="Z20" i="27"/>
  <c r="X20" i="27"/>
  <c r="P20" i="27"/>
  <c r="N20" i="27"/>
  <c r="D20" i="27"/>
  <c r="L20" i="27" s="1"/>
  <c r="B20" i="27"/>
  <c r="Z19" i="27"/>
  <c r="X19" i="27"/>
  <c r="P19" i="27"/>
  <c r="N19" i="27"/>
  <c r="D19" i="27"/>
  <c r="L19" i="27" s="1"/>
  <c r="B19" i="27"/>
  <c r="Z18" i="27"/>
  <c r="X18" i="27"/>
  <c r="P18" i="27"/>
  <c r="N18" i="27"/>
  <c r="D18" i="27"/>
  <c r="L18" i="27" s="1"/>
  <c r="B18" i="27"/>
  <c r="Z17" i="27"/>
  <c r="P17" i="27"/>
  <c r="X17" i="27" s="1"/>
  <c r="N17" i="27"/>
  <c r="D17" i="27"/>
  <c r="L17" i="27" s="1"/>
  <c r="B17" i="27"/>
  <c r="Z16" i="27"/>
  <c r="X16" i="27"/>
  <c r="P16" i="27"/>
  <c r="N16" i="27"/>
  <c r="L16" i="27"/>
  <c r="D16" i="27"/>
  <c r="B16" i="27"/>
  <c r="Z15" i="27"/>
  <c r="X15" i="27"/>
  <c r="P15" i="27"/>
  <c r="N15" i="27"/>
  <c r="L15" i="27"/>
  <c r="D15" i="27"/>
  <c r="B15" i="27"/>
  <c r="Z14" i="27"/>
  <c r="P14" i="27"/>
  <c r="X14" i="27" s="1"/>
  <c r="N14" i="27"/>
  <c r="D14" i="27"/>
  <c r="L14" i="27" s="1"/>
  <c r="B14" i="27"/>
  <c r="Z13" i="27"/>
  <c r="X13" i="27"/>
  <c r="P13" i="27"/>
  <c r="L13" i="27"/>
  <c r="N13" i="27" s="1"/>
  <c r="D13" i="27"/>
  <c r="B13" i="27"/>
  <c r="T12" i="27"/>
  <c r="V103" i="27" s="1"/>
  <c r="H12" i="27"/>
  <c r="D4" i="27"/>
  <c r="X90" i="24"/>
  <c r="Z90" i="24" s="1"/>
  <c r="L90" i="24"/>
  <c r="N90" i="24" s="1"/>
  <c r="Z86" i="24"/>
  <c r="T86" i="24"/>
  <c r="P86" i="24"/>
  <c r="X86" i="24" s="1"/>
  <c r="H86" i="24"/>
  <c r="N86" i="24" s="1"/>
  <c r="D86" i="24"/>
  <c r="Z84" i="24"/>
  <c r="X84" i="24"/>
  <c r="N84" i="24"/>
  <c r="L84" i="24"/>
  <c r="B84" i="24"/>
  <c r="X83" i="24"/>
  <c r="Z83" i="24" s="1"/>
  <c r="T83" i="24"/>
  <c r="P83" i="24"/>
  <c r="H83" i="24"/>
  <c r="N83" i="24" s="1"/>
  <c r="D83" i="24"/>
  <c r="B83" i="24"/>
  <c r="Z82" i="24"/>
  <c r="X82" i="24"/>
  <c r="N82" i="24"/>
  <c r="L82" i="24"/>
  <c r="B82" i="24"/>
  <c r="X81" i="24"/>
  <c r="Z81" i="24" s="1"/>
  <c r="N81" i="24"/>
  <c r="L81" i="24"/>
  <c r="B81" i="24"/>
  <c r="X80" i="24"/>
  <c r="Z80" i="24" s="1"/>
  <c r="T80" i="24"/>
  <c r="P80" i="24"/>
  <c r="N80" i="24"/>
  <c r="L80" i="24"/>
  <c r="H80" i="24"/>
  <c r="D80" i="24"/>
  <c r="B80" i="24"/>
  <c r="Z79" i="24"/>
  <c r="X79" i="24"/>
  <c r="N79" i="24"/>
  <c r="L79" i="24"/>
  <c r="B79" i="24"/>
  <c r="Z78" i="24"/>
  <c r="X78" i="24"/>
  <c r="N78" i="24"/>
  <c r="L78" i="24"/>
  <c r="B78" i="24"/>
  <c r="Z77" i="24"/>
  <c r="X77" i="24"/>
  <c r="N77" i="24"/>
  <c r="L77" i="24"/>
  <c r="B77" i="24"/>
  <c r="X76" i="24"/>
  <c r="Z76" i="24" s="1"/>
  <c r="V76" i="24"/>
  <c r="N76" i="24"/>
  <c r="L76" i="24"/>
  <c r="B76" i="24"/>
  <c r="X75" i="24"/>
  <c r="Z75" i="24" s="1"/>
  <c r="T75" i="24"/>
  <c r="P75" i="24"/>
  <c r="N75" i="24"/>
  <c r="H75" i="24"/>
  <c r="L75" i="24" s="1"/>
  <c r="D75" i="24"/>
  <c r="B75" i="24"/>
  <c r="Z74" i="24"/>
  <c r="X74" i="24"/>
  <c r="L74" i="24"/>
  <c r="N74" i="24" s="1"/>
  <c r="B74" i="24"/>
  <c r="Z73" i="24"/>
  <c r="X73" i="24"/>
  <c r="N73" i="24"/>
  <c r="L73" i="24"/>
  <c r="B73" i="24"/>
  <c r="T72" i="24"/>
  <c r="P72" i="24"/>
  <c r="X72" i="24" s="1"/>
  <c r="Z72" i="24" s="1"/>
  <c r="H72" i="24"/>
  <c r="D72" i="24"/>
  <c r="B72" i="24"/>
  <c r="X71" i="24"/>
  <c r="Z71" i="24" s="1"/>
  <c r="N71" i="24"/>
  <c r="L71" i="24"/>
  <c r="B71" i="24"/>
  <c r="Z70" i="24"/>
  <c r="X70" i="24"/>
  <c r="N70" i="24"/>
  <c r="L70" i="24"/>
  <c r="B70" i="24"/>
  <c r="T69" i="24"/>
  <c r="P69" i="24"/>
  <c r="X69" i="24" s="1"/>
  <c r="H69" i="24"/>
  <c r="D69" i="24"/>
  <c r="L69" i="24" s="1"/>
  <c r="B69" i="24"/>
  <c r="X68" i="24"/>
  <c r="Z68" i="24" s="1"/>
  <c r="N68" i="24"/>
  <c r="L68" i="24"/>
  <c r="B68" i="24"/>
  <c r="T67" i="24"/>
  <c r="R67" i="24"/>
  <c r="P67" i="24"/>
  <c r="X67" i="24" s="1"/>
  <c r="Z67" i="24" s="1"/>
  <c r="N67" i="24"/>
  <c r="L67" i="24"/>
  <c r="H67" i="24"/>
  <c r="D67" i="24"/>
  <c r="B67" i="24"/>
  <c r="Z66" i="24"/>
  <c r="X66" i="24"/>
  <c r="N66" i="24"/>
  <c r="L66" i="24"/>
  <c r="B66" i="24"/>
  <c r="V65" i="24"/>
  <c r="T65" i="24"/>
  <c r="P65" i="24"/>
  <c r="X65" i="24" s="1"/>
  <c r="N65" i="24"/>
  <c r="L65" i="24"/>
  <c r="H65" i="24"/>
  <c r="D65" i="24"/>
  <c r="B65" i="24"/>
  <c r="X64" i="24"/>
  <c r="Z64" i="24" s="1"/>
  <c r="L64" i="24"/>
  <c r="N64" i="24" s="1"/>
  <c r="B64" i="24"/>
  <c r="T63" i="24"/>
  <c r="Z63" i="24" s="1"/>
  <c r="P63" i="24"/>
  <c r="X63" i="24" s="1"/>
  <c r="H63" i="24"/>
  <c r="D63" i="24"/>
  <c r="L63" i="24" s="1"/>
  <c r="B63" i="24"/>
  <c r="Z62" i="24"/>
  <c r="X62" i="24"/>
  <c r="N62" i="24"/>
  <c r="L62" i="24"/>
  <c r="B62" i="24"/>
  <c r="Z61" i="24"/>
  <c r="X61" i="24"/>
  <c r="T61" i="24"/>
  <c r="P61" i="24"/>
  <c r="H61" i="24"/>
  <c r="D61" i="24"/>
  <c r="L61" i="24" s="1"/>
  <c r="N61" i="24" s="1"/>
  <c r="B61" i="24"/>
  <c r="Z60" i="24"/>
  <c r="X60" i="24"/>
  <c r="L60" i="24"/>
  <c r="N60" i="24" s="1"/>
  <c r="B60" i="24"/>
  <c r="Z59" i="24"/>
  <c r="X59" i="24"/>
  <c r="V59" i="24"/>
  <c r="T59" i="24"/>
  <c r="P59" i="24"/>
  <c r="H59" i="24"/>
  <c r="D59" i="24"/>
  <c r="B59" i="24"/>
  <c r="Z58" i="24"/>
  <c r="X58" i="24"/>
  <c r="V58" i="24"/>
  <c r="N58" i="24"/>
  <c r="L58" i="24"/>
  <c r="B58" i="24"/>
  <c r="T57" i="24"/>
  <c r="Z57" i="24" s="1"/>
  <c r="P57" i="24"/>
  <c r="H57" i="24"/>
  <c r="N57" i="24" s="1"/>
  <c r="D57" i="24"/>
  <c r="L57" i="24" s="1"/>
  <c r="B57" i="24"/>
  <c r="X56" i="24"/>
  <c r="Z56" i="24" s="1"/>
  <c r="N56" i="24"/>
  <c r="L56" i="24"/>
  <c r="B56" i="24"/>
  <c r="T55" i="24"/>
  <c r="P55" i="24"/>
  <c r="X55" i="24" s="1"/>
  <c r="Z55" i="24" s="1"/>
  <c r="H55" i="24"/>
  <c r="D55" i="24"/>
  <c r="B55" i="24"/>
  <c r="Z54" i="24"/>
  <c r="X54" i="24"/>
  <c r="N54" i="24"/>
  <c r="L54" i="24"/>
  <c r="B54" i="24"/>
  <c r="Z53" i="24"/>
  <c r="X53" i="24"/>
  <c r="V53" i="24"/>
  <c r="N53" i="24"/>
  <c r="L53" i="24"/>
  <c r="B53" i="24"/>
  <c r="Z52" i="24"/>
  <c r="X52" i="24"/>
  <c r="V52" i="24"/>
  <c r="L52" i="24"/>
  <c r="N52" i="24" s="1"/>
  <c r="B52" i="24"/>
  <c r="Z51" i="24"/>
  <c r="X51" i="24"/>
  <c r="V51" i="24"/>
  <c r="N51" i="24"/>
  <c r="L51" i="24"/>
  <c r="B51" i="24"/>
  <c r="Z50" i="24"/>
  <c r="X50" i="24"/>
  <c r="N50" i="24"/>
  <c r="L50" i="24"/>
  <c r="B50" i="24"/>
  <c r="Z49" i="24"/>
  <c r="X49" i="24"/>
  <c r="N49" i="24"/>
  <c r="L49" i="24"/>
  <c r="B49" i="24"/>
  <c r="Z48" i="24"/>
  <c r="X48" i="24"/>
  <c r="L48" i="24"/>
  <c r="N48" i="24" s="1"/>
  <c r="B48" i="24"/>
  <c r="Z47" i="24"/>
  <c r="X47" i="24"/>
  <c r="N47" i="24"/>
  <c r="L47" i="24"/>
  <c r="B47" i="24"/>
  <c r="Z46" i="24"/>
  <c r="X46" i="24"/>
  <c r="N46" i="24"/>
  <c r="L46" i="24"/>
  <c r="B46" i="24"/>
  <c r="X45" i="24"/>
  <c r="Z45" i="24" s="1"/>
  <c r="V45" i="24"/>
  <c r="L45" i="24"/>
  <c r="N45" i="24" s="1"/>
  <c r="B45" i="24"/>
  <c r="Z44" i="24"/>
  <c r="V44" i="24"/>
  <c r="T44" i="24"/>
  <c r="P44" i="24"/>
  <c r="X44" i="24" s="1"/>
  <c r="H44" i="24"/>
  <c r="D44" i="24"/>
  <c r="B44" i="24"/>
  <c r="X43" i="24"/>
  <c r="Z43" i="24" s="1"/>
  <c r="L43" i="24"/>
  <c r="N43" i="24" s="1"/>
  <c r="B43" i="24"/>
  <c r="X42" i="24"/>
  <c r="Z42" i="24" s="1"/>
  <c r="N42" i="24"/>
  <c r="L42" i="24"/>
  <c r="B42" i="24"/>
  <c r="Z41" i="24"/>
  <c r="X41" i="24"/>
  <c r="V41" i="24"/>
  <c r="N41" i="24"/>
  <c r="L41" i="24"/>
  <c r="B41" i="24"/>
  <c r="X40" i="24"/>
  <c r="Z40" i="24" s="1"/>
  <c r="L40" i="24"/>
  <c r="N40" i="24" s="1"/>
  <c r="B40" i="24"/>
  <c r="X39" i="24"/>
  <c r="Z39" i="24" s="1"/>
  <c r="L39" i="24"/>
  <c r="N39" i="24" s="1"/>
  <c r="B39" i="24"/>
  <c r="Z38" i="24"/>
  <c r="X38" i="24"/>
  <c r="V38" i="24"/>
  <c r="N38" i="24"/>
  <c r="L38" i="24"/>
  <c r="B38" i="24"/>
  <c r="X37" i="24"/>
  <c r="Z37" i="24" s="1"/>
  <c r="N37" i="24"/>
  <c r="L37" i="24"/>
  <c r="B37" i="24"/>
  <c r="Z36" i="24"/>
  <c r="X36" i="24"/>
  <c r="V36" i="24"/>
  <c r="N36" i="24"/>
  <c r="L36" i="24"/>
  <c r="B36" i="24"/>
  <c r="T35" i="24"/>
  <c r="P35" i="24"/>
  <c r="X35" i="24" s="1"/>
  <c r="H35" i="24"/>
  <c r="D35" i="24"/>
  <c r="B35" i="24"/>
  <c r="T34" i="24"/>
  <c r="P34" i="24"/>
  <c r="H34" i="24"/>
  <c r="D34" i="24"/>
  <c r="L34" i="24" s="1"/>
  <c r="N34" i="24" s="1"/>
  <c r="Z30" i="24"/>
  <c r="X30" i="24"/>
  <c r="N30" i="24"/>
  <c r="L30" i="24"/>
  <c r="B30" i="24"/>
  <c r="Z29" i="24"/>
  <c r="X29" i="24"/>
  <c r="N29" i="24"/>
  <c r="L29" i="24"/>
  <c r="B29" i="24"/>
  <c r="Z28" i="24"/>
  <c r="X28" i="24"/>
  <c r="N28" i="24"/>
  <c r="L28" i="24"/>
  <c r="B28" i="24"/>
  <c r="Z27" i="24"/>
  <c r="X27" i="24"/>
  <c r="N27" i="24"/>
  <c r="L27" i="24"/>
  <c r="B27" i="24"/>
  <c r="Z26" i="24"/>
  <c r="X26" i="24"/>
  <c r="N26" i="24"/>
  <c r="L26" i="24"/>
  <c r="B26" i="24"/>
  <c r="T25" i="24"/>
  <c r="P25" i="24"/>
  <c r="X25" i="24" s="1"/>
  <c r="Z25" i="24" s="1"/>
  <c r="L25" i="24"/>
  <c r="H25" i="24"/>
  <c r="N25" i="24" s="1"/>
  <c r="D25" i="24"/>
  <c r="Z23" i="24"/>
  <c r="X23" i="24"/>
  <c r="P23" i="24"/>
  <c r="N23" i="24"/>
  <c r="D23" i="24"/>
  <c r="L23" i="24" s="1"/>
  <c r="B23" i="24"/>
  <c r="Z22" i="24"/>
  <c r="P22" i="24"/>
  <c r="X22" i="24" s="1"/>
  <c r="N22" i="24"/>
  <c r="L22" i="24"/>
  <c r="D22" i="24"/>
  <c r="B22" i="24"/>
  <c r="Z21" i="24"/>
  <c r="X21" i="24"/>
  <c r="P21" i="24"/>
  <c r="N21" i="24"/>
  <c r="D21" i="24"/>
  <c r="L21" i="24" s="1"/>
  <c r="B21" i="24"/>
  <c r="Z20" i="24"/>
  <c r="X20" i="24"/>
  <c r="P20" i="24"/>
  <c r="L20" i="24"/>
  <c r="N20" i="24" s="1"/>
  <c r="D20" i="24"/>
  <c r="B20" i="24"/>
  <c r="Z19" i="24"/>
  <c r="P19" i="24"/>
  <c r="X19" i="24" s="1"/>
  <c r="N19" i="24"/>
  <c r="D19" i="24"/>
  <c r="L19" i="24" s="1"/>
  <c r="B19" i="24"/>
  <c r="Z18" i="24"/>
  <c r="X18" i="24"/>
  <c r="P18" i="24"/>
  <c r="N18" i="24"/>
  <c r="D18" i="24"/>
  <c r="L18" i="24" s="1"/>
  <c r="B18" i="24"/>
  <c r="Z17" i="24"/>
  <c r="P17" i="24"/>
  <c r="X17" i="24" s="1"/>
  <c r="N17" i="24"/>
  <c r="L17" i="24"/>
  <c r="D17" i="24"/>
  <c r="B17" i="24"/>
  <c r="Z16" i="24"/>
  <c r="P16" i="24"/>
  <c r="X16" i="24" s="1"/>
  <c r="N16" i="24"/>
  <c r="L16" i="24"/>
  <c r="D16" i="24"/>
  <c r="B16" i="24"/>
  <c r="Z15" i="24"/>
  <c r="X15" i="24"/>
  <c r="P15" i="24"/>
  <c r="N15" i="24"/>
  <c r="L15" i="24"/>
  <c r="D15" i="24"/>
  <c r="B15" i="24"/>
  <c r="Z14" i="24"/>
  <c r="P14" i="24"/>
  <c r="X14" i="24" s="1"/>
  <c r="N14" i="24"/>
  <c r="D14" i="24"/>
  <c r="B14" i="24"/>
  <c r="Z13" i="24"/>
  <c r="X13" i="24"/>
  <c r="P13" i="24"/>
  <c r="N13" i="24"/>
  <c r="D13" i="24"/>
  <c r="L13" i="24" s="1"/>
  <c r="B13" i="24"/>
  <c r="T12" i="24"/>
  <c r="V57" i="24" s="1"/>
  <c r="P12" i="24"/>
  <c r="H12" i="24"/>
  <c r="D4" i="24"/>
  <c r="X101" i="21"/>
  <c r="Z101" i="21" s="1"/>
  <c r="L101" i="21"/>
  <c r="N101" i="21" s="1"/>
  <c r="F101" i="21"/>
  <c r="Z97" i="21"/>
  <c r="T97" i="21"/>
  <c r="P97" i="21"/>
  <c r="X97" i="21" s="1"/>
  <c r="H97" i="21"/>
  <c r="N97" i="21" s="1"/>
  <c r="D97" i="21"/>
  <c r="Z95" i="21"/>
  <c r="X95" i="21"/>
  <c r="L95" i="21"/>
  <c r="N95" i="21" s="1"/>
  <c r="B95" i="21"/>
  <c r="Z94" i="21"/>
  <c r="T94" i="21"/>
  <c r="P94" i="21"/>
  <c r="X94" i="21" s="1"/>
  <c r="H94" i="21"/>
  <c r="D94" i="21"/>
  <c r="L94" i="21" s="1"/>
  <c r="N94" i="21" s="1"/>
  <c r="B94" i="21"/>
  <c r="X93" i="21"/>
  <c r="Z93" i="21" s="1"/>
  <c r="N93" i="21"/>
  <c r="L93" i="21"/>
  <c r="B93" i="21"/>
  <c r="X92" i="21"/>
  <c r="Z92" i="21" s="1"/>
  <c r="T92" i="21"/>
  <c r="P92" i="21"/>
  <c r="N92" i="21"/>
  <c r="H92" i="21"/>
  <c r="D92" i="21"/>
  <c r="L92" i="21" s="1"/>
  <c r="B92" i="21"/>
  <c r="X91" i="21"/>
  <c r="Z91" i="21" s="1"/>
  <c r="N91" i="21"/>
  <c r="L91" i="21"/>
  <c r="B91" i="21"/>
  <c r="Z90" i="21"/>
  <c r="X90" i="21"/>
  <c r="N90" i="21"/>
  <c r="L90" i="21"/>
  <c r="J90" i="21"/>
  <c r="B90" i="21"/>
  <c r="T89" i="21"/>
  <c r="P89" i="21"/>
  <c r="N89" i="21"/>
  <c r="L89" i="21"/>
  <c r="H89" i="21"/>
  <c r="D89" i="21"/>
  <c r="B89" i="21"/>
  <c r="Z88" i="21"/>
  <c r="X88" i="21"/>
  <c r="N88" i="21"/>
  <c r="L88" i="21"/>
  <c r="B88" i="21"/>
  <c r="Z87" i="21"/>
  <c r="X87" i="21"/>
  <c r="L87" i="21"/>
  <c r="N87" i="21" s="1"/>
  <c r="B87" i="21"/>
  <c r="Z86" i="21"/>
  <c r="X86" i="21"/>
  <c r="N86" i="21"/>
  <c r="L86" i="21"/>
  <c r="B86" i="21"/>
  <c r="Z85" i="21"/>
  <c r="X85" i="21"/>
  <c r="N85" i="21"/>
  <c r="L85" i="21"/>
  <c r="B85" i="21"/>
  <c r="Z84" i="21"/>
  <c r="X84" i="21"/>
  <c r="N84" i="21"/>
  <c r="L84" i="21"/>
  <c r="J84" i="21"/>
  <c r="B84" i="21"/>
  <c r="Z83" i="21"/>
  <c r="X83" i="21"/>
  <c r="L83" i="21"/>
  <c r="N83" i="21" s="1"/>
  <c r="B83" i="21"/>
  <c r="Z82" i="21"/>
  <c r="X82" i="21"/>
  <c r="N82" i="21"/>
  <c r="L82" i="21"/>
  <c r="B82" i="21"/>
  <c r="T81" i="21"/>
  <c r="P81" i="21"/>
  <c r="X81" i="21" s="1"/>
  <c r="H81" i="21"/>
  <c r="D81" i="21"/>
  <c r="L81" i="21" s="1"/>
  <c r="N81" i="21" s="1"/>
  <c r="B81" i="21"/>
  <c r="X80" i="21"/>
  <c r="Z80" i="21" s="1"/>
  <c r="N80" i="21"/>
  <c r="L80" i="21"/>
  <c r="B80" i="21"/>
  <c r="T79" i="21"/>
  <c r="Z79" i="21" s="1"/>
  <c r="P79" i="21"/>
  <c r="X79" i="21" s="1"/>
  <c r="L79" i="21"/>
  <c r="H79" i="21"/>
  <c r="N79" i="21" s="1"/>
  <c r="D79" i="21"/>
  <c r="B79" i="21"/>
  <c r="Z78" i="21"/>
  <c r="X78" i="21"/>
  <c r="N78" i="21"/>
  <c r="L78" i="21"/>
  <c r="J78" i="21"/>
  <c r="B78" i="21"/>
  <c r="X77" i="21"/>
  <c r="Z77" i="21" s="1"/>
  <c r="N77" i="21"/>
  <c r="L77" i="21"/>
  <c r="J77" i="21"/>
  <c r="F77" i="21"/>
  <c r="B77" i="21"/>
  <c r="Z76" i="21"/>
  <c r="X76" i="21"/>
  <c r="N76" i="21"/>
  <c r="L76" i="21"/>
  <c r="B76" i="21"/>
  <c r="Z75" i="21"/>
  <c r="X75" i="21"/>
  <c r="N75" i="21"/>
  <c r="L75" i="21"/>
  <c r="B75" i="21"/>
  <c r="T74" i="21"/>
  <c r="P74" i="21"/>
  <c r="H74" i="21"/>
  <c r="D74" i="21"/>
  <c r="L74" i="21" s="1"/>
  <c r="N74" i="21" s="1"/>
  <c r="B74" i="21"/>
  <c r="Z73" i="21"/>
  <c r="X73" i="21"/>
  <c r="L73" i="21"/>
  <c r="N73" i="21" s="1"/>
  <c r="B73" i="21"/>
  <c r="T72" i="21"/>
  <c r="P72" i="21"/>
  <c r="X72" i="21" s="1"/>
  <c r="Z72" i="21" s="1"/>
  <c r="J72" i="21"/>
  <c r="H72" i="21"/>
  <c r="D72" i="21"/>
  <c r="L72" i="21" s="1"/>
  <c r="N72" i="21" s="1"/>
  <c r="B72" i="21"/>
  <c r="X71" i="21"/>
  <c r="Z71" i="21" s="1"/>
  <c r="N71" i="21"/>
  <c r="L71" i="21"/>
  <c r="F71" i="21"/>
  <c r="B71" i="21"/>
  <c r="Z70" i="21"/>
  <c r="X70" i="21"/>
  <c r="N70" i="21"/>
  <c r="L70" i="21"/>
  <c r="B70" i="21"/>
  <c r="X69" i="21"/>
  <c r="Z69" i="21" s="1"/>
  <c r="L69" i="21"/>
  <c r="N69" i="21" s="1"/>
  <c r="B69" i="21"/>
  <c r="X68" i="21"/>
  <c r="Z68" i="21" s="1"/>
  <c r="N68" i="21"/>
  <c r="L68" i="21"/>
  <c r="B68" i="21"/>
  <c r="T67" i="21"/>
  <c r="P67" i="21"/>
  <c r="X67" i="21" s="1"/>
  <c r="Z67" i="21" s="1"/>
  <c r="L67" i="21"/>
  <c r="H67" i="21"/>
  <c r="D67" i="21"/>
  <c r="B67" i="21"/>
  <c r="Z66" i="21"/>
  <c r="X66" i="21"/>
  <c r="N66" i="21"/>
  <c r="L66" i="21"/>
  <c r="J66" i="21"/>
  <c r="B66" i="21"/>
  <c r="T65" i="21"/>
  <c r="Z65" i="21" s="1"/>
  <c r="P65" i="21"/>
  <c r="H65" i="21"/>
  <c r="D65" i="21"/>
  <c r="B65" i="21"/>
  <c r="Z64" i="21"/>
  <c r="X64" i="21"/>
  <c r="L64" i="21"/>
  <c r="N64" i="21" s="1"/>
  <c r="J64" i="21"/>
  <c r="B64" i="21"/>
  <c r="T63" i="21"/>
  <c r="Z63" i="21" s="1"/>
  <c r="P63" i="21"/>
  <c r="X63" i="21" s="1"/>
  <c r="H63" i="21"/>
  <c r="D63" i="21"/>
  <c r="L63" i="21" s="1"/>
  <c r="B63" i="21"/>
  <c r="Z62" i="21"/>
  <c r="X62" i="21"/>
  <c r="N62" i="21"/>
  <c r="L62" i="21"/>
  <c r="B62" i="21"/>
  <c r="X61" i="21"/>
  <c r="T61" i="21"/>
  <c r="P61" i="21"/>
  <c r="H61" i="21"/>
  <c r="D61" i="21"/>
  <c r="B61" i="21"/>
  <c r="Z60" i="21"/>
  <c r="X60" i="21"/>
  <c r="N60" i="21"/>
  <c r="L60" i="21"/>
  <c r="J60" i="21"/>
  <c r="B60" i="21"/>
  <c r="T59" i="21"/>
  <c r="P59" i="21"/>
  <c r="H59" i="21"/>
  <c r="D59" i="21"/>
  <c r="B59" i="21"/>
  <c r="Z58" i="21"/>
  <c r="X58" i="21"/>
  <c r="N58" i="21"/>
  <c r="L58" i="21"/>
  <c r="B58" i="21"/>
  <c r="T57" i="21"/>
  <c r="Z57" i="21" s="1"/>
  <c r="P57" i="21"/>
  <c r="H57" i="21"/>
  <c r="N57" i="21" s="1"/>
  <c r="D57" i="21"/>
  <c r="L57" i="21" s="1"/>
  <c r="B57" i="21"/>
  <c r="X56" i="21"/>
  <c r="Z56" i="21" s="1"/>
  <c r="N56" i="21"/>
  <c r="L56" i="21"/>
  <c r="B56" i="21"/>
  <c r="Z55" i="21"/>
  <c r="X55" i="21"/>
  <c r="N55" i="21"/>
  <c r="L55" i="21"/>
  <c r="B55" i="21"/>
  <c r="T54" i="21"/>
  <c r="P54" i="21"/>
  <c r="X54" i="21" s="1"/>
  <c r="L54" i="21"/>
  <c r="N54" i="21" s="1"/>
  <c r="J54" i="21"/>
  <c r="H54" i="21"/>
  <c r="D54" i="21"/>
  <c r="B54" i="21"/>
  <c r="X53" i="21"/>
  <c r="Z53" i="21" s="1"/>
  <c r="N53" i="21"/>
  <c r="L53" i="21"/>
  <c r="J53" i="21"/>
  <c r="B53" i="21"/>
  <c r="Z52" i="21"/>
  <c r="X52" i="21"/>
  <c r="T52" i="21"/>
  <c r="P52" i="21"/>
  <c r="N52" i="21"/>
  <c r="H52" i="21"/>
  <c r="L52" i="21" s="1"/>
  <c r="D52" i="21"/>
  <c r="B52" i="21"/>
  <c r="Z51" i="21"/>
  <c r="X51" i="21"/>
  <c r="L51" i="21"/>
  <c r="N51" i="21" s="1"/>
  <c r="B51" i="21"/>
  <c r="T50" i="21"/>
  <c r="P50" i="21"/>
  <c r="X50" i="21" s="1"/>
  <c r="Z50" i="21" s="1"/>
  <c r="J50" i="21"/>
  <c r="H50" i="21"/>
  <c r="D50" i="21"/>
  <c r="L50" i="21" s="1"/>
  <c r="N50" i="21" s="1"/>
  <c r="B50" i="21"/>
  <c r="X49" i="21"/>
  <c r="Z49" i="21" s="1"/>
  <c r="L49" i="21"/>
  <c r="N49" i="21" s="1"/>
  <c r="B49" i="21"/>
  <c r="X48" i="21"/>
  <c r="Z48" i="21" s="1"/>
  <c r="T48" i="21"/>
  <c r="P48" i="21"/>
  <c r="H48" i="21"/>
  <c r="D48" i="21"/>
  <c r="L48" i="21" s="1"/>
  <c r="N48" i="21" s="1"/>
  <c r="B48" i="21"/>
  <c r="Z47" i="21"/>
  <c r="X47" i="21"/>
  <c r="N47" i="21"/>
  <c r="L47" i="21"/>
  <c r="B47" i="21"/>
  <c r="Z46" i="21"/>
  <c r="X46" i="21"/>
  <c r="N46" i="21"/>
  <c r="L46" i="21"/>
  <c r="J46" i="21"/>
  <c r="B46" i="21"/>
  <c r="X45" i="21"/>
  <c r="Z45" i="21" s="1"/>
  <c r="N45" i="21"/>
  <c r="L45" i="21"/>
  <c r="J45" i="21"/>
  <c r="B45" i="21"/>
  <c r="Z44" i="21"/>
  <c r="X44" i="21"/>
  <c r="N44" i="21"/>
  <c r="L44" i="21"/>
  <c r="J44" i="21"/>
  <c r="B44" i="21"/>
  <c r="Z43" i="21"/>
  <c r="X43" i="21"/>
  <c r="N43" i="21"/>
  <c r="L43" i="21"/>
  <c r="B43" i="21"/>
  <c r="Z42" i="21"/>
  <c r="X42" i="21"/>
  <c r="N42" i="21"/>
  <c r="L42" i="21"/>
  <c r="J42" i="21"/>
  <c r="B42" i="21"/>
  <c r="X41" i="21"/>
  <c r="Z41" i="21" s="1"/>
  <c r="N41" i="21"/>
  <c r="L41" i="21"/>
  <c r="J41" i="21"/>
  <c r="B41" i="21"/>
  <c r="Z40" i="21"/>
  <c r="X40" i="21"/>
  <c r="N40" i="21"/>
  <c r="L40" i="21"/>
  <c r="J40" i="21"/>
  <c r="B40" i="21"/>
  <c r="X39" i="21"/>
  <c r="Z39" i="21" s="1"/>
  <c r="L39" i="21"/>
  <c r="N39" i="21" s="1"/>
  <c r="B39" i="21"/>
  <c r="Z38" i="21"/>
  <c r="X38" i="21"/>
  <c r="N38" i="21"/>
  <c r="L38" i="21"/>
  <c r="J38" i="21"/>
  <c r="B38" i="21"/>
  <c r="T37" i="21"/>
  <c r="P37" i="21"/>
  <c r="N37" i="21"/>
  <c r="L37" i="21"/>
  <c r="H37" i="21"/>
  <c r="D37" i="21"/>
  <c r="B37" i="21"/>
  <c r="X36" i="21"/>
  <c r="Z36" i="21" s="1"/>
  <c r="L36" i="21"/>
  <c r="N36" i="21" s="1"/>
  <c r="J36" i="21"/>
  <c r="B36" i="21"/>
  <c r="X35" i="21"/>
  <c r="Z35" i="21" s="1"/>
  <c r="L35" i="21"/>
  <c r="N35" i="21" s="1"/>
  <c r="B35" i="21"/>
  <c r="Z34" i="21"/>
  <c r="X34" i="21"/>
  <c r="N34" i="21"/>
  <c r="L34" i="21"/>
  <c r="B34" i="21"/>
  <c r="Z33" i="21"/>
  <c r="X33" i="21"/>
  <c r="N33" i="21"/>
  <c r="L33" i="21"/>
  <c r="B33" i="21"/>
  <c r="X32" i="21"/>
  <c r="Z32" i="21" s="1"/>
  <c r="L32" i="21"/>
  <c r="N32" i="21" s="1"/>
  <c r="J32" i="21"/>
  <c r="B32" i="21"/>
  <c r="X31" i="21"/>
  <c r="Z31" i="21" s="1"/>
  <c r="L31" i="21"/>
  <c r="N31" i="21" s="1"/>
  <c r="B31" i="21"/>
  <c r="Z30" i="21"/>
  <c r="X30" i="21"/>
  <c r="N30" i="21"/>
  <c r="L30" i="21"/>
  <c r="B30" i="21"/>
  <c r="X29" i="21"/>
  <c r="Z29" i="21" s="1"/>
  <c r="L29" i="21"/>
  <c r="N29" i="21" s="1"/>
  <c r="B29" i="21"/>
  <c r="X28" i="21"/>
  <c r="Z28" i="21" s="1"/>
  <c r="L28" i="21"/>
  <c r="N28" i="21" s="1"/>
  <c r="J28" i="21"/>
  <c r="B28" i="21"/>
  <c r="T27" i="21"/>
  <c r="Z27" i="21" s="1"/>
  <c r="P27" i="21"/>
  <c r="X27" i="21" s="1"/>
  <c r="H27" i="21"/>
  <c r="D27" i="21"/>
  <c r="B27" i="21"/>
  <c r="T26" i="21"/>
  <c r="P26" i="21"/>
  <c r="X26" i="21" s="1"/>
  <c r="H26" i="21"/>
  <c r="J26" i="21" s="1"/>
  <c r="D26" i="21"/>
  <c r="L26" i="21" s="1"/>
  <c r="N26" i="21" s="1"/>
  <c r="Z22" i="21"/>
  <c r="X22" i="21"/>
  <c r="N22" i="21"/>
  <c r="L22" i="21"/>
  <c r="F22" i="21"/>
  <c r="B22" i="21"/>
  <c r="Z21" i="21"/>
  <c r="X21" i="21"/>
  <c r="N21" i="21"/>
  <c r="L21" i="21"/>
  <c r="B21" i="21"/>
  <c r="X20" i="21"/>
  <c r="Z20" i="21" s="1"/>
  <c r="N20" i="21"/>
  <c r="L20" i="21"/>
  <c r="B20" i="21"/>
  <c r="X19" i="21"/>
  <c r="Z19" i="21" s="1"/>
  <c r="T19" i="21"/>
  <c r="P19" i="21"/>
  <c r="L19" i="21"/>
  <c r="H19" i="21"/>
  <c r="D19" i="21"/>
  <c r="Z17" i="21"/>
  <c r="X17" i="21"/>
  <c r="P17" i="21"/>
  <c r="N17" i="21"/>
  <c r="L17" i="21"/>
  <c r="D17" i="21"/>
  <c r="B17" i="21"/>
  <c r="Z16" i="21"/>
  <c r="X16" i="21"/>
  <c r="P16" i="21"/>
  <c r="N16" i="21"/>
  <c r="D16" i="21"/>
  <c r="L16" i="21" s="1"/>
  <c r="B16" i="21"/>
  <c r="P15" i="21"/>
  <c r="D15" i="21"/>
  <c r="L15" i="21" s="1"/>
  <c r="N15" i="21" s="1"/>
  <c r="B15" i="21"/>
  <c r="Z14" i="21"/>
  <c r="P14" i="21"/>
  <c r="X14" i="21" s="1"/>
  <c r="N14" i="21"/>
  <c r="L14" i="21"/>
  <c r="D14" i="21"/>
  <c r="B14" i="21"/>
  <c r="X13" i="21"/>
  <c r="Z13" i="21" s="1"/>
  <c r="P13" i="21"/>
  <c r="N13" i="21"/>
  <c r="L13" i="21"/>
  <c r="D13" i="21"/>
  <c r="D12" i="21" s="1"/>
  <c r="B13" i="21"/>
  <c r="T12" i="21"/>
  <c r="V92" i="21" s="1"/>
  <c r="H12" i="21"/>
  <c r="J88" i="21" s="1"/>
  <c r="D4" i="21"/>
  <c r="X232" i="18"/>
  <c r="Z232" i="18" s="1"/>
  <c r="N232" i="18"/>
  <c r="L232" i="18"/>
  <c r="J232" i="18"/>
  <c r="Z228" i="18"/>
  <c r="X228" i="18"/>
  <c r="P228" i="18"/>
  <c r="N228" i="18"/>
  <c r="L228" i="18"/>
  <c r="D228" i="18"/>
  <c r="B228" i="18"/>
  <c r="Z227" i="18"/>
  <c r="P227" i="18"/>
  <c r="X227" i="18" s="1"/>
  <c r="N227" i="18"/>
  <c r="D227" i="18"/>
  <c r="L227" i="18" s="1"/>
  <c r="B227" i="18"/>
  <c r="X226" i="18"/>
  <c r="Z226" i="18" s="1"/>
  <c r="P226" i="18"/>
  <c r="D226" i="18"/>
  <c r="B226" i="18"/>
  <c r="P225" i="18"/>
  <c r="P223" i="18" s="1"/>
  <c r="D225" i="18"/>
  <c r="L225" i="18" s="1"/>
  <c r="N225" i="18" s="1"/>
  <c r="B225" i="18"/>
  <c r="Z224" i="18"/>
  <c r="X224" i="18"/>
  <c r="V224" i="18"/>
  <c r="P224" i="18"/>
  <c r="N224" i="18"/>
  <c r="L224" i="18"/>
  <c r="D224" i="18"/>
  <c r="B224" i="18"/>
  <c r="T223" i="18"/>
  <c r="H223" i="18"/>
  <c r="Z221" i="18"/>
  <c r="X221" i="18"/>
  <c r="N221" i="18"/>
  <c r="L221" i="18"/>
  <c r="B221" i="18"/>
  <c r="T220" i="18"/>
  <c r="P220" i="18"/>
  <c r="H220" i="18"/>
  <c r="L220" i="18" s="1"/>
  <c r="N220" i="18" s="1"/>
  <c r="D220" i="18"/>
  <c r="B220" i="18"/>
  <c r="X219" i="18"/>
  <c r="Z219" i="18" s="1"/>
  <c r="L219" i="18"/>
  <c r="N219" i="18" s="1"/>
  <c r="B219" i="18"/>
  <c r="Z218" i="18"/>
  <c r="X218" i="18"/>
  <c r="L218" i="18"/>
  <c r="N218" i="18" s="1"/>
  <c r="B218" i="18"/>
  <c r="Z217" i="18"/>
  <c r="X217" i="18"/>
  <c r="V217" i="18"/>
  <c r="N217" i="18"/>
  <c r="L217" i="18"/>
  <c r="B217" i="18"/>
  <c r="T216" i="18"/>
  <c r="P216" i="18"/>
  <c r="X216" i="18" s="1"/>
  <c r="H216" i="18"/>
  <c r="D216" i="18"/>
  <c r="L216" i="18" s="1"/>
  <c r="N216" i="18" s="1"/>
  <c r="B216" i="18"/>
  <c r="X215" i="18"/>
  <c r="Z215" i="18" s="1"/>
  <c r="V215" i="18"/>
  <c r="N215" i="18"/>
  <c r="L215" i="18"/>
  <c r="B215" i="18"/>
  <c r="T214" i="18"/>
  <c r="P214" i="18"/>
  <c r="X214" i="18" s="1"/>
  <c r="Z214" i="18" s="1"/>
  <c r="L214" i="18"/>
  <c r="H214" i="18"/>
  <c r="N214" i="18" s="1"/>
  <c r="D214" i="18"/>
  <c r="B214" i="18"/>
  <c r="Z213" i="18"/>
  <c r="X213" i="18"/>
  <c r="N213" i="18"/>
  <c r="L213" i="18"/>
  <c r="B213" i="18"/>
  <c r="X212" i="18"/>
  <c r="Z212" i="18" s="1"/>
  <c r="N212" i="18"/>
  <c r="L212" i="18"/>
  <c r="B212" i="18"/>
  <c r="Z211" i="18"/>
  <c r="T211" i="18"/>
  <c r="P211" i="18"/>
  <c r="X211" i="18" s="1"/>
  <c r="N211" i="18"/>
  <c r="H211" i="18"/>
  <c r="L211" i="18" s="1"/>
  <c r="D211" i="18"/>
  <c r="B211" i="18"/>
  <c r="Z210" i="18"/>
  <c r="X210" i="18"/>
  <c r="L210" i="18"/>
  <c r="N210" i="18" s="1"/>
  <c r="B210" i="18"/>
  <c r="Z209" i="18"/>
  <c r="X209" i="18"/>
  <c r="N209" i="18"/>
  <c r="L209" i="18"/>
  <c r="B209" i="18"/>
  <c r="Z208" i="18"/>
  <c r="X208" i="18"/>
  <c r="L208" i="18"/>
  <c r="N208" i="18" s="1"/>
  <c r="B208" i="18"/>
  <c r="X207" i="18"/>
  <c r="Z207" i="18" s="1"/>
  <c r="N207" i="18"/>
  <c r="L207" i="18"/>
  <c r="B207" i="18"/>
  <c r="Z206" i="18"/>
  <c r="X206" i="18"/>
  <c r="L206" i="18"/>
  <c r="N206" i="18" s="1"/>
  <c r="B206" i="18"/>
  <c r="Z205" i="18"/>
  <c r="X205" i="18"/>
  <c r="V205" i="18"/>
  <c r="N205" i="18"/>
  <c r="L205" i="18"/>
  <c r="B205" i="18"/>
  <c r="Z204" i="18"/>
  <c r="X204" i="18"/>
  <c r="L204" i="18"/>
  <c r="N204" i="18" s="1"/>
  <c r="B204" i="18"/>
  <c r="X203" i="18"/>
  <c r="Z203" i="18" s="1"/>
  <c r="V203" i="18"/>
  <c r="L203" i="18"/>
  <c r="N203" i="18" s="1"/>
  <c r="B203" i="18"/>
  <c r="Z202" i="18"/>
  <c r="X202" i="18"/>
  <c r="L202" i="18"/>
  <c r="N202" i="18" s="1"/>
  <c r="B202" i="18"/>
  <c r="T201" i="18"/>
  <c r="P201" i="18"/>
  <c r="X201" i="18" s="1"/>
  <c r="Z201" i="18" s="1"/>
  <c r="J201" i="18"/>
  <c r="H201" i="18"/>
  <c r="N201" i="18" s="1"/>
  <c r="D201" i="18"/>
  <c r="L201" i="18" s="1"/>
  <c r="B201" i="18"/>
  <c r="Z200" i="18"/>
  <c r="X200" i="18"/>
  <c r="N200" i="18"/>
  <c r="L200" i="18"/>
  <c r="B200" i="18"/>
  <c r="X199" i="18"/>
  <c r="Z199" i="18" s="1"/>
  <c r="V199" i="18"/>
  <c r="N199" i="18"/>
  <c r="L199" i="18"/>
  <c r="B199" i="18"/>
  <c r="T198" i="18"/>
  <c r="P198" i="18"/>
  <c r="X198" i="18" s="1"/>
  <c r="Z198" i="18" s="1"/>
  <c r="L198" i="18"/>
  <c r="H198" i="18"/>
  <c r="D198" i="18"/>
  <c r="B198" i="18"/>
  <c r="Z197" i="18"/>
  <c r="X197" i="18"/>
  <c r="N197" i="18"/>
  <c r="L197" i="18"/>
  <c r="B197" i="18"/>
  <c r="X196" i="18"/>
  <c r="Z196" i="18" s="1"/>
  <c r="N196" i="18"/>
  <c r="L196" i="18"/>
  <c r="B196" i="18"/>
  <c r="Z195" i="18"/>
  <c r="X195" i="18"/>
  <c r="N195" i="18"/>
  <c r="L195" i="18"/>
  <c r="B195" i="18"/>
  <c r="Z194" i="18"/>
  <c r="X194" i="18"/>
  <c r="N194" i="18"/>
  <c r="L194" i="18"/>
  <c r="B194" i="18"/>
  <c r="Z193" i="18"/>
  <c r="T193" i="18"/>
  <c r="X193" i="18" s="1"/>
  <c r="P193" i="18"/>
  <c r="L193" i="18"/>
  <c r="N193" i="18" s="1"/>
  <c r="H193" i="18"/>
  <c r="D193" i="18"/>
  <c r="B193" i="18"/>
  <c r="Z192" i="18"/>
  <c r="X192" i="18"/>
  <c r="V192" i="18"/>
  <c r="L192" i="18"/>
  <c r="N192" i="18" s="1"/>
  <c r="B192" i="18"/>
  <c r="X191" i="18"/>
  <c r="Z191" i="18" s="1"/>
  <c r="L191" i="18"/>
  <c r="N191" i="18" s="1"/>
  <c r="B191" i="18"/>
  <c r="Z190" i="18"/>
  <c r="X190" i="18"/>
  <c r="N190" i="18"/>
  <c r="L190" i="18"/>
  <c r="B190" i="18"/>
  <c r="Z189" i="18"/>
  <c r="X189" i="18"/>
  <c r="N189" i="18"/>
  <c r="L189" i="18"/>
  <c r="B189" i="18"/>
  <c r="V188" i="18"/>
  <c r="T188" i="18"/>
  <c r="P188" i="18"/>
  <c r="H188" i="18"/>
  <c r="D188" i="18"/>
  <c r="L188" i="18" s="1"/>
  <c r="N188" i="18" s="1"/>
  <c r="B188" i="18"/>
  <c r="X187" i="18"/>
  <c r="Z187" i="18" s="1"/>
  <c r="N187" i="18"/>
  <c r="L187" i="18"/>
  <c r="B187" i="18"/>
  <c r="Z186" i="18"/>
  <c r="X186" i="18"/>
  <c r="L186" i="18"/>
  <c r="N186" i="18" s="1"/>
  <c r="B186" i="18"/>
  <c r="Z185" i="18"/>
  <c r="X185" i="18"/>
  <c r="V185" i="18"/>
  <c r="N185" i="18"/>
  <c r="L185" i="18"/>
  <c r="B185" i="18"/>
  <c r="X184" i="18"/>
  <c r="Z184" i="18" s="1"/>
  <c r="N184" i="18"/>
  <c r="L184" i="18"/>
  <c r="B184" i="18"/>
  <c r="X183" i="18"/>
  <c r="Z183" i="18" s="1"/>
  <c r="V183" i="18"/>
  <c r="T183" i="18"/>
  <c r="P183" i="18"/>
  <c r="H183" i="18"/>
  <c r="D183" i="18"/>
  <c r="L183" i="18" s="1"/>
  <c r="B183" i="18"/>
  <c r="X182" i="18"/>
  <c r="Z182" i="18" s="1"/>
  <c r="N182" i="18"/>
  <c r="L182" i="18"/>
  <c r="B182" i="18"/>
  <c r="T181" i="18"/>
  <c r="P181" i="18"/>
  <c r="L181" i="18"/>
  <c r="N181" i="18" s="1"/>
  <c r="H181" i="18"/>
  <c r="D181" i="18"/>
  <c r="B181" i="18"/>
  <c r="Z180" i="18"/>
  <c r="X180" i="18"/>
  <c r="N180" i="18"/>
  <c r="L180" i="18"/>
  <c r="B180" i="18"/>
  <c r="Z179" i="18"/>
  <c r="X179" i="18"/>
  <c r="T179" i="18"/>
  <c r="P179" i="18"/>
  <c r="H179" i="18"/>
  <c r="N179" i="18" s="1"/>
  <c r="D179" i="18"/>
  <c r="B179" i="18"/>
  <c r="X178" i="18"/>
  <c r="Z178" i="18" s="1"/>
  <c r="V178" i="18"/>
  <c r="N178" i="18"/>
  <c r="L178" i="18"/>
  <c r="B178" i="18"/>
  <c r="T177" i="18"/>
  <c r="P177" i="18"/>
  <c r="X177" i="18" s="1"/>
  <c r="H177" i="18"/>
  <c r="D177" i="18"/>
  <c r="L177" i="18" s="1"/>
  <c r="N177" i="18" s="1"/>
  <c r="B177" i="18"/>
  <c r="X176" i="18"/>
  <c r="Z176" i="18" s="1"/>
  <c r="N176" i="18"/>
  <c r="L176" i="18"/>
  <c r="B176" i="18"/>
  <c r="X175" i="18"/>
  <c r="Z175" i="18" s="1"/>
  <c r="V175" i="18"/>
  <c r="T175" i="18"/>
  <c r="P175" i="18"/>
  <c r="H175" i="18"/>
  <c r="D175" i="18"/>
  <c r="B175" i="18"/>
  <c r="Z174" i="18"/>
  <c r="X174" i="18"/>
  <c r="N174" i="18"/>
  <c r="L174" i="18"/>
  <c r="B174" i="18"/>
  <c r="Z173" i="18"/>
  <c r="X173" i="18"/>
  <c r="N173" i="18"/>
  <c r="L173" i="18"/>
  <c r="B173" i="18"/>
  <c r="Z172" i="18"/>
  <c r="X172" i="18"/>
  <c r="N172" i="18"/>
  <c r="L172" i="18"/>
  <c r="B172" i="18"/>
  <c r="Z171" i="18"/>
  <c r="X171" i="18"/>
  <c r="T171" i="18"/>
  <c r="P171" i="18"/>
  <c r="H171" i="18"/>
  <c r="D171" i="18"/>
  <c r="B171" i="18"/>
  <c r="X170" i="18"/>
  <c r="Z170" i="18" s="1"/>
  <c r="V170" i="18"/>
  <c r="N170" i="18"/>
  <c r="L170" i="18"/>
  <c r="B170" i="18"/>
  <c r="Z169" i="18"/>
  <c r="X169" i="18"/>
  <c r="L169" i="18"/>
  <c r="N169" i="18" s="1"/>
  <c r="B169" i="18"/>
  <c r="T168" i="18"/>
  <c r="P168" i="18"/>
  <c r="X168" i="18" s="1"/>
  <c r="H168" i="18"/>
  <c r="D168" i="18"/>
  <c r="L168" i="18" s="1"/>
  <c r="N168" i="18" s="1"/>
  <c r="B168" i="18"/>
  <c r="Z167" i="18"/>
  <c r="X167" i="18"/>
  <c r="L167" i="18"/>
  <c r="N167" i="18" s="1"/>
  <c r="B167" i="18"/>
  <c r="X166" i="18"/>
  <c r="T166" i="18"/>
  <c r="P166" i="18"/>
  <c r="H166" i="18"/>
  <c r="D166" i="18"/>
  <c r="L166" i="18" s="1"/>
  <c r="B166" i="18"/>
  <c r="Z165" i="18"/>
  <c r="X165" i="18"/>
  <c r="V165" i="18"/>
  <c r="N165" i="18"/>
  <c r="L165" i="18"/>
  <c r="B165" i="18"/>
  <c r="X164" i="18"/>
  <c r="Z164" i="18" s="1"/>
  <c r="T164" i="18"/>
  <c r="P164" i="18"/>
  <c r="H164" i="18"/>
  <c r="D164" i="18"/>
  <c r="B164" i="18"/>
  <c r="X163" i="18"/>
  <c r="Z163" i="18" s="1"/>
  <c r="N163" i="18"/>
  <c r="L163" i="18"/>
  <c r="B163" i="18"/>
  <c r="Z162" i="18"/>
  <c r="X162" i="18"/>
  <c r="N162" i="18"/>
  <c r="L162" i="18"/>
  <c r="B162" i="18"/>
  <c r="T161" i="18"/>
  <c r="P161" i="18"/>
  <c r="X161" i="18" s="1"/>
  <c r="Z161" i="18" s="1"/>
  <c r="N161" i="18"/>
  <c r="H161" i="18"/>
  <c r="D161" i="18"/>
  <c r="L161" i="18" s="1"/>
  <c r="B161" i="18"/>
  <c r="X160" i="18"/>
  <c r="Z160" i="18" s="1"/>
  <c r="N160" i="18"/>
  <c r="L160" i="18"/>
  <c r="B160" i="18"/>
  <c r="Z159" i="18"/>
  <c r="X159" i="18"/>
  <c r="T159" i="18"/>
  <c r="P159" i="18"/>
  <c r="J159" i="18"/>
  <c r="H159" i="18"/>
  <c r="L159" i="18" s="1"/>
  <c r="D159" i="18"/>
  <c r="B159" i="18"/>
  <c r="X158" i="18"/>
  <c r="Z158" i="18" s="1"/>
  <c r="N158" i="18"/>
  <c r="L158" i="18"/>
  <c r="B158" i="18"/>
  <c r="Z157" i="18"/>
  <c r="X157" i="18"/>
  <c r="N157" i="18"/>
  <c r="L157" i="18"/>
  <c r="B157" i="18"/>
  <c r="V156" i="18"/>
  <c r="T156" i="18"/>
  <c r="P156" i="18"/>
  <c r="H156" i="18"/>
  <c r="D156" i="18"/>
  <c r="L156" i="18" s="1"/>
  <c r="B156" i="18"/>
  <c r="X155" i="18"/>
  <c r="Z155" i="18" s="1"/>
  <c r="V155" i="18"/>
  <c r="L155" i="18"/>
  <c r="N155" i="18" s="1"/>
  <c r="B155" i="18"/>
  <c r="T154" i="18"/>
  <c r="P154" i="18"/>
  <c r="H154" i="18"/>
  <c r="D154" i="18"/>
  <c r="L154" i="18" s="1"/>
  <c r="B154" i="18"/>
  <c r="X153" i="18"/>
  <c r="Z153" i="18" s="1"/>
  <c r="N153" i="18"/>
  <c r="L153" i="18"/>
  <c r="B153" i="18"/>
  <c r="X152" i="18"/>
  <c r="Z152" i="18" s="1"/>
  <c r="V152" i="18"/>
  <c r="L152" i="18"/>
  <c r="N152" i="18" s="1"/>
  <c r="B152" i="18"/>
  <c r="T151" i="18"/>
  <c r="P151" i="18"/>
  <c r="X151" i="18" s="1"/>
  <c r="Z151" i="18" s="1"/>
  <c r="H151" i="18"/>
  <c r="D151" i="18"/>
  <c r="L151" i="18" s="1"/>
  <c r="N151" i="18" s="1"/>
  <c r="B151" i="18"/>
  <c r="X150" i="18"/>
  <c r="Z150" i="18" s="1"/>
  <c r="V150" i="18"/>
  <c r="N150" i="18"/>
  <c r="L150" i="18"/>
  <c r="B150" i="18"/>
  <c r="T149" i="18"/>
  <c r="P149" i="18"/>
  <c r="X149" i="18" s="1"/>
  <c r="Z149" i="18" s="1"/>
  <c r="L149" i="18"/>
  <c r="N149" i="18" s="1"/>
  <c r="H149" i="18"/>
  <c r="D149" i="18"/>
  <c r="B149" i="18"/>
  <c r="Z148" i="18"/>
  <c r="X148" i="18"/>
  <c r="N148" i="18"/>
  <c r="L148" i="18"/>
  <c r="B148" i="18"/>
  <c r="Z147" i="18"/>
  <c r="X147" i="18"/>
  <c r="N147" i="18"/>
  <c r="L147" i="18"/>
  <c r="B147" i="18"/>
  <c r="Z146" i="18"/>
  <c r="X146" i="18"/>
  <c r="L146" i="18"/>
  <c r="N146" i="18" s="1"/>
  <c r="B146" i="18"/>
  <c r="X145" i="18"/>
  <c r="Z145" i="18" s="1"/>
  <c r="V145" i="18"/>
  <c r="N145" i="18"/>
  <c r="L145" i="18"/>
  <c r="B145" i="18"/>
  <c r="Z144" i="18"/>
  <c r="X144" i="18"/>
  <c r="N144" i="18"/>
  <c r="L144" i="18"/>
  <c r="B144" i="18"/>
  <c r="Z143" i="18"/>
  <c r="X143" i="18"/>
  <c r="N143" i="18"/>
  <c r="L143" i="18"/>
  <c r="B143" i="18"/>
  <c r="Z142" i="18"/>
  <c r="X142" i="18"/>
  <c r="L142" i="18"/>
  <c r="N142" i="18" s="1"/>
  <c r="B142" i="18"/>
  <c r="Z141" i="18"/>
  <c r="X141" i="18"/>
  <c r="V141" i="18"/>
  <c r="N141" i="18"/>
  <c r="L141" i="18"/>
  <c r="B141" i="18"/>
  <c r="Z140" i="18"/>
  <c r="X140" i="18"/>
  <c r="N140" i="18"/>
  <c r="L140" i="18"/>
  <c r="J140" i="18"/>
  <c r="B140" i="18"/>
  <c r="Z139" i="18"/>
  <c r="X139" i="18"/>
  <c r="N139" i="18"/>
  <c r="L139" i="18"/>
  <c r="B139" i="18"/>
  <c r="T138" i="18"/>
  <c r="P138" i="18"/>
  <c r="X138" i="18" s="1"/>
  <c r="Z138" i="18" s="1"/>
  <c r="H138" i="18"/>
  <c r="D138" i="18"/>
  <c r="L138" i="18" s="1"/>
  <c r="N138" i="18" s="1"/>
  <c r="B138" i="18"/>
  <c r="Z137" i="18"/>
  <c r="X137" i="18"/>
  <c r="L137" i="18"/>
  <c r="N137" i="18" s="1"/>
  <c r="B137" i="18"/>
  <c r="Z136" i="18"/>
  <c r="X136" i="18"/>
  <c r="V136" i="18"/>
  <c r="L136" i="18"/>
  <c r="N136" i="18" s="1"/>
  <c r="B136" i="18"/>
  <c r="Z135" i="18"/>
  <c r="X135" i="18"/>
  <c r="N135" i="18"/>
  <c r="L135" i="18"/>
  <c r="B135" i="18"/>
  <c r="Z134" i="18"/>
  <c r="X134" i="18"/>
  <c r="N134" i="18"/>
  <c r="L134" i="18"/>
  <c r="J134" i="18"/>
  <c r="B134" i="18"/>
  <c r="Z133" i="18"/>
  <c r="X133" i="18"/>
  <c r="N133" i="18"/>
  <c r="L133" i="18"/>
  <c r="B133" i="18"/>
  <c r="X132" i="18"/>
  <c r="Z132" i="18" s="1"/>
  <c r="V132" i="18"/>
  <c r="L132" i="18"/>
  <c r="N132" i="18" s="1"/>
  <c r="B132" i="18"/>
  <c r="Z131" i="18"/>
  <c r="X131" i="18"/>
  <c r="L131" i="18"/>
  <c r="N131" i="18" s="1"/>
  <c r="B131" i="18"/>
  <c r="X130" i="18"/>
  <c r="Z130" i="18" s="1"/>
  <c r="L130" i="18"/>
  <c r="N130" i="18" s="1"/>
  <c r="J130" i="18"/>
  <c r="B130" i="18"/>
  <c r="Z129" i="18"/>
  <c r="X129" i="18"/>
  <c r="L129" i="18"/>
  <c r="N129" i="18" s="1"/>
  <c r="B129" i="18"/>
  <c r="X128" i="18"/>
  <c r="Z128" i="18" s="1"/>
  <c r="V128" i="18"/>
  <c r="L128" i="18"/>
  <c r="N128" i="18" s="1"/>
  <c r="B128" i="18"/>
  <c r="T127" i="18"/>
  <c r="P127" i="18"/>
  <c r="X127" i="18" s="1"/>
  <c r="H127" i="18"/>
  <c r="N127" i="18" s="1"/>
  <c r="D127" i="18"/>
  <c r="L127" i="18" s="1"/>
  <c r="B127" i="18"/>
  <c r="T126" i="18"/>
  <c r="P126" i="18"/>
  <c r="H126" i="18"/>
  <c r="D126" i="18"/>
  <c r="V124" i="18"/>
  <c r="T124" i="18"/>
  <c r="Z122" i="18"/>
  <c r="X122" i="18"/>
  <c r="V122" i="18"/>
  <c r="N122" i="18"/>
  <c r="L122" i="18"/>
  <c r="B122" i="18"/>
  <c r="Z121" i="18"/>
  <c r="X121" i="18"/>
  <c r="N121" i="18"/>
  <c r="L121" i="18"/>
  <c r="J121" i="18"/>
  <c r="B121" i="18"/>
  <c r="Z120" i="18"/>
  <c r="X120" i="18"/>
  <c r="N120" i="18"/>
  <c r="L120" i="18"/>
  <c r="B120" i="18"/>
  <c r="Z119" i="18"/>
  <c r="X119" i="18"/>
  <c r="N119" i="18"/>
  <c r="L119" i="18"/>
  <c r="B119" i="18"/>
  <c r="Z118" i="18"/>
  <c r="X118" i="18"/>
  <c r="V118" i="18"/>
  <c r="N118" i="18"/>
  <c r="L118" i="18"/>
  <c r="B118" i="18"/>
  <c r="Z117" i="18"/>
  <c r="X117" i="18"/>
  <c r="N117" i="18"/>
  <c r="L117" i="18"/>
  <c r="J117" i="18"/>
  <c r="B117" i="18"/>
  <c r="Z116" i="18"/>
  <c r="X116" i="18"/>
  <c r="N116" i="18"/>
  <c r="L116" i="18"/>
  <c r="B116" i="18"/>
  <c r="Z115" i="18"/>
  <c r="X115" i="18"/>
  <c r="N115" i="18"/>
  <c r="L115" i="18"/>
  <c r="B115" i="18"/>
  <c r="Z114" i="18"/>
  <c r="X114" i="18"/>
  <c r="V114" i="18"/>
  <c r="N114" i="18"/>
  <c r="L114" i="18"/>
  <c r="B114" i="18"/>
  <c r="Z113" i="18"/>
  <c r="X113" i="18"/>
  <c r="N113" i="18"/>
  <c r="L113" i="18"/>
  <c r="J113" i="18"/>
  <c r="B113" i="18"/>
  <c r="Z112" i="18"/>
  <c r="X112" i="18"/>
  <c r="N112" i="18"/>
  <c r="L112" i="18"/>
  <c r="B112" i="18"/>
  <c r="Z111" i="18"/>
  <c r="X111" i="18"/>
  <c r="N111" i="18"/>
  <c r="L111" i="18"/>
  <c r="B111" i="18"/>
  <c r="Z110" i="18"/>
  <c r="X110" i="18"/>
  <c r="V110" i="18"/>
  <c r="N110" i="18"/>
  <c r="L110" i="18"/>
  <c r="B110" i="18"/>
  <c r="Z109" i="18"/>
  <c r="X109" i="18"/>
  <c r="N109" i="18"/>
  <c r="L109" i="18"/>
  <c r="J109" i="18"/>
  <c r="B109" i="18"/>
  <c r="Z108" i="18"/>
  <c r="X108" i="18"/>
  <c r="N108" i="18"/>
  <c r="L108" i="18"/>
  <c r="B108" i="18"/>
  <c r="Z107" i="18"/>
  <c r="X107" i="18"/>
  <c r="N107" i="18"/>
  <c r="L107" i="18"/>
  <c r="B107" i="18"/>
  <c r="Z106" i="18"/>
  <c r="X106" i="18"/>
  <c r="V106" i="18"/>
  <c r="N106" i="18"/>
  <c r="L106" i="18"/>
  <c r="B106" i="18"/>
  <c r="Z105" i="18"/>
  <c r="X105" i="18"/>
  <c r="N105" i="18"/>
  <c r="L105" i="18"/>
  <c r="J105" i="18"/>
  <c r="B105" i="18"/>
  <c r="Z104" i="18"/>
  <c r="X104" i="18"/>
  <c r="N104" i="18"/>
  <c r="L104" i="18"/>
  <c r="B104" i="18"/>
  <c r="Z103" i="18"/>
  <c r="X103" i="18"/>
  <c r="N103" i="18"/>
  <c r="L103" i="18"/>
  <c r="B103" i="18"/>
  <c r="Z102" i="18"/>
  <c r="X102" i="18"/>
  <c r="V102" i="18"/>
  <c r="N102" i="18"/>
  <c r="L102" i="18"/>
  <c r="B102" i="18"/>
  <c r="Z101" i="18"/>
  <c r="X101" i="18"/>
  <c r="N101" i="18"/>
  <c r="L101" i="18"/>
  <c r="J101" i="18"/>
  <c r="B101" i="18"/>
  <c r="Z100" i="18"/>
  <c r="X100" i="18"/>
  <c r="N100" i="18"/>
  <c r="L100" i="18"/>
  <c r="B100" i="18"/>
  <c r="Z99" i="18"/>
  <c r="X99" i="18"/>
  <c r="N99" i="18"/>
  <c r="L99" i="18"/>
  <c r="B99" i="18"/>
  <c r="Z98" i="18"/>
  <c r="X98" i="18"/>
  <c r="V98" i="18"/>
  <c r="N98" i="18"/>
  <c r="L98" i="18"/>
  <c r="B98" i="18"/>
  <c r="Z97" i="18"/>
  <c r="X97" i="18"/>
  <c r="N97" i="18"/>
  <c r="L97" i="18"/>
  <c r="J97" i="18"/>
  <c r="B97" i="18"/>
  <c r="Z96" i="18"/>
  <c r="X96" i="18"/>
  <c r="N96" i="18"/>
  <c r="L96" i="18"/>
  <c r="B96" i="18"/>
  <c r="Z95" i="18"/>
  <c r="X95" i="18"/>
  <c r="N95" i="18"/>
  <c r="L95" i="18"/>
  <c r="B95" i="18"/>
  <c r="Z94" i="18"/>
  <c r="X94" i="18"/>
  <c r="V94" i="18"/>
  <c r="N94" i="18"/>
  <c r="L94" i="18"/>
  <c r="B94" i="18"/>
  <c r="Z93" i="18"/>
  <c r="X93" i="18"/>
  <c r="N93" i="18"/>
  <c r="L93" i="18"/>
  <c r="J93" i="18"/>
  <c r="B93" i="18"/>
  <c r="Z92" i="18"/>
  <c r="X92" i="18"/>
  <c r="N92" i="18"/>
  <c r="L92" i="18"/>
  <c r="B92" i="18"/>
  <c r="Z91" i="18"/>
  <c r="X91" i="18"/>
  <c r="N91" i="18"/>
  <c r="L91" i="18"/>
  <c r="B91" i="18"/>
  <c r="Z90" i="18"/>
  <c r="X90" i="18"/>
  <c r="V90" i="18"/>
  <c r="N90" i="18"/>
  <c r="L90" i="18"/>
  <c r="B90" i="18"/>
  <c r="X89" i="18"/>
  <c r="Z89" i="18" s="1"/>
  <c r="L89" i="18"/>
  <c r="N89" i="18" s="1"/>
  <c r="J89" i="18"/>
  <c r="B89" i="18"/>
  <c r="T88" i="18"/>
  <c r="Z88" i="18" s="1"/>
  <c r="P88" i="18"/>
  <c r="X88" i="18" s="1"/>
  <c r="J88" i="18"/>
  <c r="H88" i="18"/>
  <c r="D88" i="18"/>
  <c r="L88" i="18" s="1"/>
  <c r="Z86" i="18"/>
  <c r="X86" i="18"/>
  <c r="P86" i="18"/>
  <c r="N86" i="18"/>
  <c r="L86" i="18"/>
  <c r="D86" i="18"/>
  <c r="B86" i="18"/>
  <c r="Z85" i="18"/>
  <c r="X85" i="18"/>
  <c r="P85" i="18"/>
  <c r="N85" i="18"/>
  <c r="L85" i="18"/>
  <c r="D85" i="18"/>
  <c r="B85" i="18"/>
  <c r="Z84" i="18"/>
  <c r="P84" i="18"/>
  <c r="X84" i="18" s="1"/>
  <c r="N84" i="18"/>
  <c r="D84" i="18"/>
  <c r="L84" i="18" s="1"/>
  <c r="B84" i="18"/>
  <c r="Z83" i="18"/>
  <c r="X83" i="18"/>
  <c r="P83" i="18"/>
  <c r="N83" i="18"/>
  <c r="L83" i="18"/>
  <c r="D83" i="18"/>
  <c r="B83" i="18"/>
  <c r="Z82" i="18"/>
  <c r="X82" i="18"/>
  <c r="P82" i="18"/>
  <c r="N82" i="18"/>
  <c r="L82" i="18"/>
  <c r="D82" i="18"/>
  <c r="B82" i="18"/>
  <c r="Z81" i="18"/>
  <c r="P81" i="18"/>
  <c r="X81" i="18" s="1"/>
  <c r="N81" i="18"/>
  <c r="D81" i="18"/>
  <c r="L81" i="18" s="1"/>
  <c r="B81" i="18"/>
  <c r="Z80" i="18"/>
  <c r="P80" i="18"/>
  <c r="X80" i="18" s="1"/>
  <c r="N80" i="18"/>
  <c r="L80" i="18"/>
  <c r="D80" i="18"/>
  <c r="B80" i="18"/>
  <c r="Z79" i="18"/>
  <c r="P79" i="18"/>
  <c r="X79" i="18" s="1"/>
  <c r="N79" i="18"/>
  <c r="L79" i="18"/>
  <c r="D79" i="18"/>
  <c r="B79" i="18"/>
  <c r="Z78" i="18"/>
  <c r="X78" i="18"/>
  <c r="P78" i="18"/>
  <c r="N78" i="18"/>
  <c r="D78" i="18"/>
  <c r="L78" i="18" s="1"/>
  <c r="B78" i="18"/>
  <c r="Z77" i="18"/>
  <c r="X77" i="18"/>
  <c r="P77" i="18"/>
  <c r="N77" i="18"/>
  <c r="D77" i="18"/>
  <c r="L77" i="18" s="1"/>
  <c r="B77" i="18"/>
  <c r="Z76" i="18"/>
  <c r="X76" i="18"/>
  <c r="P76" i="18"/>
  <c r="N76" i="18"/>
  <c r="D76" i="18"/>
  <c r="L76" i="18" s="1"/>
  <c r="B76" i="18"/>
  <c r="Z75" i="18"/>
  <c r="P75" i="18"/>
  <c r="X75" i="18" s="1"/>
  <c r="N75" i="18"/>
  <c r="L75" i="18"/>
  <c r="D75" i="18"/>
  <c r="B75" i="18"/>
  <c r="Z74" i="18"/>
  <c r="X74" i="18"/>
  <c r="P74" i="18"/>
  <c r="N74" i="18"/>
  <c r="L74" i="18"/>
  <c r="D74" i="18"/>
  <c r="B74" i="18"/>
  <c r="Z73" i="18"/>
  <c r="P73" i="18"/>
  <c r="X73" i="18" s="1"/>
  <c r="N73" i="18"/>
  <c r="L73" i="18"/>
  <c r="D73" i="18"/>
  <c r="B73" i="18"/>
  <c r="Z72" i="18"/>
  <c r="P72" i="18"/>
  <c r="X72" i="18" s="1"/>
  <c r="N72" i="18"/>
  <c r="D72" i="18"/>
  <c r="L72" i="18" s="1"/>
  <c r="B72" i="18"/>
  <c r="Z71" i="18"/>
  <c r="X71" i="18"/>
  <c r="P71" i="18"/>
  <c r="N71" i="18"/>
  <c r="L71" i="18"/>
  <c r="D71" i="18"/>
  <c r="B71" i="18"/>
  <c r="Z70" i="18"/>
  <c r="X70" i="18"/>
  <c r="P70" i="18"/>
  <c r="N70" i="18"/>
  <c r="L70" i="18"/>
  <c r="D70" i="18"/>
  <c r="B70" i="18"/>
  <c r="Z69" i="18"/>
  <c r="P69" i="18"/>
  <c r="X69" i="18" s="1"/>
  <c r="N69" i="18"/>
  <c r="D69" i="18"/>
  <c r="L69" i="18" s="1"/>
  <c r="B69" i="18"/>
  <c r="Z68" i="18"/>
  <c r="P68" i="18"/>
  <c r="X68" i="18" s="1"/>
  <c r="N68" i="18"/>
  <c r="L68" i="18"/>
  <c r="D68" i="18"/>
  <c r="B68" i="18"/>
  <c r="Z67" i="18"/>
  <c r="P67" i="18"/>
  <c r="X67" i="18" s="1"/>
  <c r="N67" i="18"/>
  <c r="L67" i="18"/>
  <c r="D67" i="18"/>
  <c r="B67" i="18"/>
  <c r="Z66" i="18"/>
  <c r="P66" i="18"/>
  <c r="X66" i="18" s="1"/>
  <c r="N66" i="18"/>
  <c r="D66" i="18"/>
  <c r="L66" i="18" s="1"/>
  <c r="B66" i="18"/>
  <c r="Z65" i="18"/>
  <c r="X65" i="18"/>
  <c r="P65" i="18"/>
  <c r="N65" i="18"/>
  <c r="D65" i="18"/>
  <c r="L65" i="18" s="1"/>
  <c r="B65" i="18"/>
  <c r="Z64" i="18"/>
  <c r="X64" i="18"/>
  <c r="P64" i="18"/>
  <c r="N64" i="18"/>
  <c r="D64" i="18"/>
  <c r="L64" i="18" s="1"/>
  <c r="B64" i="18"/>
  <c r="Z63" i="18"/>
  <c r="P63" i="18"/>
  <c r="X63" i="18" s="1"/>
  <c r="N63" i="18"/>
  <c r="D63" i="18"/>
  <c r="L63" i="18" s="1"/>
  <c r="B63" i="18"/>
  <c r="Z62" i="18"/>
  <c r="X62" i="18"/>
  <c r="P62" i="18"/>
  <c r="N62" i="18"/>
  <c r="L62" i="18"/>
  <c r="D62" i="18"/>
  <c r="B62" i="18"/>
  <c r="Z61" i="18"/>
  <c r="X61" i="18"/>
  <c r="P61" i="18"/>
  <c r="N61" i="18"/>
  <c r="L61" i="18"/>
  <c r="D61" i="18"/>
  <c r="B61" i="18"/>
  <c r="Z60" i="18"/>
  <c r="P60" i="18"/>
  <c r="X60" i="18" s="1"/>
  <c r="N60" i="18"/>
  <c r="D60" i="18"/>
  <c r="L60" i="18" s="1"/>
  <c r="B60" i="18"/>
  <c r="Z59" i="18"/>
  <c r="X59" i="18"/>
  <c r="P59" i="18"/>
  <c r="N59" i="18"/>
  <c r="L59" i="18"/>
  <c r="D59" i="18"/>
  <c r="B59" i="18"/>
  <c r="Z58" i="18"/>
  <c r="X58" i="18"/>
  <c r="P58" i="18"/>
  <c r="N58" i="18"/>
  <c r="D58" i="18"/>
  <c r="L58" i="18" s="1"/>
  <c r="B58" i="18"/>
  <c r="Z57" i="18"/>
  <c r="P57" i="18"/>
  <c r="X57" i="18" s="1"/>
  <c r="N57" i="18"/>
  <c r="D57" i="18"/>
  <c r="L57" i="18" s="1"/>
  <c r="B57" i="18"/>
  <c r="Z56" i="18"/>
  <c r="P56" i="18"/>
  <c r="X56" i="18" s="1"/>
  <c r="N56" i="18"/>
  <c r="L56" i="18"/>
  <c r="D56" i="18"/>
  <c r="B56" i="18"/>
  <c r="Z55" i="18"/>
  <c r="P55" i="18"/>
  <c r="X55" i="18" s="1"/>
  <c r="N55" i="18"/>
  <c r="L55" i="18"/>
  <c r="D55" i="18"/>
  <c r="B55" i="18"/>
  <c r="Z54" i="18"/>
  <c r="P54" i="18"/>
  <c r="X54" i="18" s="1"/>
  <c r="N54" i="18"/>
  <c r="D54" i="18"/>
  <c r="L54" i="18" s="1"/>
  <c r="B54" i="18"/>
  <c r="Z53" i="18"/>
  <c r="X53" i="18"/>
  <c r="P53" i="18"/>
  <c r="N53" i="18"/>
  <c r="D53" i="18"/>
  <c r="L53" i="18" s="1"/>
  <c r="B53" i="18"/>
  <c r="Z52" i="18"/>
  <c r="X52" i="18"/>
  <c r="P52" i="18"/>
  <c r="N52" i="18"/>
  <c r="D52" i="18"/>
  <c r="L52" i="18" s="1"/>
  <c r="B52" i="18"/>
  <c r="Z51" i="18"/>
  <c r="P51" i="18"/>
  <c r="X51" i="18" s="1"/>
  <c r="N51" i="18"/>
  <c r="L51" i="18"/>
  <c r="D51" i="18"/>
  <c r="B51" i="18"/>
  <c r="Z50" i="18"/>
  <c r="X50" i="18"/>
  <c r="P50" i="18"/>
  <c r="N50" i="18"/>
  <c r="L50" i="18"/>
  <c r="D50" i="18"/>
  <c r="B50" i="18"/>
  <c r="Z49" i="18"/>
  <c r="P49" i="18"/>
  <c r="X49" i="18" s="1"/>
  <c r="N49" i="18"/>
  <c r="L49" i="18"/>
  <c r="D49" i="18"/>
  <c r="B49" i="18"/>
  <c r="Z48" i="18"/>
  <c r="P48" i="18"/>
  <c r="X48" i="18" s="1"/>
  <c r="N48" i="18"/>
  <c r="D48" i="18"/>
  <c r="L48" i="18" s="1"/>
  <c r="B48" i="18"/>
  <c r="Z47" i="18"/>
  <c r="X47" i="18"/>
  <c r="P47" i="18"/>
  <c r="N47" i="18"/>
  <c r="L47" i="18"/>
  <c r="D47" i="18"/>
  <c r="B47" i="18"/>
  <c r="Z46" i="18"/>
  <c r="X46" i="18"/>
  <c r="P46" i="18"/>
  <c r="N46" i="18"/>
  <c r="L46" i="18"/>
  <c r="D46" i="18"/>
  <c r="B46" i="18"/>
  <c r="Z45" i="18"/>
  <c r="P45" i="18"/>
  <c r="X45" i="18" s="1"/>
  <c r="N45" i="18"/>
  <c r="D45" i="18"/>
  <c r="L45" i="18" s="1"/>
  <c r="B45" i="18"/>
  <c r="Z44" i="18"/>
  <c r="P44" i="18"/>
  <c r="X44" i="18" s="1"/>
  <c r="N44" i="18"/>
  <c r="L44" i="18"/>
  <c r="D44" i="18"/>
  <c r="B44" i="18"/>
  <c r="Z43" i="18"/>
  <c r="P43" i="18"/>
  <c r="X43" i="18" s="1"/>
  <c r="N43" i="18"/>
  <c r="L43" i="18"/>
  <c r="D43" i="18"/>
  <c r="B43" i="18"/>
  <c r="Z42" i="18"/>
  <c r="P42" i="18"/>
  <c r="X42" i="18" s="1"/>
  <c r="N42" i="18"/>
  <c r="D42" i="18"/>
  <c r="L42" i="18" s="1"/>
  <c r="B42" i="18"/>
  <c r="Z41" i="18"/>
  <c r="X41" i="18"/>
  <c r="P41" i="18"/>
  <c r="N41" i="18"/>
  <c r="D41" i="18"/>
  <c r="L41" i="18" s="1"/>
  <c r="B41" i="18"/>
  <c r="Z40" i="18"/>
  <c r="X40" i="18"/>
  <c r="P40" i="18"/>
  <c r="N40" i="18"/>
  <c r="D40" i="18"/>
  <c r="L40" i="18" s="1"/>
  <c r="B40" i="18"/>
  <c r="Z39" i="18"/>
  <c r="P39" i="18"/>
  <c r="X39" i="18" s="1"/>
  <c r="N39" i="18"/>
  <c r="D39" i="18"/>
  <c r="B39" i="18"/>
  <c r="Z38" i="18"/>
  <c r="X38" i="18"/>
  <c r="P38" i="18"/>
  <c r="N38" i="18"/>
  <c r="L38" i="18"/>
  <c r="D38" i="18"/>
  <c r="B38" i="18"/>
  <c r="X37" i="18"/>
  <c r="Z37" i="18" s="1"/>
  <c r="P37" i="18"/>
  <c r="N37" i="18"/>
  <c r="L37" i="18"/>
  <c r="D37" i="18"/>
  <c r="B37" i="18"/>
  <c r="Z36" i="18"/>
  <c r="P36" i="18"/>
  <c r="X36" i="18" s="1"/>
  <c r="N36" i="18"/>
  <c r="D36" i="18"/>
  <c r="L36" i="18" s="1"/>
  <c r="B36" i="18"/>
  <c r="Z35" i="18"/>
  <c r="X35" i="18"/>
  <c r="P35" i="18"/>
  <c r="N35" i="18"/>
  <c r="L35" i="18"/>
  <c r="D35" i="18"/>
  <c r="B35" i="18"/>
  <c r="Z34" i="18"/>
  <c r="X34" i="18"/>
  <c r="P34" i="18"/>
  <c r="N34" i="18"/>
  <c r="D34" i="18"/>
  <c r="L34" i="18" s="1"/>
  <c r="B34" i="18"/>
  <c r="Z33" i="18"/>
  <c r="P33" i="18"/>
  <c r="X33" i="18" s="1"/>
  <c r="N33" i="18"/>
  <c r="D33" i="18"/>
  <c r="L33" i="18" s="1"/>
  <c r="B33" i="18"/>
  <c r="Z32" i="18"/>
  <c r="P32" i="18"/>
  <c r="X32" i="18" s="1"/>
  <c r="N32" i="18"/>
  <c r="L32" i="18"/>
  <c r="D32" i="18"/>
  <c r="B32" i="18"/>
  <c r="Z31" i="18"/>
  <c r="P31" i="18"/>
  <c r="X31" i="18" s="1"/>
  <c r="N31" i="18"/>
  <c r="L31" i="18"/>
  <c r="D31" i="18"/>
  <c r="B31" i="18"/>
  <c r="Z30" i="18"/>
  <c r="P30" i="18"/>
  <c r="X30" i="18" s="1"/>
  <c r="N30" i="18"/>
  <c r="D30" i="18"/>
  <c r="L30" i="18" s="1"/>
  <c r="B30" i="18"/>
  <c r="Z29" i="18"/>
  <c r="X29" i="18"/>
  <c r="P29" i="18"/>
  <c r="N29" i="18"/>
  <c r="D29" i="18"/>
  <c r="L29" i="18" s="1"/>
  <c r="B29" i="18"/>
  <c r="Z28" i="18"/>
  <c r="X28" i="18"/>
  <c r="P28" i="18"/>
  <c r="N28" i="18"/>
  <c r="D28" i="18"/>
  <c r="L28" i="18" s="1"/>
  <c r="B28" i="18"/>
  <c r="Z27" i="18"/>
  <c r="P27" i="18"/>
  <c r="X27" i="18" s="1"/>
  <c r="N27" i="18"/>
  <c r="L27" i="18"/>
  <c r="D27" i="18"/>
  <c r="B27" i="18"/>
  <c r="Z26" i="18"/>
  <c r="X26" i="18"/>
  <c r="P26" i="18"/>
  <c r="N26" i="18"/>
  <c r="L26" i="18"/>
  <c r="D26" i="18"/>
  <c r="B26" i="18"/>
  <c r="Z25" i="18"/>
  <c r="P25" i="18"/>
  <c r="X25" i="18" s="1"/>
  <c r="N25" i="18"/>
  <c r="L25" i="18"/>
  <c r="D25" i="18"/>
  <c r="B25" i="18"/>
  <c r="Z24" i="18"/>
  <c r="P24" i="18"/>
  <c r="X24" i="18" s="1"/>
  <c r="N24" i="18"/>
  <c r="D24" i="18"/>
  <c r="L24" i="18" s="1"/>
  <c r="B24" i="18"/>
  <c r="Z23" i="18"/>
  <c r="X23" i="18"/>
  <c r="P23" i="18"/>
  <c r="N23" i="18"/>
  <c r="L23" i="18"/>
  <c r="D23" i="18"/>
  <c r="B23" i="18"/>
  <c r="Z22" i="18"/>
  <c r="X22" i="18"/>
  <c r="P22" i="18"/>
  <c r="N22" i="18"/>
  <c r="L22" i="18"/>
  <c r="D22" i="18"/>
  <c r="B22" i="18"/>
  <c r="Z21" i="18"/>
  <c r="P21" i="18"/>
  <c r="X21" i="18" s="1"/>
  <c r="N21" i="18"/>
  <c r="D21" i="18"/>
  <c r="L21" i="18" s="1"/>
  <c r="B21" i="18"/>
  <c r="Z20" i="18"/>
  <c r="P20" i="18"/>
  <c r="X20" i="18" s="1"/>
  <c r="N20" i="18"/>
  <c r="L20" i="18"/>
  <c r="D20" i="18"/>
  <c r="B20" i="18"/>
  <c r="Z19" i="18"/>
  <c r="P19" i="18"/>
  <c r="X19" i="18" s="1"/>
  <c r="N19" i="18"/>
  <c r="L19" i="18"/>
  <c r="D19" i="18"/>
  <c r="B19" i="18"/>
  <c r="Z18" i="18"/>
  <c r="X18" i="18"/>
  <c r="P18" i="18"/>
  <c r="N18" i="18"/>
  <c r="D18" i="18"/>
  <c r="L18" i="18" s="1"/>
  <c r="B18" i="18"/>
  <c r="Z17" i="18"/>
  <c r="X17" i="18"/>
  <c r="P17" i="18"/>
  <c r="N17" i="18"/>
  <c r="D17" i="18"/>
  <c r="L17" i="18" s="1"/>
  <c r="B17" i="18"/>
  <c r="Z16" i="18"/>
  <c r="X16" i="18"/>
  <c r="P16" i="18"/>
  <c r="N16" i="18"/>
  <c r="D16" i="18"/>
  <c r="L16" i="18" s="1"/>
  <c r="B16" i="18"/>
  <c r="Z15" i="18"/>
  <c r="P15" i="18"/>
  <c r="X15" i="18" s="1"/>
  <c r="N15" i="18"/>
  <c r="L15" i="18"/>
  <c r="D15" i="18"/>
  <c r="B15" i="18"/>
  <c r="Z14" i="18"/>
  <c r="X14" i="18"/>
  <c r="P14" i="18"/>
  <c r="N14" i="18"/>
  <c r="L14" i="18"/>
  <c r="D14" i="18"/>
  <c r="B14" i="18"/>
  <c r="X13" i="18"/>
  <c r="Z13" i="18" s="1"/>
  <c r="P13" i="18"/>
  <c r="N13" i="18"/>
  <c r="L13" i="18"/>
  <c r="D13" i="18"/>
  <c r="B13" i="18"/>
  <c r="T12" i="18"/>
  <c r="V173" i="18" s="1"/>
  <c r="H12" i="18"/>
  <c r="J173" i="18" s="1"/>
  <c r="D4" i="18"/>
  <c r="Z209" i="15"/>
  <c r="X209" i="15"/>
  <c r="N209" i="15"/>
  <c r="L209" i="15"/>
  <c r="Z205" i="15"/>
  <c r="X205" i="15"/>
  <c r="P205" i="15"/>
  <c r="N205" i="15"/>
  <c r="L205" i="15"/>
  <c r="J205" i="15"/>
  <c r="D205" i="15"/>
  <c r="B205" i="15"/>
  <c r="Z204" i="15"/>
  <c r="X204" i="15"/>
  <c r="P204" i="15"/>
  <c r="N204" i="15"/>
  <c r="D204" i="15"/>
  <c r="L204" i="15" s="1"/>
  <c r="B204" i="15"/>
  <c r="X203" i="15"/>
  <c r="Z203" i="15" s="1"/>
  <c r="P203" i="15"/>
  <c r="D203" i="15"/>
  <c r="L203" i="15" s="1"/>
  <c r="N203" i="15" s="1"/>
  <c r="B203" i="15"/>
  <c r="V202" i="15"/>
  <c r="P202" i="15"/>
  <c r="X202" i="15" s="1"/>
  <c r="Z202" i="15" s="1"/>
  <c r="D202" i="15"/>
  <c r="L202" i="15" s="1"/>
  <c r="N202" i="15" s="1"/>
  <c r="B202" i="15"/>
  <c r="T201" i="15"/>
  <c r="H201" i="15"/>
  <c r="D201" i="15"/>
  <c r="L201" i="15" s="1"/>
  <c r="N201" i="15" s="1"/>
  <c r="Z199" i="15"/>
  <c r="X199" i="15"/>
  <c r="L199" i="15"/>
  <c r="N199" i="15" s="1"/>
  <c r="B199" i="15"/>
  <c r="T198" i="15"/>
  <c r="P198" i="15"/>
  <c r="L198" i="15"/>
  <c r="N198" i="15" s="1"/>
  <c r="J198" i="15"/>
  <c r="H198" i="15"/>
  <c r="D198" i="15"/>
  <c r="B198" i="15"/>
  <c r="X197" i="15"/>
  <c r="Z197" i="15" s="1"/>
  <c r="L197" i="15"/>
  <c r="N197" i="15" s="1"/>
  <c r="J197" i="15"/>
  <c r="B197" i="15"/>
  <c r="X196" i="15"/>
  <c r="Z196" i="15" s="1"/>
  <c r="N196" i="15"/>
  <c r="L196" i="15"/>
  <c r="B196" i="15"/>
  <c r="Z195" i="15"/>
  <c r="X195" i="15"/>
  <c r="N195" i="15"/>
  <c r="L195" i="15"/>
  <c r="B195" i="15"/>
  <c r="T194" i="15"/>
  <c r="P194" i="15"/>
  <c r="H194" i="15"/>
  <c r="D194" i="15"/>
  <c r="L194" i="15" s="1"/>
  <c r="B194" i="15"/>
  <c r="X193" i="15"/>
  <c r="Z193" i="15" s="1"/>
  <c r="N193" i="15"/>
  <c r="L193" i="15"/>
  <c r="B193" i="15"/>
  <c r="T192" i="15"/>
  <c r="P192" i="15"/>
  <c r="X192" i="15" s="1"/>
  <c r="Z192" i="15" s="1"/>
  <c r="N192" i="15"/>
  <c r="H192" i="15"/>
  <c r="D192" i="15"/>
  <c r="L192" i="15" s="1"/>
  <c r="B192" i="15"/>
  <c r="Z191" i="15"/>
  <c r="X191" i="15"/>
  <c r="L191" i="15"/>
  <c r="N191" i="15" s="1"/>
  <c r="B191" i="15"/>
  <c r="X190" i="15"/>
  <c r="Z190" i="15" s="1"/>
  <c r="L190" i="15"/>
  <c r="N190" i="15" s="1"/>
  <c r="J190" i="15"/>
  <c r="B190" i="15"/>
  <c r="T189" i="15"/>
  <c r="P189" i="15"/>
  <c r="X189" i="15" s="1"/>
  <c r="Z189" i="15" s="1"/>
  <c r="H189" i="15"/>
  <c r="D189" i="15"/>
  <c r="B189" i="15"/>
  <c r="X188" i="15"/>
  <c r="Z188" i="15" s="1"/>
  <c r="N188" i="15"/>
  <c r="L188" i="15"/>
  <c r="B188" i="15"/>
  <c r="X187" i="15"/>
  <c r="Z187" i="15" s="1"/>
  <c r="N187" i="15"/>
  <c r="L187" i="15"/>
  <c r="B187" i="15"/>
  <c r="X186" i="15"/>
  <c r="Z186" i="15" s="1"/>
  <c r="N186" i="15"/>
  <c r="L186" i="15"/>
  <c r="B186" i="15"/>
  <c r="X185" i="15"/>
  <c r="Z185" i="15" s="1"/>
  <c r="N185" i="15"/>
  <c r="L185" i="15"/>
  <c r="J185" i="15"/>
  <c r="B185" i="15"/>
  <c r="X184" i="15"/>
  <c r="Z184" i="15" s="1"/>
  <c r="N184" i="15"/>
  <c r="L184" i="15"/>
  <c r="B184" i="15"/>
  <c r="X183" i="15"/>
  <c r="Z183" i="15" s="1"/>
  <c r="N183" i="15"/>
  <c r="L183" i="15"/>
  <c r="B183" i="15"/>
  <c r="X182" i="15"/>
  <c r="Z182" i="15" s="1"/>
  <c r="N182" i="15"/>
  <c r="L182" i="15"/>
  <c r="B182" i="15"/>
  <c r="X181" i="15"/>
  <c r="Z181" i="15" s="1"/>
  <c r="L181" i="15"/>
  <c r="N181" i="15" s="1"/>
  <c r="J181" i="15"/>
  <c r="B181" i="15"/>
  <c r="X180" i="15"/>
  <c r="Z180" i="15" s="1"/>
  <c r="N180" i="15"/>
  <c r="L180" i="15"/>
  <c r="B180" i="15"/>
  <c r="Z179" i="15"/>
  <c r="X179" i="15"/>
  <c r="T179" i="15"/>
  <c r="P179" i="15"/>
  <c r="J179" i="15"/>
  <c r="H179" i="15"/>
  <c r="D179" i="15"/>
  <c r="L179" i="15" s="1"/>
  <c r="N179" i="15" s="1"/>
  <c r="B179" i="15"/>
  <c r="Z178" i="15"/>
  <c r="X178" i="15"/>
  <c r="N178" i="15"/>
  <c r="L178" i="15"/>
  <c r="J178" i="15"/>
  <c r="B178" i="15"/>
  <c r="X177" i="15"/>
  <c r="Z177" i="15" s="1"/>
  <c r="V177" i="15"/>
  <c r="N177" i="15"/>
  <c r="L177" i="15"/>
  <c r="B177" i="15"/>
  <c r="T176" i="15"/>
  <c r="P176" i="15"/>
  <c r="X176" i="15" s="1"/>
  <c r="Z176" i="15" s="1"/>
  <c r="N176" i="15"/>
  <c r="L176" i="15"/>
  <c r="H176" i="15"/>
  <c r="D176" i="15"/>
  <c r="B176" i="15"/>
  <c r="Z175" i="15"/>
  <c r="X175" i="15"/>
  <c r="L175" i="15"/>
  <c r="N175" i="15" s="1"/>
  <c r="B175" i="15"/>
  <c r="X174" i="15"/>
  <c r="Z174" i="15" s="1"/>
  <c r="L174" i="15"/>
  <c r="N174" i="15" s="1"/>
  <c r="J174" i="15"/>
  <c r="B174" i="15"/>
  <c r="Z173" i="15"/>
  <c r="X173" i="15"/>
  <c r="N173" i="15"/>
  <c r="L173" i="15"/>
  <c r="J173" i="15"/>
  <c r="B173" i="15"/>
  <c r="Z172" i="15"/>
  <c r="X172" i="15"/>
  <c r="V172" i="15"/>
  <c r="L172" i="15"/>
  <c r="N172" i="15" s="1"/>
  <c r="B172" i="15"/>
  <c r="T171" i="15"/>
  <c r="P171" i="15"/>
  <c r="H171" i="15"/>
  <c r="D171" i="15"/>
  <c r="L171" i="15" s="1"/>
  <c r="N171" i="15" s="1"/>
  <c r="B171" i="15"/>
  <c r="X170" i="15"/>
  <c r="Z170" i="15" s="1"/>
  <c r="N170" i="15"/>
  <c r="L170" i="15"/>
  <c r="B170" i="15"/>
  <c r="X169" i="15"/>
  <c r="Z169" i="15" s="1"/>
  <c r="L169" i="15"/>
  <c r="N169" i="15" s="1"/>
  <c r="J169" i="15"/>
  <c r="B169" i="15"/>
  <c r="X168" i="15"/>
  <c r="Z168" i="15" s="1"/>
  <c r="N168" i="15"/>
  <c r="L168" i="15"/>
  <c r="B168" i="15"/>
  <c r="X167" i="15"/>
  <c r="Z167" i="15" s="1"/>
  <c r="N167" i="15"/>
  <c r="L167" i="15"/>
  <c r="B167" i="15"/>
  <c r="T166" i="15"/>
  <c r="P166" i="15"/>
  <c r="H166" i="15"/>
  <c r="N166" i="15" s="1"/>
  <c r="D166" i="15"/>
  <c r="L166" i="15" s="1"/>
  <c r="B166" i="15"/>
  <c r="X165" i="15"/>
  <c r="Z165" i="15" s="1"/>
  <c r="V165" i="15"/>
  <c r="N165" i="15"/>
  <c r="L165" i="15"/>
  <c r="B165" i="15"/>
  <c r="Z164" i="15"/>
  <c r="X164" i="15"/>
  <c r="L164" i="15"/>
  <c r="N164" i="15" s="1"/>
  <c r="J164" i="15"/>
  <c r="B164" i="15"/>
  <c r="Z163" i="15"/>
  <c r="X163" i="15"/>
  <c r="N163" i="15"/>
  <c r="L163" i="15"/>
  <c r="B163" i="15"/>
  <c r="Z162" i="15"/>
  <c r="X162" i="15"/>
  <c r="N162" i="15"/>
  <c r="L162" i="15"/>
  <c r="J162" i="15"/>
  <c r="B162" i="15"/>
  <c r="X161" i="15"/>
  <c r="V161" i="15"/>
  <c r="T161" i="15"/>
  <c r="P161" i="15"/>
  <c r="H161" i="15"/>
  <c r="D161" i="15"/>
  <c r="B161" i="15"/>
  <c r="X160" i="15"/>
  <c r="Z160" i="15" s="1"/>
  <c r="L160" i="15"/>
  <c r="N160" i="15" s="1"/>
  <c r="B160" i="15"/>
  <c r="T159" i="15"/>
  <c r="P159" i="15"/>
  <c r="H159" i="15"/>
  <c r="D159" i="15"/>
  <c r="L159" i="15" s="1"/>
  <c r="N159" i="15" s="1"/>
  <c r="B159" i="15"/>
  <c r="X158" i="15"/>
  <c r="Z158" i="15" s="1"/>
  <c r="N158" i="15"/>
  <c r="L158" i="15"/>
  <c r="B158" i="15"/>
  <c r="T157" i="15"/>
  <c r="P157" i="15"/>
  <c r="X157" i="15" s="1"/>
  <c r="Z157" i="15" s="1"/>
  <c r="N157" i="15"/>
  <c r="L157" i="15"/>
  <c r="H157" i="15"/>
  <c r="D157" i="15"/>
  <c r="B157" i="15"/>
  <c r="Z156" i="15"/>
  <c r="X156" i="15"/>
  <c r="N156" i="15"/>
  <c r="L156" i="15"/>
  <c r="J156" i="15"/>
  <c r="B156" i="15"/>
  <c r="T155" i="15"/>
  <c r="P155" i="15"/>
  <c r="L155" i="15"/>
  <c r="J155" i="15"/>
  <c r="H155" i="15"/>
  <c r="D155" i="15"/>
  <c r="B155" i="15"/>
  <c r="X154" i="15"/>
  <c r="Z154" i="15" s="1"/>
  <c r="L154" i="15"/>
  <c r="N154" i="15" s="1"/>
  <c r="J154" i="15"/>
  <c r="B154" i="15"/>
  <c r="T153" i="15"/>
  <c r="P153" i="15"/>
  <c r="X153" i="15" s="1"/>
  <c r="Z153" i="15" s="1"/>
  <c r="H153" i="15"/>
  <c r="D153" i="15"/>
  <c r="B153" i="15"/>
  <c r="X152" i="15"/>
  <c r="Z152" i="15" s="1"/>
  <c r="N152" i="15"/>
  <c r="L152" i="15"/>
  <c r="B152" i="15"/>
  <c r="X151" i="15"/>
  <c r="Z151" i="15" s="1"/>
  <c r="N151" i="15"/>
  <c r="L151" i="15"/>
  <c r="B151" i="15"/>
  <c r="X150" i="15"/>
  <c r="Z150" i="15" s="1"/>
  <c r="N150" i="15"/>
  <c r="L150" i="15"/>
  <c r="B150" i="15"/>
  <c r="T149" i="15"/>
  <c r="P149" i="15"/>
  <c r="X149" i="15" s="1"/>
  <c r="Z149" i="15" s="1"/>
  <c r="L149" i="15"/>
  <c r="N149" i="15" s="1"/>
  <c r="H149" i="15"/>
  <c r="D149" i="15"/>
  <c r="B149" i="15"/>
  <c r="Z148" i="15"/>
  <c r="X148" i="15"/>
  <c r="L148" i="15"/>
  <c r="N148" i="15" s="1"/>
  <c r="J148" i="15"/>
  <c r="B148" i="15"/>
  <c r="X147" i="15"/>
  <c r="Z147" i="15" s="1"/>
  <c r="N147" i="15"/>
  <c r="L147" i="15"/>
  <c r="B147" i="15"/>
  <c r="Z146" i="15"/>
  <c r="X146" i="15"/>
  <c r="T146" i="15"/>
  <c r="P146" i="15"/>
  <c r="H146" i="15"/>
  <c r="D146" i="15"/>
  <c r="L146" i="15" s="1"/>
  <c r="N146" i="15" s="1"/>
  <c r="B146" i="15"/>
  <c r="Z145" i="15"/>
  <c r="X145" i="15"/>
  <c r="L145" i="15"/>
  <c r="N145" i="15" s="1"/>
  <c r="J145" i="15"/>
  <c r="B145" i="15"/>
  <c r="X144" i="15"/>
  <c r="Z144" i="15" s="1"/>
  <c r="T144" i="15"/>
  <c r="P144" i="15"/>
  <c r="J144" i="15"/>
  <c r="H144" i="15"/>
  <c r="D144" i="15"/>
  <c r="B144" i="15"/>
  <c r="X143" i="15"/>
  <c r="Z143" i="15" s="1"/>
  <c r="L143" i="15"/>
  <c r="N143" i="15" s="1"/>
  <c r="B143" i="15"/>
  <c r="V142" i="15"/>
  <c r="T142" i="15"/>
  <c r="P142" i="15"/>
  <c r="X142" i="15" s="1"/>
  <c r="H142" i="15"/>
  <c r="N142" i="15" s="1"/>
  <c r="D142" i="15"/>
  <c r="L142" i="15" s="1"/>
  <c r="B142" i="15"/>
  <c r="X141" i="15"/>
  <c r="Z141" i="15" s="1"/>
  <c r="N141" i="15"/>
  <c r="L141" i="15"/>
  <c r="B141" i="15"/>
  <c r="Z140" i="15"/>
  <c r="X140" i="15"/>
  <c r="N140" i="15"/>
  <c r="L140" i="15"/>
  <c r="J140" i="15"/>
  <c r="B140" i="15"/>
  <c r="T139" i="15"/>
  <c r="P139" i="15"/>
  <c r="L139" i="15"/>
  <c r="J139" i="15"/>
  <c r="H139" i="15"/>
  <c r="D139" i="15"/>
  <c r="B139" i="15"/>
  <c r="X138" i="15"/>
  <c r="Z138" i="15" s="1"/>
  <c r="L138" i="15"/>
  <c r="N138" i="15" s="1"/>
  <c r="J138" i="15"/>
  <c r="B138" i="15"/>
  <c r="T137" i="15"/>
  <c r="P137" i="15"/>
  <c r="X137" i="15" s="1"/>
  <c r="Z137" i="15" s="1"/>
  <c r="H137" i="15"/>
  <c r="D137" i="15"/>
  <c r="B137" i="15"/>
  <c r="X136" i="15"/>
  <c r="Z136" i="15" s="1"/>
  <c r="N136" i="15"/>
  <c r="L136" i="15"/>
  <c r="B136" i="15"/>
  <c r="Z135" i="15"/>
  <c r="X135" i="15"/>
  <c r="N135" i="15"/>
  <c r="L135" i="15"/>
  <c r="B135" i="15"/>
  <c r="V134" i="15"/>
  <c r="T134" i="15"/>
  <c r="P134" i="15"/>
  <c r="X134" i="15" s="1"/>
  <c r="H134" i="15"/>
  <c r="D134" i="15"/>
  <c r="L134" i="15" s="1"/>
  <c r="B134" i="15"/>
  <c r="X133" i="15"/>
  <c r="Z133" i="15" s="1"/>
  <c r="V133" i="15"/>
  <c r="N133" i="15"/>
  <c r="L133" i="15"/>
  <c r="B133" i="15"/>
  <c r="T132" i="15"/>
  <c r="P132" i="15"/>
  <c r="X132" i="15" s="1"/>
  <c r="Z132" i="15" s="1"/>
  <c r="N132" i="15"/>
  <c r="L132" i="15"/>
  <c r="H132" i="15"/>
  <c r="D132" i="15"/>
  <c r="B132" i="15"/>
  <c r="Z131" i="15"/>
  <c r="X131" i="15"/>
  <c r="N131" i="15"/>
  <c r="L131" i="15"/>
  <c r="J131" i="15"/>
  <c r="B131" i="15"/>
  <c r="X130" i="15"/>
  <c r="Z130" i="15" s="1"/>
  <c r="L130" i="15"/>
  <c r="N130" i="15" s="1"/>
  <c r="J130" i="15"/>
  <c r="B130" i="15"/>
  <c r="T129" i="15"/>
  <c r="P129" i="15"/>
  <c r="X129" i="15" s="1"/>
  <c r="Z129" i="15" s="1"/>
  <c r="H129" i="15"/>
  <c r="D129" i="15"/>
  <c r="B129" i="15"/>
  <c r="X128" i="15"/>
  <c r="Z128" i="15" s="1"/>
  <c r="N128" i="15"/>
  <c r="L128" i="15"/>
  <c r="B128" i="15"/>
  <c r="X127" i="15"/>
  <c r="Z127" i="15" s="1"/>
  <c r="T127" i="15"/>
  <c r="P127" i="15"/>
  <c r="J127" i="15"/>
  <c r="H127" i="15"/>
  <c r="D127" i="15"/>
  <c r="L127" i="15" s="1"/>
  <c r="N127" i="15" s="1"/>
  <c r="B127" i="15"/>
  <c r="Z126" i="15"/>
  <c r="X126" i="15"/>
  <c r="N126" i="15"/>
  <c r="L126" i="15"/>
  <c r="J126" i="15"/>
  <c r="B126" i="15"/>
  <c r="Z125" i="15"/>
  <c r="X125" i="15"/>
  <c r="V125" i="15"/>
  <c r="N125" i="15"/>
  <c r="L125" i="15"/>
  <c r="B125" i="15"/>
  <c r="Z124" i="15"/>
  <c r="X124" i="15"/>
  <c r="N124" i="15"/>
  <c r="L124" i="15"/>
  <c r="J124" i="15"/>
  <c r="B124" i="15"/>
  <c r="X123" i="15"/>
  <c r="Z123" i="15" s="1"/>
  <c r="N123" i="15"/>
  <c r="L123" i="15"/>
  <c r="B123" i="15"/>
  <c r="Z122" i="15"/>
  <c r="X122" i="15"/>
  <c r="N122" i="15"/>
  <c r="L122" i="15"/>
  <c r="J122" i="15"/>
  <c r="B122" i="15"/>
  <c r="X121" i="15"/>
  <c r="Z121" i="15" s="1"/>
  <c r="N121" i="15"/>
  <c r="L121" i="15"/>
  <c r="B121" i="15"/>
  <c r="Z120" i="15"/>
  <c r="X120" i="15"/>
  <c r="N120" i="15"/>
  <c r="L120" i="15"/>
  <c r="J120" i="15"/>
  <c r="B120" i="15"/>
  <c r="Z119" i="15"/>
  <c r="X119" i="15"/>
  <c r="N119" i="15"/>
  <c r="L119" i="15"/>
  <c r="B119" i="15"/>
  <c r="Z118" i="15"/>
  <c r="X118" i="15"/>
  <c r="L118" i="15"/>
  <c r="N118" i="15" s="1"/>
  <c r="J118" i="15"/>
  <c r="B118" i="15"/>
  <c r="X117" i="15"/>
  <c r="Z117" i="15" s="1"/>
  <c r="V117" i="15"/>
  <c r="N117" i="15"/>
  <c r="L117" i="15"/>
  <c r="B117" i="15"/>
  <c r="T116" i="15"/>
  <c r="P116" i="15"/>
  <c r="X116" i="15" s="1"/>
  <c r="Z116" i="15" s="1"/>
  <c r="N116" i="15"/>
  <c r="H116" i="15"/>
  <c r="D116" i="15"/>
  <c r="L116" i="15" s="1"/>
  <c r="B116" i="15"/>
  <c r="Z115" i="15"/>
  <c r="X115" i="15"/>
  <c r="N115" i="15"/>
  <c r="L115" i="15"/>
  <c r="J115" i="15"/>
  <c r="B115" i="15"/>
  <c r="X114" i="15"/>
  <c r="Z114" i="15" s="1"/>
  <c r="L114" i="15"/>
  <c r="N114" i="15" s="1"/>
  <c r="J114" i="15"/>
  <c r="B114" i="15"/>
  <c r="Z113" i="15"/>
  <c r="X113" i="15"/>
  <c r="L113" i="15"/>
  <c r="N113" i="15" s="1"/>
  <c r="J113" i="15"/>
  <c r="B113" i="15"/>
  <c r="Z112" i="15"/>
  <c r="X112" i="15"/>
  <c r="N112" i="15"/>
  <c r="L112" i="15"/>
  <c r="B112" i="15"/>
  <c r="Z111" i="15"/>
  <c r="X111" i="15"/>
  <c r="N111" i="15"/>
  <c r="L111" i="15"/>
  <c r="J111" i="15"/>
  <c r="B111" i="15"/>
  <c r="X110" i="15"/>
  <c r="Z110" i="15" s="1"/>
  <c r="L110" i="15"/>
  <c r="N110" i="15" s="1"/>
  <c r="J110" i="15"/>
  <c r="B110" i="15"/>
  <c r="Z109" i="15"/>
  <c r="X109" i="15"/>
  <c r="L109" i="15"/>
  <c r="N109" i="15" s="1"/>
  <c r="J109" i="15"/>
  <c r="B109" i="15"/>
  <c r="Z108" i="15"/>
  <c r="X108" i="15"/>
  <c r="L108" i="15"/>
  <c r="N108" i="15" s="1"/>
  <c r="J108" i="15"/>
  <c r="B108" i="15"/>
  <c r="Z107" i="15"/>
  <c r="X107" i="15"/>
  <c r="L107" i="15"/>
  <c r="N107" i="15" s="1"/>
  <c r="J107" i="15"/>
  <c r="B107" i="15"/>
  <c r="X106" i="15"/>
  <c r="Z106" i="15" s="1"/>
  <c r="L106" i="15"/>
  <c r="N106" i="15" s="1"/>
  <c r="J106" i="15"/>
  <c r="B106" i="15"/>
  <c r="T105" i="15"/>
  <c r="P105" i="15"/>
  <c r="X105" i="15" s="1"/>
  <c r="Z105" i="15" s="1"/>
  <c r="H105" i="15"/>
  <c r="D105" i="15"/>
  <c r="B105" i="15"/>
  <c r="T104" i="15"/>
  <c r="P104" i="15"/>
  <c r="X104" i="15" s="1"/>
  <c r="J104" i="15"/>
  <c r="H104" i="15"/>
  <c r="D104" i="15"/>
  <c r="L104" i="15" s="1"/>
  <c r="H102" i="15"/>
  <c r="Z100" i="15"/>
  <c r="X100" i="15"/>
  <c r="N100" i="15"/>
  <c r="L100" i="15"/>
  <c r="B100" i="15"/>
  <c r="Z99" i="15"/>
  <c r="X99" i="15"/>
  <c r="N99" i="15"/>
  <c r="L99" i="15"/>
  <c r="J99" i="15"/>
  <c r="B99" i="15"/>
  <c r="Z98" i="15"/>
  <c r="X98" i="15"/>
  <c r="N98" i="15"/>
  <c r="L98" i="15"/>
  <c r="B98" i="15"/>
  <c r="Z97" i="15"/>
  <c r="X97" i="15"/>
  <c r="N97" i="15"/>
  <c r="L97" i="15"/>
  <c r="J97" i="15"/>
  <c r="B97" i="15"/>
  <c r="Z96" i="15"/>
  <c r="X96" i="15"/>
  <c r="N96" i="15"/>
  <c r="L96" i="15"/>
  <c r="B96" i="15"/>
  <c r="Z95" i="15"/>
  <c r="X95" i="15"/>
  <c r="N95" i="15"/>
  <c r="L95" i="15"/>
  <c r="J95" i="15"/>
  <c r="B95" i="15"/>
  <c r="Z94" i="15"/>
  <c r="X94" i="15"/>
  <c r="N94" i="15"/>
  <c r="L94" i="15"/>
  <c r="B94" i="15"/>
  <c r="Z93" i="15"/>
  <c r="X93" i="15"/>
  <c r="N93" i="15"/>
  <c r="L93" i="15"/>
  <c r="J93" i="15"/>
  <c r="B93" i="15"/>
  <c r="Z92" i="15"/>
  <c r="X92" i="15"/>
  <c r="N92" i="15"/>
  <c r="L92" i="15"/>
  <c r="B92" i="15"/>
  <c r="Z91" i="15"/>
  <c r="X91" i="15"/>
  <c r="N91" i="15"/>
  <c r="L91" i="15"/>
  <c r="J91" i="15"/>
  <c r="B91" i="15"/>
  <c r="Z90" i="15"/>
  <c r="X90" i="15"/>
  <c r="V90" i="15"/>
  <c r="N90" i="15"/>
  <c r="L90" i="15"/>
  <c r="B90" i="15"/>
  <c r="Z89" i="15"/>
  <c r="X89" i="15"/>
  <c r="N89" i="15"/>
  <c r="L89" i="15"/>
  <c r="J89" i="15"/>
  <c r="B89" i="15"/>
  <c r="Z88" i="15"/>
  <c r="X88" i="15"/>
  <c r="N88" i="15"/>
  <c r="L88" i="15"/>
  <c r="B88" i="15"/>
  <c r="Z87" i="15"/>
  <c r="X87" i="15"/>
  <c r="N87" i="15"/>
  <c r="L87" i="15"/>
  <c r="J87" i="15"/>
  <c r="B87" i="15"/>
  <c r="Z86" i="15"/>
  <c r="X86" i="15"/>
  <c r="N86" i="15"/>
  <c r="L86" i="15"/>
  <c r="B86" i="15"/>
  <c r="Z85" i="15"/>
  <c r="X85" i="15"/>
  <c r="N85" i="15"/>
  <c r="L85" i="15"/>
  <c r="J85" i="15"/>
  <c r="B85" i="15"/>
  <c r="Z84" i="15"/>
  <c r="X84" i="15"/>
  <c r="N84" i="15"/>
  <c r="L84" i="15"/>
  <c r="B84" i="15"/>
  <c r="Z83" i="15"/>
  <c r="X83" i="15"/>
  <c r="N83" i="15"/>
  <c r="L83" i="15"/>
  <c r="J83" i="15"/>
  <c r="B83" i="15"/>
  <c r="Z82" i="15"/>
  <c r="X82" i="15"/>
  <c r="V82" i="15"/>
  <c r="N82" i="15"/>
  <c r="L82" i="15"/>
  <c r="B82" i="15"/>
  <c r="Z81" i="15"/>
  <c r="X81" i="15"/>
  <c r="N81" i="15"/>
  <c r="L81" i="15"/>
  <c r="J81" i="15"/>
  <c r="B81" i="15"/>
  <c r="Z80" i="15"/>
  <c r="X80" i="15"/>
  <c r="N80" i="15"/>
  <c r="L80" i="15"/>
  <c r="B80" i="15"/>
  <c r="Z79" i="15"/>
  <c r="X79" i="15"/>
  <c r="N79" i="15"/>
  <c r="L79" i="15"/>
  <c r="J79" i="15"/>
  <c r="B79" i="15"/>
  <c r="Z78" i="15"/>
  <c r="X78" i="15"/>
  <c r="V78" i="15"/>
  <c r="N78" i="15"/>
  <c r="L78" i="15"/>
  <c r="B78" i="15"/>
  <c r="Z77" i="15"/>
  <c r="X77" i="15"/>
  <c r="N77" i="15"/>
  <c r="L77" i="15"/>
  <c r="J77" i="15"/>
  <c r="B77" i="15"/>
  <c r="Z76" i="15"/>
  <c r="X76" i="15"/>
  <c r="N76" i="15"/>
  <c r="L76" i="15"/>
  <c r="B76" i="15"/>
  <c r="X75" i="15"/>
  <c r="Z75" i="15" s="1"/>
  <c r="L75" i="15"/>
  <c r="N75" i="15" s="1"/>
  <c r="J75" i="15"/>
  <c r="B75" i="15"/>
  <c r="T74" i="15"/>
  <c r="P74" i="15"/>
  <c r="H74" i="15"/>
  <c r="N74" i="15" s="1"/>
  <c r="D74" i="15"/>
  <c r="L74" i="15" s="1"/>
  <c r="Z72" i="15"/>
  <c r="P72" i="15"/>
  <c r="X72" i="15" s="1"/>
  <c r="N72" i="15"/>
  <c r="L72" i="15"/>
  <c r="D72" i="15"/>
  <c r="B72" i="15"/>
  <c r="Z71" i="15"/>
  <c r="P71" i="15"/>
  <c r="X71" i="15" s="1"/>
  <c r="N71" i="15"/>
  <c r="L71" i="15"/>
  <c r="D71" i="15"/>
  <c r="B71" i="15"/>
  <c r="Z70" i="15"/>
  <c r="X70" i="15"/>
  <c r="P70" i="15"/>
  <c r="N70" i="15"/>
  <c r="D70" i="15"/>
  <c r="L70" i="15" s="1"/>
  <c r="B70" i="15"/>
  <c r="Z69" i="15"/>
  <c r="X69" i="15"/>
  <c r="P69" i="15"/>
  <c r="N69" i="15"/>
  <c r="D69" i="15"/>
  <c r="L69" i="15" s="1"/>
  <c r="B69" i="15"/>
  <c r="Z68" i="15"/>
  <c r="X68" i="15"/>
  <c r="P68" i="15"/>
  <c r="N68" i="15"/>
  <c r="D68" i="15"/>
  <c r="L68" i="15" s="1"/>
  <c r="B68" i="15"/>
  <c r="Z67" i="15"/>
  <c r="P67" i="15"/>
  <c r="X67" i="15" s="1"/>
  <c r="N67" i="15"/>
  <c r="L67" i="15"/>
  <c r="D67" i="15"/>
  <c r="B67" i="15"/>
  <c r="Z66" i="15"/>
  <c r="P66" i="15"/>
  <c r="X66" i="15" s="1"/>
  <c r="N66" i="15"/>
  <c r="L66" i="15"/>
  <c r="D66" i="15"/>
  <c r="B66" i="15"/>
  <c r="Z65" i="15"/>
  <c r="P65" i="15"/>
  <c r="X65" i="15" s="1"/>
  <c r="N65" i="15"/>
  <c r="L65" i="15"/>
  <c r="D65" i="15"/>
  <c r="B65" i="15"/>
  <c r="Z64" i="15"/>
  <c r="P64" i="15"/>
  <c r="X64" i="15" s="1"/>
  <c r="N64" i="15"/>
  <c r="D64" i="15"/>
  <c r="L64" i="15" s="1"/>
  <c r="B64" i="15"/>
  <c r="Z63" i="15"/>
  <c r="X63" i="15"/>
  <c r="P63" i="15"/>
  <c r="N63" i="15"/>
  <c r="D63" i="15"/>
  <c r="L63" i="15" s="1"/>
  <c r="B63" i="15"/>
  <c r="Z62" i="15"/>
  <c r="X62" i="15"/>
  <c r="P62" i="15"/>
  <c r="N62" i="15"/>
  <c r="L62" i="15"/>
  <c r="D62" i="15"/>
  <c r="B62" i="15"/>
  <c r="Z61" i="15"/>
  <c r="P61" i="15"/>
  <c r="X61" i="15" s="1"/>
  <c r="N61" i="15"/>
  <c r="D61" i="15"/>
  <c r="L61" i="15" s="1"/>
  <c r="B61" i="15"/>
  <c r="Z60" i="15"/>
  <c r="P60" i="15"/>
  <c r="X60" i="15" s="1"/>
  <c r="N60" i="15"/>
  <c r="L60" i="15"/>
  <c r="D60" i="15"/>
  <c r="B60" i="15"/>
  <c r="Z59" i="15"/>
  <c r="P59" i="15"/>
  <c r="X59" i="15" s="1"/>
  <c r="N59" i="15"/>
  <c r="L59" i="15"/>
  <c r="D59" i="15"/>
  <c r="B59" i="15"/>
  <c r="Z58" i="15"/>
  <c r="X58" i="15"/>
  <c r="P58" i="15"/>
  <c r="N58" i="15"/>
  <c r="D58" i="15"/>
  <c r="L58" i="15" s="1"/>
  <c r="B58" i="15"/>
  <c r="Z57" i="15"/>
  <c r="X57" i="15"/>
  <c r="P57" i="15"/>
  <c r="N57" i="15"/>
  <c r="D57" i="15"/>
  <c r="L57" i="15" s="1"/>
  <c r="B57" i="15"/>
  <c r="Z56" i="15"/>
  <c r="X56" i="15"/>
  <c r="P56" i="15"/>
  <c r="N56" i="15"/>
  <c r="D56" i="15"/>
  <c r="L56" i="15" s="1"/>
  <c r="B56" i="15"/>
  <c r="Z55" i="15"/>
  <c r="P55" i="15"/>
  <c r="X55" i="15" s="1"/>
  <c r="N55" i="15"/>
  <c r="D55" i="15"/>
  <c r="L55" i="15" s="1"/>
  <c r="B55" i="15"/>
  <c r="Z54" i="15"/>
  <c r="P54" i="15"/>
  <c r="X54" i="15" s="1"/>
  <c r="N54" i="15"/>
  <c r="L54" i="15"/>
  <c r="D54" i="15"/>
  <c r="B54" i="15"/>
  <c r="Z53" i="15"/>
  <c r="P53" i="15"/>
  <c r="X53" i="15" s="1"/>
  <c r="N53" i="15"/>
  <c r="L53" i="15"/>
  <c r="D53" i="15"/>
  <c r="B53" i="15"/>
  <c r="Z52" i="15"/>
  <c r="P52" i="15"/>
  <c r="X52" i="15" s="1"/>
  <c r="N52" i="15"/>
  <c r="D52" i="15"/>
  <c r="L52" i="15" s="1"/>
  <c r="B52" i="15"/>
  <c r="Z51" i="15"/>
  <c r="X51" i="15"/>
  <c r="P51" i="15"/>
  <c r="N51" i="15"/>
  <c r="D51" i="15"/>
  <c r="L51" i="15" s="1"/>
  <c r="B51" i="15"/>
  <c r="Z50" i="15"/>
  <c r="X50" i="15"/>
  <c r="P50" i="15"/>
  <c r="N50" i="15"/>
  <c r="L50" i="15"/>
  <c r="D50" i="15"/>
  <c r="B50" i="15"/>
  <c r="Z49" i="15"/>
  <c r="P49" i="15"/>
  <c r="X49" i="15" s="1"/>
  <c r="N49" i="15"/>
  <c r="D49" i="15"/>
  <c r="L49" i="15" s="1"/>
  <c r="B49" i="15"/>
  <c r="Z48" i="15"/>
  <c r="P48" i="15"/>
  <c r="X48" i="15" s="1"/>
  <c r="N48" i="15"/>
  <c r="L48" i="15"/>
  <c r="D48" i="15"/>
  <c r="B48" i="15"/>
  <c r="Z47" i="15"/>
  <c r="P47" i="15"/>
  <c r="X47" i="15" s="1"/>
  <c r="N47" i="15"/>
  <c r="L47" i="15"/>
  <c r="D47" i="15"/>
  <c r="B47" i="15"/>
  <c r="Z46" i="15"/>
  <c r="X46" i="15"/>
  <c r="P46" i="15"/>
  <c r="N46" i="15"/>
  <c r="D46" i="15"/>
  <c r="L46" i="15" s="1"/>
  <c r="B46" i="15"/>
  <c r="Z45" i="15"/>
  <c r="P45" i="15"/>
  <c r="X45" i="15" s="1"/>
  <c r="N45" i="15"/>
  <c r="D45" i="15"/>
  <c r="L45" i="15" s="1"/>
  <c r="B45" i="15"/>
  <c r="Z44" i="15"/>
  <c r="X44" i="15"/>
  <c r="P44" i="15"/>
  <c r="N44" i="15"/>
  <c r="D44" i="15"/>
  <c r="L44" i="15" s="1"/>
  <c r="B44" i="15"/>
  <c r="Z43" i="15"/>
  <c r="P43" i="15"/>
  <c r="X43" i="15" s="1"/>
  <c r="N43" i="15"/>
  <c r="D43" i="15"/>
  <c r="L43" i="15" s="1"/>
  <c r="B43" i="15"/>
  <c r="Z42" i="15"/>
  <c r="P42" i="15"/>
  <c r="X42" i="15" s="1"/>
  <c r="N42" i="15"/>
  <c r="D42" i="15"/>
  <c r="L42" i="15" s="1"/>
  <c r="B42" i="15"/>
  <c r="Z41" i="15"/>
  <c r="P41" i="15"/>
  <c r="X41" i="15" s="1"/>
  <c r="N41" i="15"/>
  <c r="L41" i="15"/>
  <c r="D41" i="15"/>
  <c r="B41" i="15"/>
  <c r="Z40" i="15"/>
  <c r="P40" i="15"/>
  <c r="X40" i="15" s="1"/>
  <c r="N40" i="15"/>
  <c r="D40" i="15"/>
  <c r="L40" i="15" s="1"/>
  <c r="B40" i="15"/>
  <c r="Z39" i="15"/>
  <c r="X39" i="15"/>
  <c r="P39" i="15"/>
  <c r="N39" i="15"/>
  <c r="D39" i="15"/>
  <c r="L39" i="15" s="1"/>
  <c r="B39" i="15"/>
  <c r="Z38" i="15"/>
  <c r="X38" i="15"/>
  <c r="P38" i="15"/>
  <c r="N38" i="15"/>
  <c r="L38" i="15"/>
  <c r="D38" i="15"/>
  <c r="B38" i="15"/>
  <c r="Z37" i="15"/>
  <c r="P37" i="15"/>
  <c r="X37" i="15" s="1"/>
  <c r="N37" i="15"/>
  <c r="D37" i="15"/>
  <c r="L37" i="15" s="1"/>
  <c r="B37" i="15"/>
  <c r="Z36" i="15"/>
  <c r="P36" i="15"/>
  <c r="X36" i="15" s="1"/>
  <c r="N36" i="15"/>
  <c r="L36" i="15"/>
  <c r="D36" i="15"/>
  <c r="B36" i="15"/>
  <c r="Z35" i="15"/>
  <c r="P35" i="15"/>
  <c r="X35" i="15" s="1"/>
  <c r="N35" i="15"/>
  <c r="L35" i="15"/>
  <c r="D35" i="15"/>
  <c r="B35" i="15"/>
  <c r="X34" i="15"/>
  <c r="Z34" i="15" s="1"/>
  <c r="P34" i="15"/>
  <c r="D34" i="15"/>
  <c r="L34" i="15" s="1"/>
  <c r="N34" i="15" s="1"/>
  <c r="B34" i="15"/>
  <c r="Z33" i="15"/>
  <c r="X33" i="15"/>
  <c r="P33" i="15"/>
  <c r="N33" i="15"/>
  <c r="D33" i="15"/>
  <c r="L33" i="15" s="1"/>
  <c r="B33" i="15"/>
  <c r="Z32" i="15"/>
  <c r="X32" i="15"/>
  <c r="P32" i="15"/>
  <c r="N32" i="15"/>
  <c r="D32" i="15"/>
  <c r="L32" i="15" s="1"/>
  <c r="B32" i="15"/>
  <c r="Z31" i="15"/>
  <c r="P31" i="15"/>
  <c r="X31" i="15" s="1"/>
  <c r="N31" i="15"/>
  <c r="D31" i="15"/>
  <c r="L31" i="15" s="1"/>
  <c r="B31" i="15"/>
  <c r="Z30" i="15"/>
  <c r="P30" i="15"/>
  <c r="X30" i="15" s="1"/>
  <c r="N30" i="15"/>
  <c r="D30" i="15"/>
  <c r="L30" i="15" s="1"/>
  <c r="B30" i="15"/>
  <c r="Z29" i="15"/>
  <c r="X29" i="15"/>
  <c r="P29" i="15"/>
  <c r="N29" i="15"/>
  <c r="L29" i="15"/>
  <c r="D29" i="15"/>
  <c r="B29" i="15"/>
  <c r="Z28" i="15"/>
  <c r="P28" i="15"/>
  <c r="X28" i="15" s="1"/>
  <c r="N28" i="15"/>
  <c r="D28" i="15"/>
  <c r="L28" i="15" s="1"/>
  <c r="B28" i="15"/>
  <c r="Z27" i="15"/>
  <c r="X27" i="15"/>
  <c r="P27" i="15"/>
  <c r="N27" i="15"/>
  <c r="D27" i="15"/>
  <c r="L27" i="15" s="1"/>
  <c r="B27" i="15"/>
  <c r="Z26" i="15"/>
  <c r="X26" i="15"/>
  <c r="P26" i="15"/>
  <c r="N26" i="15"/>
  <c r="D26" i="15"/>
  <c r="L26" i="15" s="1"/>
  <c r="B26" i="15"/>
  <c r="Z25" i="15"/>
  <c r="P25" i="15"/>
  <c r="X25" i="15" s="1"/>
  <c r="N25" i="15"/>
  <c r="D25" i="15"/>
  <c r="L25" i="15" s="1"/>
  <c r="B25" i="15"/>
  <c r="Z24" i="15"/>
  <c r="P24" i="15"/>
  <c r="X24" i="15" s="1"/>
  <c r="N24" i="15"/>
  <c r="L24" i="15"/>
  <c r="D24" i="15"/>
  <c r="B24" i="15"/>
  <c r="Z23" i="15"/>
  <c r="P23" i="15"/>
  <c r="X23" i="15" s="1"/>
  <c r="N23" i="15"/>
  <c r="L23" i="15"/>
  <c r="D23" i="15"/>
  <c r="B23" i="15"/>
  <c r="Z22" i="15"/>
  <c r="P22" i="15"/>
  <c r="X22" i="15" s="1"/>
  <c r="N22" i="15"/>
  <c r="D22" i="15"/>
  <c r="L22" i="15" s="1"/>
  <c r="B22" i="15"/>
  <c r="Z21" i="15"/>
  <c r="X21" i="15"/>
  <c r="P21" i="15"/>
  <c r="N21" i="15"/>
  <c r="D21" i="15"/>
  <c r="L21" i="15" s="1"/>
  <c r="B21" i="15"/>
  <c r="Z20" i="15"/>
  <c r="X20" i="15"/>
  <c r="P20" i="15"/>
  <c r="N20" i="15"/>
  <c r="D20" i="15"/>
  <c r="L20" i="15" s="1"/>
  <c r="B20" i="15"/>
  <c r="Z19" i="15"/>
  <c r="P19" i="15"/>
  <c r="X19" i="15" s="1"/>
  <c r="N19" i="15"/>
  <c r="D19" i="15"/>
  <c r="L19" i="15" s="1"/>
  <c r="B19" i="15"/>
  <c r="Z18" i="15"/>
  <c r="P18" i="15"/>
  <c r="X18" i="15" s="1"/>
  <c r="N18" i="15"/>
  <c r="D18" i="15"/>
  <c r="L18" i="15" s="1"/>
  <c r="B18" i="15"/>
  <c r="Z17" i="15"/>
  <c r="X17" i="15"/>
  <c r="P17" i="15"/>
  <c r="N17" i="15"/>
  <c r="L17" i="15"/>
  <c r="D17" i="15"/>
  <c r="B17" i="15"/>
  <c r="Z16" i="15"/>
  <c r="P16" i="15"/>
  <c r="X16" i="15" s="1"/>
  <c r="N16" i="15"/>
  <c r="D16" i="15"/>
  <c r="L16" i="15" s="1"/>
  <c r="B16" i="15"/>
  <c r="Z15" i="15"/>
  <c r="X15" i="15"/>
  <c r="P15" i="15"/>
  <c r="N15" i="15"/>
  <c r="D15" i="15"/>
  <c r="L15" i="15" s="1"/>
  <c r="B15" i="15"/>
  <c r="Z14" i="15"/>
  <c r="X14" i="15"/>
  <c r="P14" i="15"/>
  <c r="N14" i="15"/>
  <c r="D14" i="15"/>
  <c r="L14" i="15" s="1"/>
  <c r="B14" i="15"/>
  <c r="P13" i="15"/>
  <c r="X13" i="15" s="1"/>
  <c r="Z13" i="15" s="1"/>
  <c r="D13" i="15"/>
  <c r="B13" i="15"/>
  <c r="T12" i="15"/>
  <c r="V170" i="15" s="1"/>
  <c r="H12" i="15"/>
  <c r="J199" i="15" s="1"/>
  <c r="D4" i="15"/>
  <c r="Z216" i="12"/>
  <c r="X216" i="12"/>
  <c r="L216" i="12"/>
  <c r="N216" i="12" s="1"/>
  <c r="Z212" i="12"/>
  <c r="P212" i="12"/>
  <c r="X212" i="12" s="1"/>
  <c r="N212" i="12"/>
  <c r="D212" i="12"/>
  <c r="L212" i="12" s="1"/>
  <c r="B212" i="12"/>
  <c r="Z211" i="12"/>
  <c r="P211" i="12"/>
  <c r="X211" i="12" s="1"/>
  <c r="N211" i="12"/>
  <c r="D211" i="12"/>
  <c r="L211" i="12" s="1"/>
  <c r="B211" i="12"/>
  <c r="P210" i="12"/>
  <c r="X210" i="12" s="1"/>
  <c r="Z210" i="12" s="1"/>
  <c r="N210" i="12"/>
  <c r="L210" i="12"/>
  <c r="D210" i="12"/>
  <c r="D208" i="12" s="1"/>
  <c r="L208" i="12" s="1"/>
  <c r="N208" i="12" s="1"/>
  <c r="B210" i="12"/>
  <c r="Z209" i="12"/>
  <c r="X209" i="12"/>
  <c r="P209" i="12"/>
  <c r="L209" i="12"/>
  <c r="N209" i="12" s="1"/>
  <c r="D209" i="12"/>
  <c r="B209" i="12"/>
  <c r="T208" i="12"/>
  <c r="H208" i="12"/>
  <c r="X206" i="12"/>
  <c r="Z206" i="12" s="1"/>
  <c r="L206" i="12"/>
  <c r="N206" i="12" s="1"/>
  <c r="B206" i="12"/>
  <c r="T205" i="12"/>
  <c r="P205" i="12"/>
  <c r="H205" i="12"/>
  <c r="N205" i="12" s="1"/>
  <c r="D205" i="12"/>
  <c r="L205" i="12" s="1"/>
  <c r="B205" i="12"/>
  <c r="X204" i="12"/>
  <c r="Z204" i="12" s="1"/>
  <c r="N204" i="12"/>
  <c r="L204" i="12"/>
  <c r="B204" i="12"/>
  <c r="Z203" i="12"/>
  <c r="X203" i="12"/>
  <c r="N203" i="12"/>
  <c r="L203" i="12"/>
  <c r="B203" i="12"/>
  <c r="Z202" i="12"/>
  <c r="X202" i="12"/>
  <c r="N202" i="12"/>
  <c r="L202" i="12"/>
  <c r="B202" i="12"/>
  <c r="Z201" i="12"/>
  <c r="X201" i="12"/>
  <c r="T201" i="12"/>
  <c r="P201" i="12"/>
  <c r="H201" i="12"/>
  <c r="D201" i="12"/>
  <c r="L201" i="12" s="1"/>
  <c r="N201" i="12" s="1"/>
  <c r="B201" i="12"/>
  <c r="Z200" i="12"/>
  <c r="X200" i="12"/>
  <c r="N200" i="12"/>
  <c r="L200" i="12"/>
  <c r="B200" i="12"/>
  <c r="X199" i="12"/>
  <c r="Z199" i="12" s="1"/>
  <c r="T199" i="12"/>
  <c r="P199" i="12"/>
  <c r="H199" i="12"/>
  <c r="D199" i="12"/>
  <c r="B199" i="12"/>
  <c r="Z198" i="12"/>
  <c r="X198" i="12"/>
  <c r="L198" i="12"/>
  <c r="N198" i="12" s="1"/>
  <c r="B198" i="12"/>
  <c r="X197" i="12"/>
  <c r="Z197" i="12" s="1"/>
  <c r="N197" i="12"/>
  <c r="L197" i="12"/>
  <c r="B197" i="12"/>
  <c r="X196" i="12"/>
  <c r="Z196" i="12" s="1"/>
  <c r="T196" i="12"/>
  <c r="P196" i="12"/>
  <c r="L196" i="12"/>
  <c r="N196" i="12" s="1"/>
  <c r="H196" i="12"/>
  <c r="D196" i="12"/>
  <c r="B196" i="12"/>
  <c r="X195" i="12"/>
  <c r="Z195" i="12" s="1"/>
  <c r="N195" i="12"/>
  <c r="L195" i="12"/>
  <c r="B195" i="12"/>
  <c r="X194" i="12"/>
  <c r="Z194" i="12" s="1"/>
  <c r="N194" i="12"/>
  <c r="L194" i="12"/>
  <c r="B194" i="12"/>
  <c r="Z193" i="12"/>
  <c r="X193" i="12"/>
  <c r="L193" i="12"/>
  <c r="N193" i="12" s="1"/>
  <c r="B193" i="12"/>
  <c r="X192" i="12"/>
  <c r="Z192" i="12" s="1"/>
  <c r="N192" i="12"/>
  <c r="L192" i="12"/>
  <c r="B192" i="12"/>
  <c r="X191" i="12"/>
  <c r="Z191" i="12" s="1"/>
  <c r="N191" i="12"/>
  <c r="L191" i="12"/>
  <c r="B191" i="12"/>
  <c r="X190" i="12"/>
  <c r="Z190" i="12" s="1"/>
  <c r="N190" i="12"/>
  <c r="L190" i="12"/>
  <c r="B190" i="12"/>
  <c r="Z189" i="12"/>
  <c r="X189" i="12"/>
  <c r="L189" i="12"/>
  <c r="N189" i="12" s="1"/>
  <c r="B189" i="12"/>
  <c r="X188" i="12"/>
  <c r="Z188" i="12" s="1"/>
  <c r="N188" i="12"/>
  <c r="L188" i="12"/>
  <c r="B188" i="12"/>
  <c r="X187" i="12"/>
  <c r="Z187" i="12" s="1"/>
  <c r="N187" i="12"/>
  <c r="L187" i="12"/>
  <c r="B187" i="12"/>
  <c r="T186" i="12"/>
  <c r="P186" i="12"/>
  <c r="H186" i="12"/>
  <c r="D186" i="12"/>
  <c r="B186" i="12"/>
  <c r="X185" i="12"/>
  <c r="Z185" i="12" s="1"/>
  <c r="L185" i="12"/>
  <c r="N185" i="12" s="1"/>
  <c r="B185" i="12"/>
  <c r="Z184" i="12"/>
  <c r="X184" i="12"/>
  <c r="L184" i="12"/>
  <c r="N184" i="12" s="1"/>
  <c r="B184" i="12"/>
  <c r="Z183" i="12"/>
  <c r="X183" i="12"/>
  <c r="T183" i="12"/>
  <c r="P183" i="12"/>
  <c r="H183" i="12"/>
  <c r="D183" i="12"/>
  <c r="B183" i="12"/>
  <c r="Z182" i="12"/>
  <c r="X182" i="12"/>
  <c r="L182" i="12"/>
  <c r="N182" i="12" s="1"/>
  <c r="B182" i="12"/>
  <c r="X181" i="12"/>
  <c r="Z181" i="12" s="1"/>
  <c r="N181" i="12"/>
  <c r="L181" i="12"/>
  <c r="B181" i="12"/>
  <c r="X180" i="12"/>
  <c r="Z180" i="12" s="1"/>
  <c r="V180" i="12"/>
  <c r="L180" i="12"/>
  <c r="N180" i="12" s="1"/>
  <c r="J180" i="12"/>
  <c r="B180" i="12"/>
  <c r="Z179" i="12"/>
  <c r="X179" i="12"/>
  <c r="N179" i="12"/>
  <c r="L179" i="12"/>
  <c r="B179" i="12"/>
  <c r="X178" i="12"/>
  <c r="Z178" i="12" s="1"/>
  <c r="L178" i="12"/>
  <c r="N178" i="12" s="1"/>
  <c r="B178" i="12"/>
  <c r="T177" i="12"/>
  <c r="P177" i="12"/>
  <c r="H177" i="12"/>
  <c r="D177" i="12"/>
  <c r="L177" i="12" s="1"/>
  <c r="B177" i="12"/>
  <c r="X176" i="12"/>
  <c r="Z176" i="12" s="1"/>
  <c r="N176" i="12"/>
  <c r="L176" i="12"/>
  <c r="B176" i="12"/>
  <c r="Z175" i="12"/>
  <c r="X175" i="12"/>
  <c r="L175" i="12"/>
  <c r="N175" i="12" s="1"/>
  <c r="J175" i="12"/>
  <c r="B175" i="12"/>
  <c r="X174" i="12"/>
  <c r="Z174" i="12" s="1"/>
  <c r="N174" i="12"/>
  <c r="L174" i="12"/>
  <c r="B174" i="12"/>
  <c r="Z173" i="12"/>
  <c r="X173" i="12"/>
  <c r="L173" i="12"/>
  <c r="N173" i="12" s="1"/>
  <c r="J173" i="12"/>
  <c r="B173" i="12"/>
  <c r="X172" i="12"/>
  <c r="T172" i="12"/>
  <c r="P172" i="12"/>
  <c r="H172" i="12"/>
  <c r="D172" i="12"/>
  <c r="B172" i="12"/>
  <c r="X171" i="12"/>
  <c r="Z171" i="12" s="1"/>
  <c r="L171" i="12"/>
  <c r="N171" i="12" s="1"/>
  <c r="B171" i="12"/>
  <c r="Z170" i="12"/>
  <c r="X170" i="12"/>
  <c r="L170" i="12"/>
  <c r="N170" i="12" s="1"/>
  <c r="B170" i="12"/>
  <c r="X169" i="12"/>
  <c r="Z169" i="12" s="1"/>
  <c r="L169" i="12"/>
  <c r="N169" i="12" s="1"/>
  <c r="B169" i="12"/>
  <c r="Z168" i="12"/>
  <c r="X168" i="12"/>
  <c r="L168" i="12"/>
  <c r="N168" i="12" s="1"/>
  <c r="B168" i="12"/>
  <c r="Z167" i="12"/>
  <c r="X167" i="12"/>
  <c r="T167" i="12"/>
  <c r="P167" i="12"/>
  <c r="H167" i="12"/>
  <c r="D167" i="12"/>
  <c r="B167" i="12"/>
  <c r="X166" i="12"/>
  <c r="Z166" i="12" s="1"/>
  <c r="L166" i="12"/>
  <c r="N166" i="12" s="1"/>
  <c r="B166" i="12"/>
  <c r="T165" i="12"/>
  <c r="P165" i="12"/>
  <c r="X165" i="12" s="1"/>
  <c r="H165" i="12"/>
  <c r="D165" i="12"/>
  <c r="L165" i="12" s="1"/>
  <c r="B165" i="12"/>
  <c r="X164" i="12"/>
  <c r="Z164" i="12" s="1"/>
  <c r="N164" i="12"/>
  <c r="L164" i="12"/>
  <c r="B164" i="12"/>
  <c r="T163" i="12"/>
  <c r="P163" i="12"/>
  <c r="X163" i="12" s="1"/>
  <c r="Z163" i="12" s="1"/>
  <c r="N163" i="12"/>
  <c r="L163" i="12"/>
  <c r="H163" i="12"/>
  <c r="D163" i="12"/>
  <c r="B163" i="12"/>
  <c r="Z162" i="12"/>
  <c r="X162" i="12"/>
  <c r="L162" i="12"/>
  <c r="N162" i="12" s="1"/>
  <c r="B162" i="12"/>
  <c r="T161" i="12"/>
  <c r="P161" i="12"/>
  <c r="N161" i="12"/>
  <c r="L161" i="12"/>
  <c r="H161" i="12"/>
  <c r="D161" i="12"/>
  <c r="B161" i="12"/>
  <c r="X160" i="12"/>
  <c r="Z160" i="12" s="1"/>
  <c r="L160" i="12"/>
  <c r="N160" i="12" s="1"/>
  <c r="J160" i="12"/>
  <c r="B160" i="12"/>
  <c r="T159" i="12"/>
  <c r="Z159" i="12" s="1"/>
  <c r="P159" i="12"/>
  <c r="X159" i="12" s="1"/>
  <c r="H159" i="12"/>
  <c r="D159" i="12"/>
  <c r="L159" i="12" s="1"/>
  <c r="B159" i="12"/>
  <c r="X158" i="12"/>
  <c r="Z158" i="12" s="1"/>
  <c r="N158" i="12"/>
  <c r="L158" i="12"/>
  <c r="B158" i="12"/>
  <c r="Z157" i="12"/>
  <c r="X157" i="12"/>
  <c r="T157" i="12"/>
  <c r="P157" i="12"/>
  <c r="L157" i="12"/>
  <c r="N157" i="12" s="1"/>
  <c r="H157" i="12"/>
  <c r="D157" i="12"/>
  <c r="B157" i="12"/>
  <c r="Z156" i="12"/>
  <c r="X156" i="12"/>
  <c r="L156" i="12"/>
  <c r="N156" i="12" s="1"/>
  <c r="J156" i="12"/>
  <c r="B156" i="12"/>
  <c r="X155" i="12"/>
  <c r="Z155" i="12" s="1"/>
  <c r="V155" i="12"/>
  <c r="N155" i="12"/>
  <c r="L155" i="12"/>
  <c r="B155" i="12"/>
  <c r="Z154" i="12"/>
  <c r="X154" i="12"/>
  <c r="N154" i="12"/>
  <c r="L154" i="12"/>
  <c r="B154" i="12"/>
  <c r="T153" i="12"/>
  <c r="P153" i="12"/>
  <c r="L153" i="12"/>
  <c r="N153" i="12" s="1"/>
  <c r="H153" i="12"/>
  <c r="D153" i="12"/>
  <c r="B153" i="12"/>
  <c r="X152" i="12"/>
  <c r="Z152" i="12" s="1"/>
  <c r="L152" i="12"/>
  <c r="N152" i="12" s="1"/>
  <c r="B152" i="12"/>
  <c r="X151" i="12"/>
  <c r="Z151" i="12" s="1"/>
  <c r="N151" i="12"/>
  <c r="L151" i="12"/>
  <c r="B151" i="12"/>
  <c r="Z150" i="12"/>
  <c r="X150" i="12"/>
  <c r="T150" i="12"/>
  <c r="P150" i="12"/>
  <c r="H150" i="12"/>
  <c r="D150" i="12"/>
  <c r="L150" i="12" s="1"/>
  <c r="N150" i="12" s="1"/>
  <c r="B150" i="12"/>
  <c r="Z149" i="12"/>
  <c r="X149" i="12"/>
  <c r="L149" i="12"/>
  <c r="N149" i="12" s="1"/>
  <c r="B149" i="12"/>
  <c r="X148" i="12"/>
  <c r="T148" i="12"/>
  <c r="P148" i="12"/>
  <c r="H148" i="12"/>
  <c r="D148" i="12"/>
  <c r="B148" i="12"/>
  <c r="X147" i="12"/>
  <c r="Z147" i="12" s="1"/>
  <c r="L147" i="12"/>
  <c r="N147" i="12" s="1"/>
  <c r="B147" i="12"/>
  <c r="T146" i="12"/>
  <c r="P146" i="12"/>
  <c r="N146" i="12"/>
  <c r="H146" i="12"/>
  <c r="D146" i="12"/>
  <c r="L146" i="12" s="1"/>
  <c r="B146" i="12"/>
  <c r="X145" i="12"/>
  <c r="Z145" i="12" s="1"/>
  <c r="N145" i="12"/>
  <c r="L145" i="12"/>
  <c r="B145" i="12"/>
  <c r="Z144" i="12"/>
  <c r="X144" i="12"/>
  <c r="N144" i="12"/>
  <c r="L144" i="12"/>
  <c r="B144" i="12"/>
  <c r="T143" i="12"/>
  <c r="Z143" i="12" s="1"/>
  <c r="P143" i="12"/>
  <c r="X143" i="12" s="1"/>
  <c r="H143" i="12"/>
  <c r="D143" i="12"/>
  <c r="B143" i="12"/>
  <c r="X142" i="12"/>
  <c r="Z142" i="12" s="1"/>
  <c r="N142" i="12"/>
  <c r="L142" i="12"/>
  <c r="B142" i="12"/>
  <c r="X141" i="12"/>
  <c r="Z141" i="12" s="1"/>
  <c r="T141" i="12"/>
  <c r="P141" i="12"/>
  <c r="N141" i="12"/>
  <c r="L141" i="12"/>
  <c r="H141" i="12"/>
  <c r="D141" i="12"/>
  <c r="B141" i="12"/>
  <c r="Z140" i="12"/>
  <c r="X140" i="12"/>
  <c r="L140" i="12"/>
  <c r="N140" i="12" s="1"/>
  <c r="J140" i="12"/>
  <c r="B140" i="12"/>
  <c r="Z139" i="12"/>
  <c r="X139" i="12"/>
  <c r="N139" i="12"/>
  <c r="L139" i="12"/>
  <c r="B139" i="12"/>
  <c r="T138" i="12"/>
  <c r="Z138" i="12" s="1"/>
  <c r="P138" i="12"/>
  <c r="X138" i="12" s="1"/>
  <c r="N138" i="12"/>
  <c r="H138" i="12"/>
  <c r="D138" i="12"/>
  <c r="L138" i="12" s="1"/>
  <c r="B138" i="12"/>
  <c r="X137" i="12"/>
  <c r="Z137" i="12" s="1"/>
  <c r="L137" i="12"/>
  <c r="N137" i="12" s="1"/>
  <c r="B137" i="12"/>
  <c r="T136" i="12"/>
  <c r="P136" i="12"/>
  <c r="X136" i="12" s="1"/>
  <c r="Z136" i="12" s="1"/>
  <c r="N136" i="12"/>
  <c r="L136" i="12"/>
  <c r="H136" i="12"/>
  <c r="D136" i="12"/>
  <c r="B136" i="12"/>
  <c r="X135" i="12"/>
  <c r="Z135" i="12" s="1"/>
  <c r="L135" i="12"/>
  <c r="N135" i="12" s="1"/>
  <c r="J135" i="12"/>
  <c r="B135" i="12"/>
  <c r="X134" i="12"/>
  <c r="Z134" i="12" s="1"/>
  <c r="N134" i="12"/>
  <c r="L134" i="12"/>
  <c r="B134" i="12"/>
  <c r="Z133" i="12"/>
  <c r="X133" i="12"/>
  <c r="T133" i="12"/>
  <c r="P133" i="12"/>
  <c r="L133" i="12"/>
  <c r="N133" i="12" s="1"/>
  <c r="H133" i="12"/>
  <c r="D133" i="12"/>
  <c r="B133" i="12"/>
  <c r="Z132" i="12"/>
  <c r="X132" i="12"/>
  <c r="L132" i="12"/>
  <c r="N132" i="12" s="1"/>
  <c r="B132" i="12"/>
  <c r="V131" i="12"/>
  <c r="T131" i="12"/>
  <c r="X131" i="12" s="1"/>
  <c r="Z131" i="12" s="1"/>
  <c r="P131" i="12"/>
  <c r="H131" i="12"/>
  <c r="D131" i="12"/>
  <c r="B131" i="12"/>
  <c r="Z130" i="12"/>
  <c r="X130" i="12"/>
  <c r="N130" i="12"/>
  <c r="L130" i="12"/>
  <c r="B130" i="12"/>
  <c r="Z129" i="12"/>
  <c r="X129" i="12"/>
  <c r="N129" i="12"/>
  <c r="L129" i="12"/>
  <c r="B129" i="12"/>
  <c r="X128" i="12"/>
  <c r="Z128" i="12" s="1"/>
  <c r="L128" i="12"/>
  <c r="N128" i="12" s="1"/>
  <c r="B128" i="12"/>
  <c r="X127" i="12"/>
  <c r="Z127" i="12" s="1"/>
  <c r="N127" i="12"/>
  <c r="L127" i="12"/>
  <c r="B127" i="12"/>
  <c r="Z126" i="12"/>
  <c r="X126" i="12"/>
  <c r="N126" i="12"/>
  <c r="L126" i="12"/>
  <c r="B126" i="12"/>
  <c r="X125" i="12"/>
  <c r="Z125" i="12" s="1"/>
  <c r="L125" i="12"/>
  <c r="N125" i="12" s="1"/>
  <c r="B125" i="12"/>
  <c r="X124" i="12"/>
  <c r="Z124" i="12" s="1"/>
  <c r="L124" i="12"/>
  <c r="N124" i="12" s="1"/>
  <c r="B124" i="12"/>
  <c r="Z123" i="12"/>
  <c r="X123" i="12"/>
  <c r="N123" i="12"/>
  <c r="L123" i="12"/>
  <c r="B123" i="12"/>
  <c r="Z122" i="12"/>
  <c r="X122" i="12"/>
  <c r="L122" i="12"/>
  <c r="N122" i="12" s="1"/>
  <c r="B122" i="12"/>
  <c r="X121" i="12"/>
  <c r="Z121" i="12" s="1"/>
  <c r="N121" i="12"/>
  <c r="L121" i="12"/>
  <c r="B121" i="12"/>
  <c r="T120" i="12"/>
  <c r="P120" i="12"/>
  <c r="X120" i="12" s="1"/>
  <c r="Z120" i="12" s="1"/>
  <c r="L120" i="12"/>
  <c r="N120" i="12" s="1"/>
  <c r="H120" i="12"/>
  <c r="D120" i="12"/>
  <c r="B120" i="12"/>
  <c r="Z119" i="12"/>
  <c r="X119" i="12"/>
  <c r="L119" i="12"/>
  <c r="N119" i="12" s="1"/>
  <c r="B119" i="12"/>
  <c r="X118" i="12"/>
  <c r="Z118" i="12" s="1"/>
  <c r="N118" i="12"/>
  <c r="L118" i="12"/>
  <c r="B118" i="12"/>
  <c r="X117" i="12"/>
  <c r="Z117" i="12" s="1"/>
  <c r="L117" i="12"/>
  <c r="N117" i="12" s="1"/>
  <c r="B117" i="12"/>
  <c r="Z116" i="12"/>
  <c r="X116" i="12"/>
  <c r="N116" i="12"/>
  <c r="L116" i="12"/>
  <c r="B116" i="12"/>
  <c r="Z115" i="12"/>
  <c r="X115" i="12"/>
  <c r="N115" i="12"/>
  <c r="L115" i="12"/>
  <c r="J115" i="12"/>
  <c r="B115" i="12"/>
  <c r="X114" i="12"/>
  <c r="Z114" i="12" s="1"/>
  <c r="N114" i="12"/>
  <c r="L114" i="12"/>
  <c r="B114" i="12"/>
  <c r="X113" i="12"/>
  <c r="Z113" i="12" s="1"/>
  <c r="L113" i="12"/>
  <c r="N113" i="12" s="1"/>
  <c r="B113" i="12"/>
  <c r="X112" i="12"/>
  <c r="Z112" i="12" s="1"/>
  <c r="N112" i="12"/>
  <c r="L112" i="12"/>
  <c r="B112" i="12"/>
  <c r="X111" i="12"/>
  <c r="Z111" i="12" s="1"/>
  <c r="N111" i="12"/>
  <c r="L111" i="12"/>
  <c r="J111" i="12"/>
  <c r="B111" i="12"/>
  <c r="X110" i="12"/>
  <c r="Z110" i="12" s="1"/>
  <c r="N110" i="12"/>
  <c r="L110" i="12"/>
  <c r="B110" i="12"/>
  <c r="T109" i="12"/>
  <c r="P109" i="12"/>
  <c r="X109" i="12" s="1"/>
  <c r="Z109" i="12" s="1"/>
  <c r="L109" i="12"/>
  <c r="N109" i="12" s="1"/>
  <c r="H109" i="12"/>
  <c r="D109" i="12"/>
  <c r="B109" i="12"/>
  <c r="T108" i="12"/>
  <c r="P108" i="12"/>
  <c r="X108" i="12" s="1"/>
  <c r="H108" i="12"/>
  <c r="D108" i="12"/>
  <c r="L108" i="12" s="1"/>
  <c r="N108" i="12" s="1"/>
  <c r="Z104" i="12"/>
  <c r="X104" i="12"/>
  <c r="N104" i="12"/>
  <c r="L104" i="12"/>
  <c r="B104" i="12"/>
  <c r="Z103" i="12"/>
  <c r="X103" i="12"/>
  <c r="N103" i="12"/>
  <c r="L103" i="12"/>
  <c r="J103" i="12"/>
  <c r="B103" i="12"/>
  <c r="Z102" i="12"/>
  <c r="X102" i="12"/>
  <c r="N102" i="12"/>
  <c r="L102" i="12"/>
  <c r="J102" i="12"/>
  <c r="B102" i="12"/>
  <c r="Z101" i="12"/>
  <c r="X101" i="12"/>
  <c r="N101" i="12"/>
  <c r="L101" i="12"/>
  <c r="B101" i="12"/>
  <c r="Z100" i="12"/>
  <c r="X100" i="12"/>
  <c r="N100" i="12"/>
  <c r="L100" i="12"/>
  <c r="J100" i="12"/>
  <c r="B100" i="12"/>
  <c r="Z99" i="12"/>
  <c r="X99" i="12"/>
  <c r="N99" i="12"/>
  <c r="L99" i="12"/>
  <c r="J99" i="12"/>
  <c r="B99" i="12"/>
  <c r="Z98" i="12"/>
  <c r="X98" i="12"/>
  <c r="N98" i="12"/>
  <c r="L98" i="12"/>
  <c r="B98" i="12"/>
  <c r="Z97" i="12"/>
  <c r="X97" i="12"/>
  <c r="N97" i="12"/>
  <c r="L97" i="12"/>
  <c r="J97" i="12"/>
  <c r="B97" i="12"/>
  <c r="Z96" i="12"/>
  <c r="X96" i="12"/>
  <c r="N96" i="12"/>
  <c r="L96" i="12"/>
  <c r="J96" i="12"/>
  <c r="B96" i="12"/>
  <c r="Z95" i="12"/>
  <c r="X95" i="12"/>
  <c r="V95" i="12"/>
  <c r="N95" i="12"/>
  <c r="L95" i="12"/>
  <c r="B95" i="12"/>
  <c r="Z94" i="12"/>
  <c r="X94" i="12"/>
  <c r="N94" i="12"/>
  <c r="L94" i="12"/>
  <c r="J94" i="12"/>
  <c r="B94" i="12"/>
  <c r="Z93" i="12"/>
  <c r="X93" i="12"/>
  <c r="N93" i="12"/>
  <c r="L93" i="12"/>
  <c r="J93" i="12"/>
  <c r="B93" i="12"/>
  <c r="Z92" i="12"/>
  <c r="X92" i="12"/>
  <c r="N92" i="12"/>
  <c r="L92" i="12"/>
  <c r="B92" i="12"/>
  <c r="Z91" i="12"/>
  <c r="X91" i="12"/>
  <c r="N91" i="12"/>
  <c r="L91" i="12"/>
  <c r="J91" i="12"/>
  <c r="B91" i="12"/>
  <c r="Z90" i="12"/>
  <c r="X90" i="12"/>
  <c r="N90" i="12"/>
  <c r="L90" i="12"/>
  <c r="J90" i="12"/>
  <c r="B90" i="12"/>
  <c r="Z89" i="12"/>
  <c r="X89" i="12"/>
  <c r="N89" i="12"/>
  <c r="L89" i="12"/>
  <c r="B89" i="12"/>
  <c r="Z88" i="12"/>
  <c r="X88" i="12"/>
  <c r="N88" i="12"/>
  <c r="L88" i="12"/>
  <c r="J88" i="12"/>
  <c r="B88" i="12"/>
  <c r="Z87" i="12"/>
  <c r="X87" i="12"/>
  <c r="N87" i="12"/>
  <c r="L87" i="12"/>
  <c r="J87" i="12"/>
  <c r="B87" i="12"/>
  <c r="Z86" i="12"/>
  <c r="X86" i="12"/>
  <c r="N86" i="12"/>
  <c r="L86" i="12"/>
  <c r="B86" i="12"/>
  <c r="Z85" i="12"/>
  <c r="X85" i="12"/>
  <c r="N85" i="12"/>
  <c r="L85" i="12"/>
  <c r="J85" i="12"/>
  <c r="B85" i="12"/>
  <c r="Z84" i="12"/>
  <c r="X84" i="12"/>
  <c r="N84" i="12"/>
  <c r="L84" i="12"/>
  <c r="J84" i="12"/>
  <c r="B84" i="12"/>
  <c r="Z83" i="12"/>
  <c r="X83" i="12"/>
  <c r="V83" i="12"/>
  <c r="N83" i="12"/>
  <c r="L83" i="12"/>
  <c r="B83" i="12"/>
  <c r="Z82" i="12"/>
  <c r="X82" i="12"/>
  <c r="N82" i="12"/>
  <c r="L82" i="12"/>
  <c r="J82" i="12"/>
  <c r="B82" i="12"/>
  <c r="Z81" i="12"/>
  <c r="X81" i="12"/>
  <c r="N81" i="12"/>
  <c r="L81" i="12"/>
  <c r="J81" i="12"/>
  <c r="B81" i="12"/>
  <c r="Z80" i="12"/>
  <c r="X80" i="12"/>
  <c r="N80" i="12"/>
  <c r="L80" i="12"/>
  <c r="B80" i="12"/>
  <c r="Z79" i="12"/>
  <c r="X79" i="12"/>
  <c r="N79" i="12"/>
  <c r="L79" i="12"/>
  <c r="J79" i="12"/>
  <c r="B79" i="12"/>
  <c r="Z78" i="12"/>
  <c r="X78" i="12"/>
  <c r="N78" i="12"/>
  <c r="L78" i="12"/>
  <c r="J78" i="12"/>
  <c r="B78" i="12"/>
  <c r="X77" i="12"/>
  <c r="Z77" i="12" s="1"/>
  <c r="L77" i="12"/>
  <c r="N77" i="12" s="1"/>
  <c r="B77" i="12"/>
  <c r="T76" i="12"/>
  <c r="P76" i="12"/>
  <c r="X76" i="12" s="1"/>
  <c r="Z76" i="12" s="1"/>
  <c r="H76" i="12"/>
  <c r="D76" i="12"/>
  <c r="Z74" i="12"/>
  <c r="P74" i="12"/>
  <c r="X74" i="12" s="1"/>
  <c r="N74" i="12"/>
  <c r="L74" i="12"/>
  <c r="D74" i="12"/>
  <c r="B74" i="12"/>
  <c r="Z73" i="12"/>
  <c r="P73" i="12"/>
  <c r="X73" i="12" s="1"/>
  <c r="N73" i="12"/>
  <c r="D73" i="12"/>
  <c r="L73" i="12" s="1"/>
  <c r="B73" i="12"/>
  <c r="Z72" i="12"/>
  <c r="X72" i="12"/>
  <c r="P72" i="12"/>
  <c r="N72" i="12"/>
  <c r="L72" i="12"/>
  <c r="D72" i="12"/>
  <c r="B72" i="12"/>
  <c r="Z71" i="12"/>
  <c r="P71" i="12"/>
  <c r="X71" i="12" s="1"/>
  <c r="N71" i="12"/>
  <c r="D71" i="12"/>
  <c r="L71" i="12" s="1"/>
  <c r="B71" i="12"/>
  <c r="Z70" i="12"/>
  <c r="P70" i="12"/>
  <c r="X70" i="12" s="1"/>
  <c r="N70" i="12"/>
  <c r="D70" i="12"/>
  <c r="L70" i="12" s="1"/>
  <c r="B70" i="12"/>
  <c r="Z69" i="12"/>
  <c r="X69" i="12"/>
  <c r="P69" i="12"/>
  <c r="N69" i="12"/>
  <c r="D69" i="12"/>
  <c r="L69" i="12" s="1"/>
  <c r="B69" i="12"/>
  <c r="Z68" i="12"/>
  <c r="P68" i="12"/>
  <c r="X68" i="12" s="1"/>
  <c r="N68" i="12"/>
  <c r="D68" i="12"/>
  <c r="L68" i="12" s="1"/>
  <c r="B68" i="12"/>
  <c r="Z67" i="12"/>
  <c r="P67" i="12"/>
  <c r="X67" i="12" s="1"/>
  <c r="N67" i="12"/>
  <c r="D67" i="12"/>
  <c r="L67" i="12" s="1"/>
  <c r="B67" i="12"/>
  <c r="Z66" i="12"/>
  <c r="X66" i="12"/>
  <c r="P66" i="12"/>
  <c r="N66" i="12"/>
  <c r="L66" i="12"/>
  <c r="D66" i="12"/>
  <c r="B66" i="12"/>
  <c r="Z65" i="12"/>
  <c r="X65" i="12"/>
  <c r="P65" i="12"/>
  <c r="N65" i="12"/>
  <c r="D65" i="12"/>
  <c r="L65" i="12" s="1"/>
  <c r="B65" i="12"/>
  <c r="Z64" i="12"/>
  <c r="X64" i="12"/>
  <c r="P64" i="12"/>
  <c r="N64" i="12"/>
  <c r="D64" i="12"/>
  <c r="L64" i="12" s="1"/>
  <c r="B64" i="12"/>
  <c r="Z63" i="12"/>
  <c r="X63" i="12"/>
  <c r="P63" i="12"/>
  <c r="N63" i="12"/>
  <c r="L63" i="12"/>
  <c r="D63" i="12"/>
  <c r="B63" i="12"/>
  <c r="Z62" i="12"/>
  <c r="P62" i="12"/>
  <c r="X62" i="12" s="1"/>
  <c r="N62" i="12"/>
  <c r="L62" i="12"/>
  <c r="D62" i="12"/>
  <c r="B62" i="12"/>
  <c r="Z61" i="12"/>
  <c r="P61" i="12"/>
  <c r="X61" i="12" s="1"/>
  <c r="N61" i="12"/>
  <c r="L61" i="12"/>
  <c r="D61" i="12"/>
  <c r="B61" i="12"/>
  <c r="Z60" i="12"/>
  <c r="P60" i="12"/>
  <c r="X60" i="12" s="1"/>
  <c r="N60" i="12"/>
  <c r="L60" i="12"/>
  <c r="D60" i="12"/>
  <c r="B60" i="12"/>
  <c r="Z59" i="12"/>
  <c r="X59" i="12"/>
  <c r="P59" i="12"/>
  <c r="N59" i="12"/>
  <c r="D59" i="12"/>
  <c r="L59" i="12" s="1"/>
  <c r="B59" i="12"/>
  <c r="Z58" i="12"/>
  <c r="P58" i="12"/>
  <c r="X58" i="12" s="1"/>
  <c r="N58" i="12"/>
  <c r="D58" i="12"/>
  <c r="L58" i="12" s="1"/>
  <c r="B58" i="12"/>
  <c r="Z57" i="12"/>
  <c r="X57" i="12"/>
  <c r="P57" i="12"/>
  <c r="N57" i="12"/>
  <c r="L57" i="12"/>
  <c r="D57" i="12"/>
  <c r="B57" i="12"/>
  <c r="Z56" i="12"/>
  <c r="P56" i="12"/>
  <c r="X56" i="12" s="1"/>
  <c r="N56" i="12"/>
  <c r="D56" i="12"/>
  <c r="L56" i="12" s="1"/>
  <c r="B56" i="12"/>
  <c r="Z55" i="12"/>
  <c r="P55" i="12"/>
  <c r="X55" i="12" s="1"/>
  <c r="N55" i="12"/>
  <c r="L55" i="12"/>
  <c r="D55" i="12"/>
  <c r="B55" i="12"/>
  <c r="Z54" i="12"/>
  <c r="X54" i="12"/>
  <c r="P54" i="12"/>
  <c r="N54" i="12"/>
  <c r="L54" i="12"/>
  <c r="D54" i="12"/>
  <c r="B54" i="12"/>
  <c r="Z53" i="12"/>
  <c r="P53" i="12"/>
  <c r="X53" i="12" s="1"/>
  <c r="N53" i="12"/>
  <c r="D53" i="12"/>
  <c r="L53" i="12" s="1"/>
  <c r="B53" i="12"/>
  <c r="Z52" i="12"/>
  <c r="P52" i="12"/>
  <c r="X52" i="12" s="1"/>
  <c r="N52" i="12"/>
  <c r="D52" i="12"/>
  <c r="L52" i="12" s="1"/>
  <c r="B52" i="12"/>
  <c r="Z51" i="12"/>
  <c r="X51" i="12"/>
  <c r="P51" i="12"/>
  <c r="N51" i="12"/>
  <c r="D51" i="12"/>
  <c r="L51" i="12" s="1"/>
  <c r="B51" i="12"/>
  <c r="Z50" i="12"/>
  <c r="P50" i="12"/>
  <c r="X50" i="12" s="1"/>
  <c r="N50" i="12"/>
  <c r="L50" i="12"/>
  <c r="D50" i="12"/>
  <c r="B50" i="12"/>
  <c r="Z49" i="12"/>
  <c r="P49" i="12"/>
  <c r="X49" i="12" s="1"/>
  <c r="N49" i="12"/>
  <c r="D49" i="12"/>
  <c r="L49" i="12" s="1"/>
  <c r="B49" i="12"/>
  <c r="Z48" i="12"/>
  <c r="X48" i="12"/>
  <c r="P48" i="12"/>
  <c r="N48" i="12"/>
  <c r="L48" i="12"/>
  <c r="D48" i="12"/>
  <c r="B48" i="12"/>
  <c r="Z47" i="12"/>
  <c r="P47" i="12"/>
  <c r="X47" i="12" s="1"/>
  <c r="N47" i="12"/>
  <c r="D47" i="12"/>
  <c r="L47" i="12" s="1"/>
  <c r="B47" i="12"/>
  <c r="Z46" i="12"/>
  <c r="P46" i="12"/>
  <c r="X46" i="12" s="1"/>
  <c r="N46" i="12"/>
  <c r="D46" i="12"/>
  <c r="L46" i="12" s="1"/>
  <c r="B46" i="12"/>
  <c r="Z45" i="12"/>
  <c r="X45" i="12"/>
  <c r="P45" i="12"/>
  <c r="N45" i="12"/>
  <c r="L45" i="12"/>
  <c r="D45" i="12"/>
  <c r="B45" i="12"/>
  <c r="Z44" i="12"/>
  <c r="P44" i="12"/>
  <c r="X44" i="12" s="1"/>
  <c r="N44" i="12"/>
  <c r="L44" i="12"/>
  <c r="D44" i="12"/>
  <c r="B44" i="12"/>
  <c r="Z43" i="12"/>
  <c r="X43" i="12"/>
  <c r="P43" i="12"/>
  <c r="N43" i="12"/>
  <c r="L43" i="12"/>
  <c r="D43" i="12"/>
  <c r="B43" i="12"/>
  <c r="Z42" i="12"/>
  <c r="P42" i="12"/>
  <c r="X42" i="12" s="1"/>
  <c r="N42" i="12"/>
  <c r="L42" i="12"/>
  <c r="D42" i="12"/>
  <c r="B42" i="12"/>
  <c r="Z41" i="12"/>
  <c r="P41" i="12"/>
  <c r="X41" i="12" s="1"/>
  <c r="N41" i="12"/>
  <c r="D41" i="12"/>
  <c r="L41" i="12" s="1"/>
  <c r="B41" i="12"/>
  <c r="Z40" i="12"/>
  <c r="X40" i="12"/>
  <c r="P40" i="12"/>
  <c r="N40" i="12"/>
  <c r="D40" i="12"/>
  <c r="L40" i="12" s="1"/>
  <c r="B40" i="12"/>
  <c r="Z39" i="12"/>
  <c r="X39" i="12"/>
  <c r="P39" i="12"/>
  <c r="N39" i="12"/>
  <c r="L39" i="12"/>
  <c r="D39" i="12"/>
  <c r="B39" i="12"/>
  <c r="Z38" i="12"/>
  <c r="P38" i="12"/>
  <c r="X38" i="12" s="1"/>
  <c r="N38" i="12"/>
  <c r="L38" i="12"/>
  <c r="D38" i="12"/>
  <c r="B38" i="12"/>
  <c r="Z37" i="12"/>
  <c r="P37" i="12"/>
  <c r="X37" i="12" s="1"/>
  <c r="N37" i="12"/>
  <c r="D37" i="12"/>
  <c r="L37" i="12" s="1"/>
  <c r="B37" i="12"/>
  <c r="Z36" i="12"/>
  <c r="P36" i="12"/>
  <c r="X36" i="12" s="1"/>
  <c r="N36" i="12"/>
  <c r="L36" i="12"/>
  <c r="D36" i="12"/>
  <c r="B36" i="12"/>
  <c r="Z35" i="12"/>
  <c r="X35" i="12"/>
  <c r="P35" i="12"/>
  <c r="N35" i="12"/>
  <c r="D35" i="12"/>
  <c r="L35" i="12" s="1"/>
  <c r="B35" i="12"/>
  <c r="Z34" i="12"/>
  <c r="X34" i="12"/>
  <c r="P34" i="12"/>
  <c r="N34" i="12"/>
  <c r="L34" i="12"/>
  <c r="D34" i="12"/>
  <c r="B34" i="12"/>
  <c r="Z33" i="12"/>
  <c r="X33" i="12"/>
  <c r="P33" i="12"/>
  <c r="N33" i="12"/>
  <c r="D33" i="12"/>
  <c r="L33" i="12" s="1"/>
  <c r="B33" i="12"/>
  <c r="Z32" i="12"/>
  <c r="P32" i="12"/>
  <c r="X32" i="12" s="1"/>
  <c r="N32" i="12"/>
  <c r="D32" i="12"/>
  <c r="L32" i="12" s="1"/>
  <c r="B32" i="12"/>
  <c r="Z31" i="12"/>
  <c r="X31" i="12"/>
  <c r="P31" i="12"/>
  <c r="N31" i="12"/>
  <c r="D31" i="12"/>
  <c r="L31" i="12" s="1"/>
  <c r="B31" i="12"/>
  <c r="Z30" i="12"/>
  <c r="X30" i="12"/>
  <c r="P30" i="12"/>
  <c r="N30" i="12"/>
  <c r="L30" i="12"/>
  <c r="D30" i="12"/>
  <c r="B30" i="12"/>
  <c r="Z29" i="12"/>
  <c r="P29" i="12"/>
  <c r="X29" i="12" s="1"/>
  <c r="N29" i="12"/>
  <c r="D29" i="12"/>
  <c r="L29" i="12" s="1"/>
  <c r="B29" i="12"/>
  <c r="Z28" i="12"/>
  <c r="P28" i="12"/>
  <c r="X28" i="12" s="1"/>
  <c r="N28" i="12"/>
  <c r="D28" i="12"/>
  <c r="L28" i="12" s="1"/>
  <c r="B28" i="12"/>
  <c r="Z27" i="12"/>
  <c r="X27" i="12"/>
  <c r="P27" i="12"/>
  <c r="N27" i="12"/>
  <c r="D27" i="12"/>
  <c r="L27" i="12" s="1"/>
  <c r="B27" i="12"/>
  <c r="Z26" i="12"/>
  <c r="P26" i="12"/>
  <c r="X26" i="12" s="1"/>
  <c r="N26" i="12"/>
  <c r="L26" i="12"/>
  <c r="D26" i="12"/>
  <c r="B26" i="12"/>
  <c r="Z25" i="12"/>
  <c r="X25" i="12"/>
  <c r="P25" i="12"/>
  <c r="N25" i="12"/>
  <c r="L25" i="12"/>
  <c r="D25" i="12"/>
  <c r="B25" i="12"/>
  <c r="Z24" i="12"/>
  <c r="P24" i="12"/>
  <c r="X24" i="12" s="1"/>
  <c r="N24" i="12"/>
  <c r="L24" i="12"/>
  <c r="D24" i="12"/>
  <c r="B24" i="12"/>
  <c r="Z23" i="12"/>
  <c r="X23" i="12"/>
  <c r="P23" i="12"/>
  <c r="N23" i="12"/>
  <c r="D23" i="12"/>
  <c r="L23" i="12" s="1"/>
  <c r="B23" i="12"/>
  <c r="Z22" i="12"/>
  <c r="X22" i="12"/>
  <c r="P22" i="12"/>
  <c r="N22" i="12"/>
  <c r="D22" i="12"/>
  <c r="L22" i="12" s="1"/>
  <c r="B22" i="12"/>
  <c r="Z21" i="12"/>
  <c r="X21" i="12"/>
  <c r="P21" i="12"/>
  <c r="N21" i="12"/>
  <c r="L21" i="12"/>
  <c r="D21" i="12"/>
  <c r="B21" i="12"/>
  <c r="Z20" i="12"/>
  <c r="P20" i="12"/>
  <c r="X20" i="12" s="1"/>
  <c r="N20" i="12"/>
  <c r="L20" i="12"/>
  <c r="D20" i="12"/>
  <c r="B20" i="12"/>
  <c r="Z19" i="12"/>
  <c r="P19" i="12"/>
  <c r="X19" i="12" s="1"/>
  <c r="N19" i="12"/>
  <c r="D19" i="12"/>
  <c r="L19" i="12" s="1"/>
  <c r="B19" i="12"/>
  <c r="Z18" i="12"/>
  <c r="P18" i="12"/>
  <c r="X18" i="12" s="1"/>
  <c r="N18" i="12"/>
  <c r="L18" i="12"/>
  <c r="D18" i="12"/>
  <c r="B18" i="12"/>
  <c r="Z17" i="12"/>
  <c r="X17" i="12"/>
  <c r="P17" i="12"/>
  <c r="N17" i="12"/>
  <c r="D17" i="12"/>
  <c r="L17" i="12" s="1"/>
  <c r="B17" i="12"/>
  <c r="Z16" i="12"/>
  <c r="X16" i="12"/>
  <c r="P16" i="12"/>
  <c r="N16" i="12"/>
  <c r="L16" i="12"/>
  <c r="D16" i="12"/>
  <c r="B16" i="12"/>
  <c r="Z15" i="12"/>
  <c r="X15" i="12"/>
  <c r="P15" i="12"/>
  <c r="N15" i="12"/>
  <c r="D15" i="12"/>
  <c r="L15" i="12" s="1"/>
  <c r="B15" i="12"/>
  <c r="Z14" i="12"/>
  <c r="P14" i="12"/>
  <c r="X14" i="12" s="1"/>
  <c r="N14" i="12"/>
  <c r="D14" i="12"/>
  <c r="L14" i="12" s="1"/>
  <c r="B14" i="12"/>
  <c r="P13" i="12"/>
  <c r="X13" i="12" s="1"/>
  <c r="Z13" i="12" s="1"/>
  <c r="D13" i="12"/>
  <c r="D12" i="12" s="1"/>
  <c r="B13" i="12"/>
  <c r="T12" i="12"/>
  <c r="V172" i="12" s="1"/>
  <c r="H12" i="12"/>
  <c r="J193" i="12" s="1"/>
  <c r="D4" i="12"/>
  <c r="Z104" i="9"/>
  <c r="X104" i="9"/>
  <c r="N104" i="9"/>
  <c r="L104" i="9"/>
  <c r="Z100" i="9"/>
  <c r="P100" i="9"/>
  <c r="N100" i="9"/>
  <c r="J100" i="9"/>
  <c r="D100" i="9"/>
  <c r="L100" i="9" s="1"/>
  <c r="B100" i="9"/>
  <c r="Z99" i="9"/>
  <c r="P99" i="9"/>
  <c r="X99" i="9" s="1"/>
  <c r="N99" i="9"/>
  <c r="L99" i="9"/>
  <c r="D99" i="9"/>
  <c r="B99" i="9"/>
  <c r="Z98" i="9"/>
  <c r="P98" i="9"/>
  <c r="X98" i="9" s="1"/>
  <c r="N98" i="9"/>
  <c r="L98" i="9"/>
  <c r="J98" i="9"/>
  <c r="D98" i="9"/>
  <c r="D97" i="9" s="1"/>
  <c r="L97" i="9" s="1"/>
  <c r="B98" i="9"/>
  <c r="T97" i="9"/>
  <c r="Z97" i="9" s="1"/>
  <c r="N97" i="9"/>
  <c r="J97" i="9"/>
  <c r="H97" i="9"/>
  <c r="F97" i="9"/>
  <c r="X95" i="9"/>
  <c r="Z95" i="9" s="1"/>
  <c r="L95" i="9"/>
  <c r="N95" i="9" s="1"/>
  <c r="F95" i="9"/>
  <c r="B95" i="9"/>
  <c r="X94" i="9"/>
  <c r="Z94" i="9" s="1"/>
  <c r="N94" i="9"/>
  <c r="L94" i="9"/>
  <c r="B94" i="9"/>
  <c r="X93" i="9"/>
  <c r="Z93" i="9" s="1"/>
  <c r="V93" i="9"/>
  <c r="T93" i="9"/>
  <c r="P93" i="9"/>
  <c r="H93" i="9"/>
  <c r="D93" i="9"/>
  <c r="L93" i="9" s="1"/>
  <c r="B93" i="9"/>
  <c r="Z92" i="9"/>
  <c r="X92" i="9"/>
  <c r="N92" i="9"/>
  <c r="L92" i="9"/>
  <c r="B92" i="9"/>
  <c r="T91" i="9"/>
  <c r="P91" i="9"/>
  <c r="H91" i="9"/>
  <c r="L91" i="9" s="1"/>
  <c r="N91" i="9" s="1"/>
  <c r="D91" i="9"/>
  <c r="B91" i="9"/>
  <c r="Z90" i="9"/>
  <c r="X90" i="9"/>
  <c r="V90" i="9"/>
  <c r="L90" i="9"/>
  <c r="N90" i="9" s="1"/>
  <c r="B90" i="9"/>
  <c r="Z89" i="9"/>
  <c r="X89" i="9"/>
  <c r="L89" i="9"/>
  <c r="N89" i="9" s="1"/>
  <c r="J89" i="9"/>
  <c r="B89" i="9"/>
  <c r="T88" i="9"/>
  <c r="P88" i="9"/>
  <c r="X88" i="9" s="1"/>
  <c r="Z88" i="9" s="1"/>
  <c r="J88" i="9"/>
  <c r="H88" i="9"/>
  <c r="D88" i="9"/>
  <c r="B88" i="9"/>
  <c r="X87" i="9"/>
  <c r="Z87" i="9" s="1"/>
  <c r="N87" i="9"/>
  <c r="L87" i="9"/>
  <c r="B87" i="9"/>
  <c r="X86" i="9"/>
  <c r="Z86" i="9" s="1"/>
  <c r="N86" i="9"/>
  <c r="L86" i="9"/>
  <c r="B86" i="9"/>
  <c r="X85" i="9"/>
  <c r="Z85" i="9" s="1"/>
  <c r="N85" i="9"/>
  <c r="L85" i="9"/>
  <c r="B85" i="9"/>
  <c r="X84" i="9"/>
  <c r="Z84" i="9" s="1"/>
  <c r="L84" i="9"/>
  <c r="N84" i="9" s="1"/>
  <c r="B84" i="9"/>
  <c r="X83" i="9"/>
  <c r="Z83" i="9" s="1"/>
  <c r="L83" i="9"/>
  <c r="N83" i="9" s="1"/>
  <c r="F83" i="9"/>
  <c r="B83" i="9"/>
  <c r="X82" i="9"/>
  <c r="T82" i="9"/>
  <c r="P82" i="9"/>
  <c r="J82" i="9"/>
  <c r="H82" i="9"/>
  <c r="F82" i="9"/>
  <c r="D82" i="9"/>
  <c r="L82" i="9" s="1"/>
  <c r="B82" i="9"/>
  <c r="Z81" i="9"/>
  <c r="X81" i="9"/>
  <c r="N81" i="9"/>
  <c r="L81" i="9"/>
  <c r="J81" i="9"/>
  <c r="B81" i="9"/>
  <c r="Z80" i="9"/>
  <c r="X80" i="9"/>
  <c r="N80" i="9"/>
  <c r="L80" i="9"/>
  <c r="B80" i="9"/>
  <c r="T79" i="9"/>
  <c r="P79" i="9"/>
  <c r="H79" i="9"/>
  <c r="L79" i="9" s="1"/>
  <c r="N79" i="9" s="1"/>
  <c r="D79" i="9"/>
  <c r="B79" i="9"/>
  <c r="Z78" i="9"/>
  <c r="X78" i="9"/>
  <c r="V78" i="9"/>
  <c r="L78" i="9"/>
  <c r="N78" i="9" s="1"/>
  <c r="B78" i="9"/>
  <c r="Z77" i="9"/>
  <c r="X77" i="9"/>
  <c r="L77" i="9"/>
  <c r="N77" i="9" s="1"/>
  <c r="J77" i="9"/>
  <c r="B77" i="9"/>
  <c r="T76" i="9"/>
  <c r="P76" i="9"/>
  <c r="X76" i="9" s="1"/>
  <c r="Z76" i="9" s="1"/>
  <c r="J76" i="9"/>
  <c r="H76" i="9"/>
  <c r="D76" i="9"/>
  <c r="B76" i="9"/>
  <c r="Z75" i="9"/>
  <c r="X75" i="9"/>
  <c r="N75" i="9"/>
  <c r="L75" i="9"/>
  <c r="F75" i="9"/>
  <c r="B75" i="9"/>
  <c r="X74" i="9"/>
  <c r="Z74" i="9" s="1"/>
  <c r="N74" i="9"/>
  <c r="L74" i="9"/>
  <c r="B74" i="9"/>
  <c r="X73" i="9"/>
  <c r="Z73" i="9" s="1"/>
  <c r="V73" i="9"/>
  <c r="N73" i="9"/>
  <c r="L73" i="9"/>
  <c r="B73" i="9"/>
  <c r="X72" i="9"/>
  <c r="Z72" i="9" s="1"/>
  <c r="N72" i="9"/>
  <c r="L72" i="9"/>
  <c r="F72" i="9"/>
  <c r="B72" i="9"/>
  <c r="T71" i="9"/>
  <c r="P71" i="9"/>
  <c r="X71" i="9" s="1"/>
  <c r="L71" i="9"/>
  <c r="N71" i="9" s="1"/>
  <c r="J71" i="9"/>
  <c r="H71" i="9"/>
  <c r="F71" i="9"/>
  <c r="D71" i="9"/>
  <c r="B71" i="9"/>
  <c r="Z70" i="9"/>
  <c r="X70" i="9"/>
  <c r="N70" i="9"/>
  <c r="L70" i="9"/>
  <c r="J70" i="9"/>
  <c r="F70" i="9"/>
  <c r="B70" i="9"/>
  <c r="Z69" i="9"/>
  <c r="X69" i="9"/>
  <c r="N69" i="9"/>
  <c r="L69" i="9"/>
  <c r="J69" i="9"/>
  <c r="B69" i="9"/>
  <c r="X68" i="9"/>
  <c r="Z68" i="9" s="1"/>
  <c r="N68" i="9"/>
  <c r="L68" i="9"/>
  <c r="J68" i="9"/>
  <c r="B68" i="9"/>
  <c r="X67" i="9"/>
  <c r="Z67" i="9" s="1"/>
  <c r="N67" i="9"/>
  <c r="L67" i="9"/>
  <c r="J67" i="9"/>
  <c r="B67" i="9"/>
  <c r="T66" i="9"/>
  <c r="P66" i="9"/>
  <c r="L66" i="9"/>
  <c r="H66" i="9"/>
  <c r="N66" i="9" s="1"/>
  <c r="D66" i="9"/>
  <c r="B66" i="9"/>
  <c r="Z65" i="9"/>
  <c r="X65" i="9"/>
  <c r="L65" i="9"/>
  <c r="N65" i="9" s="1"/>
  <c r="J65" i="9"/>
  <c r="B65" i="9"/>
  <c r="Z64" i="9"/>
  <c r="X64" i="9"/>
  <c r="N64" i="9"/>
  <c r="L64" i="9"/>
  <c r="J64" i="9"/>
  <c r="B64" i="9"/>
  <c r="Z63" i="9"/>
  <c r="V63" i="9"/>
  <c r="T63" i="9"/>
  <c r="P63" i="9"/>
  <c r="X63" i="9" s="1"/>
  <c r="J63" i="9"/>
  <c r="H63" i="9"/>
  <c r="D63" i="9"/>
  <c r="L63" i="9" s="1"/>
  <c r="B63" i="9"/>
  <c r="X62" i="9"/>
  <c r="Z62" i="9" s="1"/>
  <c r="N62" i="9"/>
  <c r="L62" i="9"/>
  <c r="B62" i="9"/>
  <c r="X61" i="9"/>
  <c r="Z61" i="9" s="1"/>
  <c r="V61" i="9"/>
  <c r="T61" i="9"/>
  <c r="P61" i="9"/>
  <c r="H61" i="9"/>
  <c r="D61" i="9"/>
  <c r="L61" i="9" s="1"/>
  <c r="B61" i="9"/>
  <c r="X60" i="9"/>
  <c r="Z60" i="9" s="1"/>
  <c r="N60" i="9"/>
  <c r="L60" i="9"/>
  <c r="J60" i="9"/>
  <c r="B60" i="9"/>
  <c r="Z59" i="9"/>
  <c r="X59" i="9"/>
  <c r="N59" i="9"/>
  <c r="L59" i="9"/>
  <c r="J59" i="9"/>
  <c r="B59" i="9"/>
  <c r="T58" i="9"/>
  <c r="P58" i="9"/>
  <c r="H58" i="9"/>
  <c r="L58" i="9" s="1"/>
  <c r="D58" i="9"/>
  <c r="B58" i="9"/>
  <c r="Z57" i="9"/>
  <c r="X57" i="9"/>
  <c r="L57" i="9"/>
  <c r="N57" i="9" s="1"/>
  <c r="J57" i="9"/>
  <c r="B57" i="9"/>
  <c r="T56" i="9"/>
  <c r="P56" i="9"/>
  <c r="X56" i="9" s="1"/>
  <c r="Z56" i="9" s="1"/>
  <c r="J56" i="9"/>
  <c r="H56" i="9"/>
  <c r="D56" i="9"/>
  <c r="L56" i="9" s="1"/>
  <c r="B56" i="9"/>
  <c r="X55" i="9"/>
  <c r="Z55" i="9" s="1"/>
  <c r="L55" i="9"/>
  <c r="N55" i="9" s="1"/>
  <c r="F55" i="9"/>
  <c r="B55" i="9"/>
  <c r="X54" i="9"/>
  <c r="T54" i="9"/>
  <c r="Z54" i="9" s="1"/>
  <c r="P54" i="9"/>
  <c r="J54" i="9"/>
  <c r="H54" i="9"/>
  <c r="F54" i="9"/>
  <c r="D54" i="9"/>
  <c r="L54" i="9" s="1"/>
  <c r="B54" i="9"/>
  <c r="Z53" i="9"/>
  <c r="X53" i="9"/>
  <c r="N53" i="9"/>
  <c r="L53" i="9"/>
  <c r="J53" i="9"/>
  <c r="B53" i="9"/>
  <c r="X52" i="9"/>
  <c r="Z52" i="9" s="1"/>
  <c r="T52" i="9"/>
  <c r="P52" i="9"/>
  <c r="H52" i="9"/>
  <c r="N52" i="9" s="1"/>
  <c r="D52" i="9"/>
  <c r="B52" i="9"/>
  <c r="Z51" i="9"/>
  <c r="X51" i="9"/>
  <c r="V51" i="9"/>
  <c r="N51" i="9"/>
  <c r="L51" i="9"/>
  <c r="B51" i="9"/>
  <c r="Z50" i="9"/>
  <c r="X50" i="9"/>
  <c r="V50" i="9"/>
  <c r="L50" i="9"/>
  <c r="N50" i="9" s="1"/>
  <c r="J50" i="9"/>
  <c r="B50" i="9"/>
  <c r="T49" i="9"/>
  <c r="Z49" i="9" s="1"/>
  <c r="P49" i="9"/>
  <c r="X49" i="9" s="1"/>
  <c r="J49" i="9"/>
  <c r="H49" i="9"/>
  <c r="D49" i="9"/>
  <c r="L49" i="9" s="1"/>
  <c r="N49" i="9" s="1"/>
  <c r="B49" i="9"/>
  <c r="X48" i="9"/>
  <c r="Z48" i="9" s="1"/>
  <c r="N48" i="9"/>
  <c r="L48" i="9"/>
  <c r="F48" i="9"/>
  <c r="B48" i="9"/>
  <c r="T47" i="9"/>
  <c r="Z47" i="9" s="1"/>
  <c r="P47" i="9"/>
  <c r="X47" i="9" s="1"/>
  <c r="L47" i="9"/>
  <c r="N47" i="9" s="1"/>
  <c r="J47" i="9"/>
  <c r="H47" i="9"/>
  <c r="F47" i="9"/>
  <c r="D47" i="9"/>
  <c r="B47" i="9"/>
  <c r="Z46" i="9"/>
  <c r="X46" i="9"/>
  <c r="N46" i="9"/>
  <c r="L46" i="9"/>
  <c r="J46" i="9"/>
  <c r="B46" i="9"/>
  <c r="Z45" i="9"/>
  <c r="T45" i="9"/>
  <c r="X45" i="9" s="1"/>
  <c r="P45" i="9"/>
  <c r="H45" i="9"/>
  <c r="F45" i="9"/>
  <c r="D45" i="9"/>
  <c r="B45" i="9"/>
  <c r="Z44" i="9"/>
  <c r="X44" i="9"/>
  <c r="L44" i="9"/>
  <c r="N44" i="9" s="1"/>
  <c r="J44" i="9"/>
  <c r="B44" i="9"/>
  <c r="Z43" i="9"/>
  <c r="V43" i="9"/>
  <c r="T43" i="9"/>
  <c r="P43" i="9"/>
  <c r="X43" i="9" s="1"/>
  <c r="J43" i="9"/>
  <c r="H43" i="9"/>
  <c r="N43" i="9" s="1"/>
  <c r="D43" i="9"/>
  <c r="L43" i="9" s="1"/>
  <c r="B43" i="9"/>
  <c r="Z42" i="9"/>
  <c r="X42" i="9"/>
  <c r="N42" i="9"/>
  <c r="L42" i="9"/>
  <c r="B42" i="9"/>
  <c r="Z41" i="9"/>
  <c r="X41" i="9"/>
  <c r="V41" i="9"/>
  <c r="N41" i="9"/>
  <c r="L41" i="9"/>
  <c r="B41" i="9"/>
  <c r="X40" i="9"/>
  <c r="Z40" i="9" s="1"/>
  <c r="L40" i="9"/>
  <c r="N40" i="9" s="1"/>
  <c r="B40" i="9"/>
  <c r="X39" i="9"/>
  <c r="Z39" i="9" s="1"/>
  <c r="N39" i="9"/>
  <c r="L39" i="9"/>
  <c r="B39" i="9"/>
  <c r="Z38" i="9"/>
  <c r="X38" i="9"/>
  <c r="N38" i="9"/>
  <c r="L38" i="9"/>
  <c r="B38" i="9"/>
  <c r="X37" i="9"/>
  <c r="Z37" i="9" s="1"/>
  <c r="V37" i="9"/>
  <c r="N37" i="9"/>
  <c r="L37" i="9"/>
  <c r="B37" i="9"/>
  <c r="X36" i="9"/>
  <c r="Z36" i="9" s="1"/>
  <c r="L36" i="9"/>
  <c r="N36" i="9" s="1"/>
  <c r="B36" i="9"/>
  <c r="Z35" i="9"/>
  <c r="X35" i="9"/>
  <c r="N35" i="9"/>
  <c r="L35" i="9"/>
  <c r="F35" i="9"/>
  <c r="B35" i="9"/>
  <c r="X34" i="9"/>
  <c r="Z34" i="9" s="1"/>
  <c r="N34" i="9"/>
  <c r="L34" i="9"/>
  <c r="B34" i="9"/>
  <c r="X33" i="9"/>
  <c r="Z33" i="9" s="1"/>
  <c r="V33" i="9"/>
  <c r="N33" i="9"/>
  <c r="L33" i="9"/>
  <c r="B33" i="9"/>
  <c r="T32" i="9"/>
  <c r="P32" i="9"/>
  <c r="X32" i="9" s="1"/>
  <c r="L32" i="9"/>
  <c r="J32" i="9"/>
  <c r="H32" i="9"/>
  <c r="N32" i="9" s="1"/>
  <c r="D32" i="9"/>
  <c r="B32" i="9"/>
  <c r="X31" i="9"/>
  <c r="Z31" i="9" s="1"/>
  <c r="N31" i="9"/>
  <c r="L31" i="9"/>
  <c r="J31" i="9"/>
  <c r="B31" i="9"/>
  <c r="Z30" i="9"/>
  <c r="X30" i="9"/>
  <c r="N30" i="9"/>
  <c r="L30" i="9"/>
  <c r="J30" i="9"/>
  <c r="B30" i="9"/>
  <c r="Z29" i="9"/>
  <c r="X29" i="9"/>
  <c r="N29" i="9"/>
  <c r="L29" i="9"/>
  <c r="J29" i="9"/>
  <c r="B29" i="9"/>
  <c r="Z28" i="9"/>
  <c r="X28" i="9"/>
  <c r="N28" i="9"/>
  <c r="L28" i="9"/>
  <c r="J28" i="9"/>
  <c r="B28" i="9"/>
  <c r="Z27" i="9"/>
  <c r="X27" i="9"/>
  <c r="N27" i="9"/>
  <c r="L27" i="9"/>
  <c r="J27" i="9"/>
  <c r="B27" i="9"/>
  <c r="Z26" i="9"/>
  <c r="X26" i="9"/>
  <c r="N26" i="9"/>
  <c r="L26" i="9"/>
  <c r="J26" i="9"/>
  <c r="F26" i="9"/>
  <c r="B26" i="9"/>
  <c r="Z25" i="9"/>
  <c r="X25" i="9"/>
  <c r="N25" i="9"/>
  <c r="L25" i="9"/>
  <c r="J25" i="9"/>
  <c r="F25" i="9"/>
  <c r="B25" i="9"/>
  <c r="X24" i="9"/>
  <c r="Z24" i="9" s="1"/>
  <c r="N24" i="9"/>
  <c r="L24" i="9"/>
  <c r="J24" i="9"/>
  <c r="B24" i="9"/>
  <c r="X23" i="9"/>
  <c r="Z23" i="9" s="1"/>
  <c r="N23" i="9"/>
  <c r="L23" i="9"/>
  <c r="J23" i="9"/>
  <c r="B23" i="9"/>
  <c r="Z22" i="9"/>
  <c r="X22" i="9"/>
  <c r="N22" i="9"/>
  <c r="L22" i="9"/>
  <c r="J22" i="9"/>
  <c r="F22" i="9"/>
  <c r="B22" i="9"/>
  <c r="Z21" i="9"/>
  <c r="X21" i="9"/>
  <c r="N21" i="9"/>
  <c r="L21" i="9"/>
  <c r="J21" i="9"/>
  <c r="F21" i="9"/>
  <c r="B21" i="9"/>
  <c r="Z20" i="9"/>
  <c r="X20" i="9"/>
  <c r="T20" i="9"/>
  <c r="P20" i="9"/>
  <c r="J20" i="9"/>
  <c r="H20" i="9"/>
  <c r="D20" i="9"/>
  <c r="B20" i="9"/>
  <c r="V19" i="9"/>
  <c r="T19" i="9"/>
  <c r="P19" i="9"/>
  <c r="J19" i="9"/>
  <c r="H19" i="9"/>
  <c r="D19" i="9"/>
  <c r="L19" i="9" s="1"/>
  <c r="V17" i="9"/>
  <c r="J17" i="9"/>
  <c r="H17" i="9"/>
  <c r="D17" i="9"/>
  <c r="Z15" i="9"/>
  <c r="V15" i="9"/>
  <c r="T15" i="9"/>
  <c r="P15" i="9"/>
  <c r="X15" i="9" s="1"/>
  <c r="J15" i="9"/>
  <c r="H15" i="9"/>
  <c r="N15" i="9" s="1"/>
  <c r="D15" i="9"/>
  <c r="L15" i="9" s="1"/>
  <c r="Z13" i="9"/>
  <c r="P13" i="9"/>
  <c r="N13" i="9"/>
  <c r="D13" i="9"/>
  <c r="L13" i="9" s="1"/>
  <c r="B13" i="9"/>
  <c r="T12" i="9"/>
  <c r="N12" i="9"/>
  <c r="L12" i="9"/>
  <c r="H12" i="9"/>
  <c r="J102" i="9" s="1"/>
  <c r="D12" i="9"/>
  <c r="F87" i="9" s="1"/>
  <c r="D4" i="9"/>
  <c r="V31" i="6"/>
  <c r="J31" i="6"/>
  <c r="V29" i="6"/>
  <c r="T29" i="6"/>
  <c r="P29" i="6"/>
  <c r="N29" i="6"/>
  <c r="J29" i="6"/>
  <c r="H29" i="6"/>
  <c r="D29" i="6"/>
  <c r="L29" i="6" s="1"/>
  <c r="V28" i="6"/>
  <c r="T28" i="6"/>
  <c r="P28" i="6"/>
  <c r="J28" i="6"/>
  <c r="H28" i="6"/>
  <c r="D28" i="6"/>
  <c r="L28" i="6" s="1"/>
  <c r="N28" i="6" s="1"/>
  <c r="V26" i="6"/>
  <c r="J26" i="6"/>
  <c r="Z24" i="6"/>
  <c r="X24" i="6"/>
  <c r="V24" i="6"/>
  <c r="R24" i="6"/>
  <c r="N24" i="6"/>
  <c r="L24" i="6"/>
  <c r="J24" i="6"/>
  <c r="Z20" i="6"/>
  <c r="T20" i="6"/>
  <c r="X20" i="6" s="1"/>
  <c r="P20" i="6"/>
  <c r="L20" i="6"/>
  <c r="H20" i="6"/>
  <c r="N20" i="6" s="1"/>
  <c r="D20" i="6"/>
  <c r="Z18" i="6"/>
  <c r="T18" i="6"/>
  <c r="X18" i="6" s="1"/>
  <c r="P18" i="6"/>
  <c r="L18" i="6"/>
  <c r="H18" i="6"/>
  <c r="N18" i="6" s="1"/>
  <c r="F18" i="6"/>
  <c r="D18" i="6"/>
  <c r="Z14" i="6"/>
  <c r="T14" i="6"/>
  <c r="X14" i="6" s="1"/>
  <c r="P14" i="6"/>
  <c r="H14" i="6"/>
  <c r="N14" i="6" s="1"/>
  <c r="D14" i="6"/>
  <c r="Z12" i="6"/>
  <c r="T12" i="6"/>
  <c r="V22" i="6" s="1"/>
  <c r="P12" i="6"/>
  <c r="X12" i="6" s="1"/>
  <c r="H12" i="6"/>
  <c r="N12" i="6" s="1"/>
  <c r="D12" i="6"/>
  <c r="F22" i="6" s="1"/>
  <c r="D4" i="6"/>
  <c r="X255" i="3"/>
  <c r="T255" i="3"/>
  <c r="Z255" i="3" s="1"/>
  <c r="P255" i="3"/>
  <c r="L255" i="3"/>
  <c r="H255" i="3"/>
  <c r="D255" i="3"/>
  <c r="X254" i="3"/>
  <c r="Z254" i="3" s="1"/>
  <c r="T254" i="3"/>
  <c r="P254" i="3"/>
  <c r="H254" i="3"/>
  <c r="D254" i="3"/>
  <c r="L254" i="3" s="1"/>
  <c r="X250" i="3"/>
  <c r="Z250" i="3" s="1"/>
  <c r="N250" i="3"/>
  <c r="L250" i="3"/>
  <c r="Z246" i="3"/>
  <c r="P246" i="3"/>
  <c r="X246" i="3" s="1"/>
  <c r="N246" i="3"/>
  <c r="L246" i="3"/>
  <c r="D246" i="3"/>
  <c r="B246" i="3"/>
  <c r="Z245" i="3"/>
  <c r="X245" i="3"/>
  <c r="P245" i="3"/>
  <c r="N245" i="3"/>
  <c r="L245" i="3"/>
  <c r="D245" i="3"/>
  <c r="B245" i="3"/>
  <c r="Z244" i="3"/>
  <c r="X244" i="3"/>
  <c r="P244" i="3"/>
  <c r="N244" i="3"/>
  <c r="D244" i="3"/>
  <c r="L244" i="3" s="1"/>
  <c r="B244" i="3"/>
  <c r="Z243" i="3"/>
  <c r="X243" i="3"/>
  <c r="P243" i="3"/>
  <c r="N243" i="3"/>
  <c r="L243" i="3"/>
  <c r="D243" i="3"/>
  <c r="B243" i="3"/>
  <c r="P242" i="3"/>
  <c r="X242" i="3" s="1"/>
  <c r="Z242" i="3" s="1"/>
  <c r="L242" i="3"/>
  <c r="N242" i="3" s="1"/>
  <c r="D242" i="3"/>
  <c r="B242" i="3"/>
  <c r="P241" i="3"/>
  <c r="N241" i="3"/>
  <c r="D241" i="3"/>
  <c r="L241" i="3" s="1"/>
  <c r="B241" i="3"/>
  <c r="Z240" i="3"/>
  <c r="X240" i="3"/>
  <c r="P240" i="3"/>
  <c r="N240" i="3"/>
  <c r="L240" i="3"/>
  <c r="D240" i="3"/>
  <c r="B240" i="3"/>
  <c r="T239" i="3"/>
  <c r="H239" i="3"/>
  <c r="Z237" i="3"/>
  <c r="X237" i="3"/>
  <c r="N237" i="3"/>
  <c r="L237" i="3"/>
  <c r="B237" i="3"/>
  <c r="T236" i="3"/>
  <c r="P236" i="3"/>
  <c r="H236" i="3"/>
  <c r="D236" i="3"/>
  <c r="B236" i="3"/>
  <c r="Z235" i="3"/>
  <c r="X235" i="3"/>
  <c r="V235" i="3"/>
  <c r="L235" i="3"/>
  <c r="N235" i="3" s="1"/>
  <c r="B235" i="3"/>
  <c r="Z234" i="3"/>
  <c r="X234" i="3"/>
  <c r="V234" i="3"/>
  <c r="L234" i="3"/>
  <c r="N234" i="3" s="1"/>
  <c r="B234" i="3"/>
  <c r="Z233" i="3"/>
  <c r="X233" i="3"/>
  <c r="L233" i="3"/>
  <c r="N233" i="3" s="1"/>
  <c r="B233" i="3"/>
  <c r="T232" i="3"/>
  <c r="P232" i="3"/>
  <c r="X232" i="3" s="1"/>
  <c r="Z232" i="3" s="1"/>
  <c r="H232" i="3"/>
  <c r="N232" i="3" s="1"/>
  <c r="D232" i="3"/>
  <c r="L232" i="3" s="1"/>
  <c r="B232" i="3"/>
  <c r="X231" i="3"/>
  <c r="Z231" i="3" s="1"/>
  <c r="N231" i="3"/>
  <c r="L231" i="3"/>
  <c r="B231" i="3"/>
  <c r="X230" i="3"/>
  <c r="T230" i="3"/>
  <c r="Z230" i="3" s="1"/>
  <c r="P230" i="3"/>
  <c r="L230" i="3"/>
  <c r="H230" i="3"/>
  <c r="D230" i="3"/>
  <c r="B230" i="3"/>
  <c r="Z229" i="3"/>
  <c r="X229" i="3"/>
  <c r="N229" i="3"/>
  <c r="L229" i="3"/>
  <c r="B229" i="3"/>
  <c r="X228" i="3"/>
  <c r="Z228" i="3" s="1"/>
  <c r="N228" i="3"/>
  <c r="L228" i="3"/>
  <c r="B228" i="3"/>
  <c r="T227" i="3"/>
  <c r="P227" i="3"/>
  <c r="N227" i="3"/>
  <c r="H227" i="3"/>
  <c r="L227" i="3" s="1"/>
  <c r="D227" i="3"/>
  <c r="B227" i="3"/>
  <c r="Z226" i="3"/>
  <c r="X226" i="3"/>
  <c r="L226" i="3"/>
  <c r="N226" i="3" s="1"/>
  <c r="B226" i="3"/>
  <c r="Z225" i="3"/>
  <c r="X225" i="3"/>
  <c r="V225" i="3"/>
  <c r="L225" i="3"/>
  <c r="N225" i="3" s="1"/>
  <c r="B225" i="3"/>
  <c r="Z224" i="3"/>
  <c r="X224" i="3"/>
  <c r="N224" i="3"/>
  <c r="L224" i="3"/>
  <c r="B224" i="3"/>
  <c r="Z223" i="3"/>
  <c r="X223" i="3"/>
  <c r="L223" i="3"/>
  <c r="N223" i="3" s="1"/>
  <c r="B223" i="3"/>
  <c r="Z222" i="3"/>
  <c r="X222" i="3"/>
  <c r="L222" i="3"/>
  <c r="N222" i="3" s="1"/>
  <c r="B222" i="3"/>
  <c r="Z221" i="3"/>
  <c r="X221" i="3"/>
  <c r="V221" i="3"/>
  <c r="L221" i="3"/>
  <c r="N221" i="3" s="1"/>
  <c r="B221" i="3"/>
  <c r="Z220" i="3"/>
  <c r="X220" i="3"/>
  <c r="L220" i="3"/>
  <c r="N220" i="3" s="1"/>
  <c r="B220" i="3"/>
  <c r="Z219" i="3"/>
  <c r="X219" i="3"/>
  <c r="V219" i="3"/>
  <c r="L219" i="3"/>
  <c r="N219" i="3" s="1"/>
  <c r="B219" i="3"/>
  <c r="Z218" i="3"/>
  <c r="X218" i="3"/>
  <c r="V218" i="3"/>
  <c r="L218" i="3"/>
  <c r="N218" i="3" s="1"/>
  <c r="B218" i="3"/>
  <c r="Z217" i="3"/>
  <c r="X217" i="3"/>
  <c r="L217" i="3"/>
  <c r="N217" i="3" s="1"/>
  <c r="B217" i="3"/>
  <c r="Z216" i="3"/>
  <c r="X216" i="3"/>
  <c r="L216" i="3"/>
  <c r="N216" i="3" s="1"/>
  <c r="B216" i="3"/>
  <c r="Z215" i="3"/>
  <c r="V215" i="3"/>
  <c r="T215" i="3"/>
  <c r="P215" i="3"/>
  <c r="X215" i="3" s="1"/>
  <c r="H215" i="3"/>
  <c r="D215" i="3"/>
  <c r="B215" i="3"/>
  <c r="X214" i="3"/>
  <c r="Z214" i="3" s="1"/>
  <c r="N214" i="3"/>
  <c r="L214" i="3"/>
  <c r="B214" i="3"/>
  <c r="X213" i="3"/>
  <c r="Z213" i="3" s="1"/>
  <c r="N213" i="3"/>
  <c r="L213" i="3"/>
  <c r="B213" i="3"/>
  <c r="T212" i="3"/>
  <c r="P212" i="3"/>
  <c r="X212" i="3" s="1"/>
  <c r="L212" i="3"/>
  <c r="N212" i="3" s="1"/>
  <c r="H212" i="3"/>
  <c r="D212" i="3"/>
  <c r="B212" i="3"/>
  <c r="Z211" i="3"/>
  <c r="X211" i="3"/>
  <c r="N211" i="3"/>
  <c r="L211" i="3"/>
  <c r="B211" i="3"/>
  <c r="Z210" i="3"/>
  <c r="X210" i="3"/>
  <c r="N210" i="3"/>
  <c r="L210" i="3"/>
  <c r="B210" i="3"/>
  <c r="Z209" i="3"/>
  <c r="X209" i="3"/>
  <c r="N209" i="3"/>
  <c r="L209" i="3"/>
  <c r="B209" i="3"/>
  <c r="Z208" i="3"/>
  <c r="X208" i="3"/>
  <c r="N208" i="3"/>
  <c r="L208" i="3"/>
  <c r="B208" i="3"/>
  <c r="X207" i="3"/>
  <c r="Z207" i="3" s="1"/>
  <c r="N207" i="3"/>
  <c r="L207" i="3"/>
  <c r="B207" i="3"/>
  <c r="T206" i="3"/>
  <c r="P206" i="3"/>
  <c r="N206" i="3"/>
  <c r="L206" i="3"/>
  <c r="H206" i="3"/>
  <c r="D206" i="3"/>
  <c r="B206" i="3"/>
  <c r="Z205" i="3"/>
  <c r="X205" i="3"/>
  <c r="V205" i="3"/>
  <c r="L205" i="3"/>
  <c r="N205" i="3" s="1"/>
  <c r="B205" i="3"/>
  <c r="Z204" i="3"/>
  <c r="X204" i="3"/>
  <c r="L204" i="3"/>
  <c r="N204" i="3" s="1"/>
  <c r="B204" i="3"/>
  <c r="Z203" i="3"/>
  <c r="X203" i="3"/>
  <c r="V203" i="3"/>
  <c r="L203" i="3"/>
  <c r="N203" i="3" s="1"/>
  <c r="B203" i="3"/>
  <c r="Z202" i="3"/>
  <c r="X202" i="3"/>
  <c r="L202" i="3"/>
  <c r="N202" i="3" s="1"/>
  <c r="B202" i="3"/>
  <c r="T201" i="3"/>
  <c r="P201" i="3"/>
  <c r="N201" i="3"/>
  <c r="H201" i="3"/>
  <c r="D201" i="3"/>
  <c r="L201" i="3" s="1"/>
  <c r="B201" i="3"/>
  <c r="X200" i="3"/>
  <c r="Z200" i="3" s="1"/>
  <c r="L200" i="3"/>
  <c r="N200" i="3" s="1"/>
  <c r="B200" i="3"/>
  <c r="X199" i="3"/>
  <c r="Z199" i="3" s="1"/>
  <c r="L199" i="3"/>
  <c r="N199" i="3" s="1"/>
  <c r="B199" i="3"/>
  <c r="X198" i="3"/>
  <c r="Z198" i="3" s="1"/>
  <c r="N198" i="3"/>
  <c r="L198" i="3"/>
  <c r="B198" i="3"/>
  <c r="X197" i="3"/>
  <c r="Z197" i="3" s="1"/>
  <c r="N197" i="3"/>
  <c r="L197" i="3"/>
  <c r="B197" i="3"/>
  <c r="V196" i="3"/>
  <c r="T196" i="3"/>
  <c r="P196" i="3"/>
  <c r="X196" i="3" s="1"/>
  <c r="L196" i="3"/>
  <c r="N196" i="3" s="1"/>
  <c r="H196" i="3"/>
  <c r="D196" i="3"/>
  <c r="B196" i="3"/>
  <c r="X195" i="3"/>
  <c r="Z195" i="3" s="1"/>
  <c r="N195" i="3"/>
  <c r="L195" i="3"/>
  <c r="B195" i="3"/>
  <c r="T194" i="3"/>
  <c r="P194" i="3"/>
  <c r="L194" i="3"/>
  <c r="H194" i="3"/>
  <c r="N194" i="3" s="1"/>
  <c r="D194" i="3"/>
  <c r="B194" i="3"/>
  <c r="Z193" i="3"/>
  <c r="X193" i="3"/>
  <c r="L193" i="3"/>
  <c r="N193" i="3" s="1"/>
  <c r="B193" i="3"/>
  <c r="T192" i="3"/>
  <c r="P192" i="3"/>
  <c r="X192" i="3" s="1"/>
  <c r="Z192" i="3" s="1"/>
  <c r="H192" i="3"/>
  <c r="D192" i="3"/>
  <c r="B192" i="3"/>
  <c r="X191" i="3"/>
  <c r="Z191" i="3" s="1"/>
  <c r="N191" i="3"/>
  <c r="L191" i="3"/>
  <c r="B191" i="3"/>
  <c r="X190" i="3"/>
  <c r="T190" i="3"/>
  <c r="Z190" i="3" s="1"/>
  <c r="P190" i="3"/>
  <c r="L190" i="3"/>
  <c r="H190" i="3"/>
  <c r="N190" i="3" s="1"/>
  <c r="D190" i="3"/>
  <c r="B190" i="3"/>
  <c r="Z189" i="3"/>
  <c r="X189" i="3"/>
  <c r="N189" i="3"/>
  <c r="L189" i="3"/>
  <c r="B189" i="3"/>
  <c r="T188" i="3"/>
  <c r="X188" i="3" s="1"/>
  <c r="Z188" i="3" s="1"/>
  <c r="P188" i="3"/>
  <c r="H188" i="3"/>
  <c r="D188" i="3"/>
  <c r="B188" i="3"/>
  <c r="Z187" i="3"/>
  <c r="X187" i="3"/>
  <c r="L187" i="3"/>
  <c r="N187" i="3" s="1"/>
  <c r="B187" i="3"/>
  <c r="V186" i="3"/>
  <c r="T186" i="3"/>
  <c r="Z186" i="3" s="1"/>
  <c r="P186" i="3"/>
  <c r="X186" i="3" s="1"/>
  <c r="H186" i="3"/>
  <c r="D186" i="3"/>
  <c r="L186" i="3" s="1"/>
  <c r="N186" i="3" s="1"/>
  <c r="B186" i="3"/>
  <c r="X185" i="3"/>
  <c r="Z185" i="3" s="1"/>
  <c r="N185" i="3"/>
  <c r="L185" i="3"/>
  <c r="B185" i="3"/>
  <c r="V184" i="3"/>
  <c r="T184" i="3"/>
  <c r="P184" i="3"/>
  <c r="X184" i="3" s="1"/>
  <c r="L184" i="3"/>
  <c r="H184" i="3"/>
  <c r="N184" i="3" s="1"/>
  <c r="D184" i="3"/>
  <c r="B184" i="3"/>
  <c r="X183" i="3"/>
  <c r="Z183" i="3" s="1"/>
  <c r="N183" i="3"/>
  <c r="L183" i="3"/>
  <c r="B183" i="3"/>
  <c r="Z182" i="3"/>
  <c r="X182" i="3"/>
  <c r="N182" i="3"/>
  <c r="L182" i="3"/>
  <c r="B182" i="3"/>
  <c r="Z181" i="3"/>
  <c r="X181" i="3"/>
  <c r="N181" i="3"/>
  <c r="L181" i="3"/>
  <c r="B181" i="3"/>
  <c r="X180" i="3"/>
  <c r="T180" i="3"/>
  <c r="Z180" i="3" s="1"/>
  <c r="P180" i="3"/>
  <c r="H180" i="3"/>
  <c r="D180" i="3"/>
  <c r="B180" i="3"/>
  <c r="Z179" i="3"/>
  <c r="X179" i="3"/>
  <c r="L179" i="3"/>
  <c r="N179" i="3" s="1"/>
  <c r="B179" i="3"/>
  <c r="Z178" i="3"/>
  <c r="X178" i="3"/>
  <c r="V178" i="3"/>
  <c r="L178" i="3"/>
  <c r="N178" i="3" s="1"/>
  <c r="B178" i="3"/>
  <c r="T177" i="3"/>
  <c r="P177" i="3"/>
  <c r="H177" i="3"/>
  <c r="D177" i="3"/>
  <c r="L177" i="3" s="1"/>
  <c r="N177" i="3" s="1"/>
  <c r="B177" i="3"/>
  <c r="X176" i="3"/>
  <c r="Z176" i="3" s="1"/>
  <c r="V176" i="3"/>
  <c r="L176" i="3"/>
  <c r="N176" i="3" s="1"/>
  <c r="B176" i="3"/>
  <c r="T175" i="3"/>
  <c r="P175" i="3"/>
  <c r="X175" i="3" s="1"/>
  <c r="Z175" i="3" s="1"/>
  <c r="L175" i="3"/>
  <c r="N175" i="3" s="1"/>
  <c r="H175" i="3"/>
  <c r="D175" i="3"/>
  <c r="B175" i="3"/>
  <c r="Z174" i="3"/>
  <c r="X174" i="3"/>
  <c r="N174" i="3"/>
  <c r="L174" i="3"/>
  <c r="B174" i="3"/>
  <c r="T173" i="3"/>
  <c r="X173" i="3" s="1"/>
  <c r="Z173" i="3" s="1"/>
  <c r="P173" i="3"/>
  <c r="L173" i="3"/>
  <c r="H173" i="3"/>
  <c r="N173" i="3" s="1"/>
  <c r="D173" i="3"/>
  <c r="B173" i="3"/>
  <c r="Z172" i="3"/>
  <c r="X172" i="3"/>
  <c r="L172" i="3"/>
  <c r="N172" i="3" s="1"/>
  <c r="B172" i="3"/>
  <c r="Z171" i="3"/>
  <c r="X171" i="3"/>
  <c r="V171" i="3"/>
  <c r="N171" i="3"/>
  <c r="L171" i="3"/>
  <c r="B171" i="3"/>
  <c r="V170" i="3"/>
  <c r="T170" i="3"/>
  <c r="Z170" i="3" s="1"/>
  <c r="P170" i="3"/>
  <c r="X170" i="3" s="1"/>
  <c r="H170" i="3"/>
  <c r="D170" i="3"/>
  <c r="L170" i="3" s="1"/>
  <c r="N170" i="3" s="1"/>
  <c r="B170" i="3"/>
  <c r="X169" i="3"/>
  <c r="Z169" i="3" s="1"/>
  <c r="V169" i="3"/>
  <c r="N169" i="3"/>
  <c r="L169" i="3"/>
  <c r="B169" i="3"/>
  <c r="V168" i="3"/>
  <c r="T168" i="3"/>
  <c r="P168" i="3"/>
  <c r="X168" i="3" s="1"/>
  <c r="L168" i="3"/>
  <c r="N168" i="3" s="1"/>
  <c r="H168" i="3"/>
  <c r="D168" i="3"/>
  <c r="B168" i="3"/>
  <c r="X167" i="3"/>
  <c r="Z167" i="3" s="1"/>
  <c r="N167" i="3"/>
  <c r="L167" i="3"/>
  <c r="B167" i="3"/>
  <c r="Z166" i="3"/>
  <c r="X166" i="3"/>
  <c r="N166" i="3"/>
  <c r="L166" i="3"/>
  <c r="B166" i="3"/>
  <c r="Z165" i="3"/>
  <c r="X165" i="3"/>
  <c r="N165" i="3"/>
  <c r="L165" i="3"/>
  <c r="B165" i="3"/>
  <c r="X164" i="3"/>
  <c r="T164" i="3"/>
  <c r="Z164" i="3" s="1"/>
  <c r="P164" i="3"/>
  <c r="H164" i="3"/>
  <c r="D164" i="3"/>
  <c r="B164" i="3"/>
  <c r="Z163" i="3"/>
  <c r="X163" i="3"/>
  <c r="V163" i="3"/>
  <c r="L163" i="3"/>
  <c r="N163" i="3" s="1"/>
  <c r="B163" i="3"/>
  <c r="T162" i="3"/>
  <c r="P162" i="3"/>
  <c r="H162" i="3"/>
  <c r="D162" i="3"/>
  <c r="L162" i="3" s="1"/>
  <c r="N162" i="3" s="1"/>
  <c r="B162" i="3"/>
  <c r="X161" i="3"/>
  <c r="Z161" i="3" s="1"/>
  <c r="N161" i="3"/>
  <c r="L161" i="3"/>
  <c r="B161" i="3"/>
  <c r="X160" i="3"/>
  <c r="Z160" i="3" s="1"/>
  <c r="N160" i="3"/>
  <c r="L160" i="3"/>
  <c r="B160" i="3"/>
  <c r="T159" i="3"/>
  <c r="P159" i="3"/>
  <c r="X159" i="3" s="1"/>
  <c r="Z159" i="3" s="1"/>
  <c r="L159" i="3"/>
  <c r="H159" i="3"/>
  <c r="D159" i="3"/>
  <c r="B159" i="3"/>
  <c r="Z158" i="3"/>
  <c r="X158" i="3"/>
  <c r="N158" i="3"/>
  <c r="L158" i="3"/>
  <c r="B158" i="3"/>
  <c r="T157" i="3"/>
  <c r="X157" i="3" s="1"/>
  <c r="Z157" i="3" s="1"/>
  <c r="P157" i="3"/>
  <c r="N157" i="3"/>
  <c r="L157" i="3"/>
  <c r="H157" i="3"/>
  <c r="D157" i="3"/>
  <c r="B157" i="3"/>
  <c r="Z156" i="3"/>
  <c r="X156" i="3"/>
  <c r="N156" i="3"/>
  <c r="L156" i="3"/>
  <c r="B156" i="3"/>
  <c r="Z155" i="3"/>
  <c r="X155" i="3"/>
  <c r="N155" i="3"/>
  <c r="L155" i="3"/>
  <c r="B155" i="3"/>
  <c r="Z154" i="3"/>
  <c r="X154" i="3"/>
  <c r="V154" i="3"/>
  <c r="L154" i="3"/>
  <c r="N154" i="3" s="1"/>
  <c r="B154" i="3"/>
  <c r="Z153" i="3"/>
  <c r="X153" i="3"/>
  <c r="N153" i="3"/>
  <c r="L153" i="3"/>
  <c r="B153" i="3"/>
  <c r="Z152" i="3"/>
  <c r="X152" i="3"/>
  <c r="N152" i="3"/>
  <c r="L152" i="3"/>
  <c r="B152" i="3"/>
  <c r="Z151" i="3"/>
  <c r="X151" i="3"/>
  <c r="L151" i="3"/>
  <c r="N151" i="3" s="1"/>
  <c r="B151" i="3"/>
  <c r="Z150" i="3"/>
  <c r="X150" i="3"/>
  <c r="L150" i="3"/>
  <c r="N150" i="3" s="1"/>
  <c r="B150" i="3"/>
  <c r="Z149" i="3"/>
  <c r="X149" i="3"/>
  <c r="V149" i="3"/>
  <c r="N149" i="3"/>
  <c r="L149" i="3"/>
  <c r="B149" i="3"/>
  <c r="Z148" i="3"/>
  <c r="X148" i="3"/>
  <c r="L148" i="3"/>
  <c r="N148" i="3" s="1"/>
  <c r="B148" i="3"/>
  <c r="Z147" i="3"/>
  <c r="X147" i="3"/>
  <c r="L147" i="3"/>
  <c r="N147" i="3" s="1"/>
  <c r="B147" i="3"/>
  <c r="Z146" i="3"/>
  <c r="V146" i="3"/>
  <c r="T146" i="3"/>
  <c r="P146" i="3"/>
  <c r="X146" i="3" s="1"/>
  <c r="H146" i="3"/>
  <c r="D146" i="3"/>
  <c r="L146" i="3" s="1"/>
  <c r="N146" i="3" s="1"/>
  <c r="B146" i="3"/>
  <c r="X145" i="3"/>
  <c r="Z145" i="3" s="1"/>
  <c r="N145" i="3"/>
  <c r="L145" i="3"/>
  <c r="B145" i="3"/>
  <c r="X144" i="3"/>
  <c r="Z144" i="3" s="1"/>
  <c r="V144" i="3"/>
  <c r="L144" i="3"/>
  <c r="N144" i="3" s="1"/>
  <c r="B144" i="3"/>
  <c r="X143" i="3"/>
  <c r="Z143" i="3" s="1"/>
  <c r="L143" i="3"/>
  <c r="N143" i="3" s="1"/>
  <c r="B143" i="3"/>
  <c r="Z142" i="3"/>
  <c r="X142" i="3"/>
  <c r="N142" i="3"/>
  <c r="L142" i="3"/>
  <c r="B142" i="3"/>
  <c r="Z141" i="3"/>
  <c r="X141" i="3"/>
  <c r="N141" i="3"/>
  <c r="L141" i="3"/>
  <c r="B141" i="3"/>
  <c r="X140" i="3"/>
  <c r="Z140" i="3" s="1"/>
  <c r="V140" i="3"/>
  <c r="L140" i="3"/>
  <c r="N140" i="3" s="1"/>
  <c r="B140" i="3"/>
  <c r="X139" i="3"/>
  <c r="Z139" i="3" s="1"/>
  <c r="L139" i="3"/>
  <c r="N139" i="3" s="1"/>
  <c r="B139" i="3"/>
  <c r="X138" i="3"/>
  <c r="Z138" i="3" s="1"/>
  <c r="N138" i="3"/>
  <c r="L138" i="3"/>
  <c r="B138" i="3"/>
  <c r="X137" i="3"/>
  <c r="Z137" i="3" s="1"/>
  <c r="N137" i="3"/>
  <c r="L137" i="3"/>
  <c r="B137" i="3"/>
  <c r="X136" i="3"/>
  <c r="Z136" i="3" s="1"/>
  <c r="V136" i="3"/>
  <c r="L136" i="3"/>
  <c r="N136" i="3" s="1"/>
  <c r="B136" i="3"/>
  <c r="X135" i="3"/>
  <c r="T135" i="3"/>
  <c r="P135" i="3"/>
  <c r="L135" i="3"/>
  <c r="H135" i="3"/>
  <c r="N135" i="3" s="1"/>
  <c r="D135" i="3"/>
  <c r="B135" i="3"/>
  <c r="T134" i="3"/>
  <c r="P134" i="3"/>
  <c r="H134" i="3"/>
  <c r="L134" i="3" s="1"/>
  <c r="N134" i="3" s="1"/>
  <c r="D134" i="3"/>
  <c r="T132" i="3"/>
  <c r="Z130" i="3"/>
  <c r="X130" i="3"/>
  <c r="N130" i="3"/>
  <c r="L130" i="3"/>
  <c r="B130" i="3"/>
  <c r="Z129" i="3"/>
  <c r="X129" i="3"/>
  <c r="N129" i="3"/>
  <c r="L129" i="3"/>
  <c r="B129" i="3"/>
  <c r="Z128" i="3"/>
  <c r="X128" i="3"/>
  <c r="N128" i="3"/>
  <c r="L128" i="3"/>
  <c r="B128" i="3"/>
  <c r="Z127" i="3"/>
  <c r="X127" i="3"/>
  <c r="N127" i="3"/>
  <c r="L127" i="3"/>
  <c r="B127" i="3"/>
  <c r="Z126" i="3"/>
  <c r="X126" i="3"/>
  <c r="N126" i="3"/>
  <c r="L126" i="3"/>
  <c r="B126" i="3"/>
  <c r="Z125" i="3"/>
  <c r="X125" i="3"/>
  <c r="N125" i="3"/>
  <c r="L125" i="3"/>
  <c r="B125" i="3"/>
  <c r="Z124" i="3"/>
  <c r="X124" i="3"/>
  <c r="N124" i="3"/>
  <c r="L124" i="3"/>
  <c r="B124" i="3"/>
  <c r="Z123" i="3"/>
  <c r="X123" i="3"/>
  <c r="N123" i="3"/>
  <c r="L123" i="3"/>
  <c r="B123" i="3"/>
  <c r="Z122" i="3"/>
  <c r="X122" i="3"/>
  <c r="N122" i="3"/>
  <c r="L122" i="3"/>
  <c r="B122" i="3"/>
  <c r="Z121" i="3"/>
  <c r="X121" i="3"/>
  <c r="N121" i="3"/>
  <c r="L121" i="3"/>
  <c r="B121" i="3"/>
  <c r="Z120" i="3"/>
  <c r="X120" i="3"/>
  <c r="N120" i="3"/>
  <c r="L120" i="3"/>
  <c r="B120" i="3"/>
  <c r="Z119" i="3"/>
  <c r="X119" i="3"/>
  <c r="N119" i="3"/>
  <c r="L119" i="3"/>
  <c r="B119" i="3"/>
  <c r="Z118" i="3"/>
  <c r="X118" i="3"/>
  <c r="N118" i="3"/>
  <c r="L118" i="3"/>
  <c r="B118" i="3"/>
  <c r="Z117" i="3"/>
  <c r="X117" i="3"/>
  <c r="N117" i="3"/>
  <c r="L117" i="3"/>
  <c r="B117" i="3"/>
  <c r="Z116" i="3"/>
  <c r="X116" i="3"/>
  <c r="N116" i="3"/>
  <c r="L116" i="3"/>
  <c r="B116" i="3"/>
  <c r="Z115" i="3"/>
  <c r="X115" i="3"/>
  <c r="N115" i="3"/>
  <c r="L115" i="3"/>
  <c r="B115" i="3"/>
  <c r="Z114" i="3"/>
  <c r="X114" i="3"/>
  <c r="N114" i="3"/>
  <c r="L114" i="3"/>
  <c r="B114" i="3"/>
  <c r="Z113" i="3"/>
  <c r="X113" i="3"/>
  <c r="N113" i="3"/>
  <c r="L113" i="3"/>
  <c r="B113" i="3"/>
  <c r="Z112" i="3"/>
  <c r="X112" i="3"/>
  <c r="N112" i="3"/>
  <c r="L112" i="3"/>
  <c r="B112" i="3"/>
  <c r="Z111" i="3"/>
  <c r="X111" i="3"/>
  <c r="N111" i="3"/>
  <c r="L111" i="3"/>
  <c r="B111" i="3"/>
  <c r="Z110" i="3"/>
  <c r="X110" i="3"/>
  <c r="N110" i="3"/>
  <c r="L110" i="3"/>
  <c r="B110" i="3"/>
  <c r="Z109" i="3"/>
  <c r="X109" i="3"/>
  <c r="N109" i="3"/>
  <c r="L109" i="3"/>
  <c r="B109" i="3"/>
  <c r="Z108" i="3"/>
  <c r="X108" i="3"/>
  <c r="N108" i="3"/>
  <c r="L108" i="3"/>
  <c r="B108" i="3"/>
  <c r="Z107" i="3"/>
  <c r="X107" i="3"/>
  <c r="N107" i="3"/>
  <c r="L107" i="3"/>
  <c r="B107" i="3"/>
  <c r="Z106" i="3"/>
  <c r="X106" i="3"/>
  <c r="N106" i="3"/>
  <c r="L106" i="3"/>
  <c r="B106" i="3"/>
  <c r="Z105" i="3"/>
  <c r="X105" i="3"/>
  <c r="N105" i="3"/>
  <c r="L105" i="3"/>
  <c r="B105" i="3"/>
  <c r="Z104" i="3"/>
  <c r="X104" i="3"/>
  <c r="N104" i="3"/>
  <c r="L104" i="3"/>
  <c r="B104" i="3"/>
  <c r="Z103" i="3"/>
  <c r="X103" i="3"/>
  <c r="N103" i="3"/>
  <c r="L103" i="3"/>
  <c r="B103" i="3"/>
  <c r="Z102" i="3"/>
  <c r="X102" i="3"/>
  <c r="N102" i="3"/>
  <c r="L102" i="3"/>
  <c r="B102" i="3"/>
  <c r="Z101" i="3"/>
  <c r="X101" i="3"/>
  <c r="N101" i="3"/>
  <c r="L101" i="3"/>
  <c r="B101" i="3"/>
  <c r="Z100" i="3"/>
  <c r="X100" i="3"/>
  <c r="N100" i="3"/>
  <c r="L100" i="3"/>
  <c r="B100" i="3"/>
  <c r="Z99" i="3"/>
  <c r="X99" i="3"/>
  <c r="N99" i="3"/>
  <c r="L99" i="3"/>
  <c r="B99" i="3"/>
  <c r="Z98" i="3"/>
  <c r="X98" i="3"/>
  <c r="N98" i="3"/>
  <c r="L98" i="3"/>
  <c r="B98" i="3"/>
  <c r="Z97" i="3"/>
  <c r="X97" i="3"/>
  <c r="N97" i="3"/>
  <c r="L97" i="3"/>
  <c r="B97" i="3"/>
  <c r="Z96" i="3"/>
  <c r="X96" i="3"/>
  <c r="N96" i="3"/>
  <c r="L96" i="3"/>
  <c r="B96" i="3"/>
  <c r="Z95" i="3"/>
  <c r="X95" i="3"/>
  <c r="N95" i="3"/>
  <c r="L95" i="3"/>
  <c r="B95" i="3"/>
  <c r="T94" i="3"/>
  <c r="P94" i="3"/>
  <c r="H94" i="3"/>
  <c r="D94" i="3"/>
  <c r="L94" i="3" s="1"/>
  <c r="Z92" i="3"/>
  <c r="P92" i="3"/>
  <c r="X92" i="3" s="1"/>
  <c r="N92" i="3"/>
  <c r="D92" i="3"/>
  <c r="L92" i="3" s="1"/>
  <c r="B92" i="3"/>
  <c r="Z91" i="3"/>
  <c r="P91" i="3"/>
  <c r="X91" i="3" s="1"/>
  <c r="N91" i="3"/>
  <c r="L91" i="3"/>
  <c r="D91" i="3"/>
  <c r="B91" i="3"/>
  <c r="Z90" i="3"/>
  <c r="P90" i="3"/>
  <c r="X90" i="3" s="1"/>
  <c r="N90" i="3"/>
  <c r="L90" i="3"/>
  <c r="D90" i="3"/>
  <c r="B90" i="3"/>
  <c r="Z89" i="3"/>
  <c r="P89" i="3"/>
  <c r="X89" i="3" s="1"/>
  <c r="N89" i="3"/>
  <c r="L89" i="3"/>
  <c r="D89" i="3"/>
  <c r="B89" i="3"/>
  <c r="Z88" i="3"/>
  <c r="P88" i="3"/>
  <c r="X88" i="3" s="1"/>
  <c r="N88" i="3"/>
  <c r="D88" i="3"/>
  <c r="L88" i="3" s="1"/>
  <c r="B88" i="3"/>
  <c r="Z87" i="3"/>
  <c r="X87" i="3"/>
  <c r="P87" i="3"/>
  <c r="N87" i="3"/>
  <c r="D87" i="3"/>
  <c r="L87" i="3" s="1"/>
  <c r="B87" i="3"/>
  <c r="Z86" i="3"/>
  <c r="X86" i="3"/>
  <c r="P86" i="3"/>
  <c r="N86" i="3"/>
  <c r="L86" i="3"/>
  <c r="D86" i="3"/>
  <c r="B86" i="3"/>
  <c r="Z85" i="3"/>
  <c r="P85" i="3"/>
  <c r="X85" i="3" s="1"/>
  <c r="N85" i="3"/>
  <c r="D85" i="3"/>
  <c r="L85" i="3" s="1"/>
  <c r="B85" i="3"/>
  <c r="Z84" i="3"/>
  <c r="P84" i="3"/>
  <c r="X84" i="3" s="1"/>
  <c r="N84" i="3"/>
  <c r="L84" i="3"/>
  <c r="D84" i="3"/>
  <c r="B84" i="3"/>
  <c r="Z83" i="3"/>
  <c r="P83" i="3"/>
  <c r="X83" i="3" s="1"/>
  <c r="N83" i="3"/>
  <c r="L83" i="3"/>
  <c r="D83" i="3"/>
  <c r="B83" i="3"/>
  <c r="Z82" i="3"/>
  <c r="X82" i="3"/>
  <c r="P82" i="3"/>
  <c r="N82" i="3"/>
  <c r="D82" i="3"/>
  <c r="L82" i="3" s="1"/>
  <c r="B82" i="3"/>
  <c r="Z81" i="3"/>
  <c r="P81" i="3"/>
  <c r="X81" i="3" s="1"/>
  <c r="N81" i="3"/>
  <c r="L81" i="3"/>
  <c r="D81" i="3"/>
  <c r="B81" i="3"/>
  <c r="Z80" i="3"/>
  <c r="P80" i="3"/>
  <c r="X80" i="3" s="1"/>
  <c r="N80" i="3"/>
  <c r="D80" i="3"/>
  <c r="L80" i="3" s="1"/>
  <c r="B80" i="3"/>
  <c r="Z79" i="3"/>
  <c r="P79" i="3"/>
  <c r="X79" i="3" s="1"/>
  <c r="N79" i="3"/>
  <c r="L79" i="3"/>
  <c r="D79" i="3"/>
  <c r="B79" i="3"/>
  <c r="Z78" i="3"/>
  <c r="P78" i="3"/>
  <c r="X78" i="3" s="1"/>
  <c r="N78" i="3"/>
  <c r="L78" i="3"/>
  <c r="D78" i="3"/>
  <c r="B78" i="3"/>
  <c r="Z77" i="3"/>
  <c r="P77" i="3"/>
  <c r="X77" i="3" s="1"/>
  <c r="N77" i="3"/>
  <c r="L77" i="3"/>
  <c r="D77" i="3"/>
  <c r="B77" i="3"/>
  <c r="Z76" i="3"/>
  <c r="P76" i="3"/>
  <c r="X76" i="3" s="1"/>
  <c r="N76" i="3"/>
  <c r="D76" i="3"/>
  <c r="L76" i="3" s="1"/>
  <c r="B76" i="3"/>
  <c r="Z75" i="3"/>
  <c r="X75" i="3"/>
  <c r="P75" i="3"/>
  <c r="N75" i="3"/>
  <c r="L75" i="3"/>
  <c r="D75" i="3"/>
  <c r="B75" i="3"/>
  <c r="Z74" i="3"/>
  <c r="X74" i="3"/>
  <c r="P74" i="3"/>
  <c r="N74" i="3"/>
  <c r="L74" i="3"/>
  <c r="D74" i="3"/>
  <c r="B74" i="3"/>
  <c r="Z73" i="3"/>
  <c r="P73" i="3"/>
  <c r="X73" i="3" s="1"/>
  <c r="N73" i="3"/>
  <c r="D73" i="3"/>
  <c r="L73" i="3" s="1"/>
  <c r="B73" i="3"/>
  <c r="Z72" i="3"/>
  <c r="P72" i="3"/>
  <c r="X72" i="3" s="1"/>
  <c r="N72" i="3"/>
  <c r="L72" i="3"/>
  <c r="D72" i="3"/>
  <c r="B72" i="3"/>
  <c r="Z71" i="3"/>
  <c r="X71" i="3"/>
  <c r="P71" i="3"/>
  <c r="N71" i="3"/>
  <c r="L71" i="3"/>
  <c r="D71" i="3"/>
  <c r="B71" i="3"/>
  <c r="Z70" i="3"/>
  <c r="X70" i="3"/>
  <c r="P70" i="3"/>
  <c r="N70" i="3"/>
  <c r="D70" i="3"/>
  <c r="L70" i="3" s="1"/>
  <c r="B70" i="3"/>
  <c r="Z69" i="3"/>
  <c r="P69" i="3"/>
  <c r="X69" i="3" s="1"/>
  <c r="N69" i="3"/>
  <c r="L69" i="3"/>
  <c r="D69" i="3"/>
  <c r="B69" i="3"/>
  <c r="Z68" i="3"/>
  <c r="P68" i="3"/>
  <c r="X68" i="3" s="1"/>
  <c r="N68" i="3"/>
  <c r="D68" i="3"/>
  <c r="L68" i="3" s="1"/>
  <c r="B68" i="3"/>
  <c r="Z67" i="3"/>
  <c r="P67" i="3"/>
  <c r="X67" i="3" s="1"/>
  <c r="N67" i="3"/>
  <c r="L67" i="3"/>
  <c r="D67" i="3"/>
  <c r="B67" i="3"/>
  <c r="Z66" i="3"/>
  <c r="P66" i="3"/>
  <c r="X66" i="3" s="1"/>
  <c r="N66" i="3"/>
  <c r="L66" i="3"/>
  <c r="D66" i="3"/>
  <c r="B66" i="3"/>
  <c r="Z65" i="3"/>
  <c r="P65" i="3"/>
  <c r="X65" i="3" s="1"/>
  <c r="N65" i="3"/>
  <c r="L65" i="3"/>
  <c r="D65" i="3"/>
  <c r="B65" i="3"/>
  <c r="Z64" i="3"/>
  <c r="P64" i="3"/>
  <c r="X64" i="3" s="1"/>
  <c r="N64" i="3"/>
  <c r="D64" i="3"/>
  <c r="L64" i="3" s="1"/>
  <c r="B64" i="3"/>
  <c r="Z63" i="3"/>
  <c r="P63" i="3"/>
  <c r="X63" i="3" s="1"/>
  <c r="N63" i="3"/>
  <c r="D63" i="3"/>
  <c r="L63" i="3" s="1"/>
  <c r="B63" i="3"/>
  <c r="Z62" i="3"/>
  <c r="X62" i="3"/>
  <c r="P62" i="3"/>
  <c r="N62" i="3"/>
  <c r="D62" i="3"/>
  <c r="L62" i="3" s="1"/>
  <c r="B62" i="3"/>
  <c r="Z61" i="3"/>
  <c r="X61" i="3"/>
  <c r="P61" i="3"/>
  <c r="N61" i="3"/>
  <c r="D61" i="3"/>
  <c r="L61" i="3" s="1"/>
  <c r="B61" i="3"/>
  <c r="Z60" i="3"/>
  <c r="X60" i="3"/>
  <c r="P60" i="3"/>
  <c r="N60" i="3"/>
  <c r="D60" i="3"/>
  <c r="L60" i="3" s="1"/>
  <c r="B60" i="3"/>
  <c r="Z59" i="3"/>
  <c r="X59" i="3"/>
  <c r="P59" i="3"/>
  <c r="N59" i="3"/>
  <c r="L59" i="3"/>
  <c r="D59" i="3"/>
  <c r="B59" i="3"/>
  <c r="Z58" i="3"/>
  <c r="X58" i="3"/>
  <c r="P58" i="3"/>
  <c r="N58" i="3"/>
  <c r="L58" i="3"/>
  <c r="D58" i="3"/>
  <c r="B58" i="3"/>
  <c r="Z57" i="3"/>
  <c r="X57" i="3"/>
  <c r="P57" i="3"/>
  <c r="N57" i="3"/>
  <c r="L57" i="3"/>
  <c r="D57" i="3"/>
  <c r="B57" i="3"/>
  <c r="Z56" i="3"/>
  <c r="P56" i="3"/>
  <c r="X56" i="3" s="1"/>
  <c r="N56" i="3"/>
  <c r="L56" i="3"/>
  <c r="D56" i="3"/>
  <c r="B56" i="3"/>
  <c r="Z55" i="3"/>
  <c r="P55" i="3"/>
  <c r="X55" i="3" s="1"/>
  <c r="N55" i="3"/>
  <c r="L55" i="3"/>
  <c r="D55" i="3"/>
  <c r="B55" i="3"/>
  <c r="Z54" i="3"/>
  <c r="P54" i="3"/>
  <c r="X54" i="3" s="1"/>
  <c r="N54" i="3"/>
  <c r="L54" i="3"/>
  <c r="D54" i="3"/>
  <c r="B54" i="3"/>
  <c r="Z53" i="3"/>
  <c r="P53" i="3"/>
  <c r="X53" i="3" s="1"/>
  <c r="N53" i="3"/>
  <c r="D53" i="3"/>
  <c r="L53" i="3" s="1"/>
  <c r="B53" i="3"/>
  <c r="Z52" i="3"/>
  <c r="P52" i="3"/>
  <c r="X52" i="3" s="1"/>
  <c r="N52" i="3"/>
  <c r="D52" i="3"/>
  <c r="L52" i="3" s="1"/>
  <c r="B52" i="3"/>
  <c r="Z51" i="3"/>
  <c r="P51" i="3"/>
  <c r="X51" i="3" s="1"/>
  <c r="N51" i="3"/>
  <c r="D51" i="3"/>
  <c r="L51" i="3" s="1"/>
  <c r="B51" i="3"/>
  <c r="Z50" i="3"/>
  <c r="X50" i="3"/>
  <c r="P50" i="3"/>
  <c r="N50" i="3"/>
  <c r="D50" i="3"/>
  <c r="L50" i="3" s="1"/>
  <c r="B50" i="3"/>
  <c r="Z49" i="3"/>
  <c r="X49" i="3"/>
  <c r="P49" i="3"/>
  <c r="N49" i="3"/>
  <c r="D49" i="3"/>
  <c r="L49" i="3" s="1"/>
  <c r="B49" i="3"/>
  <c r="Z48" i="3"/>
  <c r="X48" i="3"/>
  <c r="P48" i="3"/>
  <c r="N48" i="3"/>
  <c r="D48" i="3"/>
  <c r="L48" i="3" s="1"/>
  <c r="B48" i="3"/>
  <c r="Z47" i="3"/>
  <c r="X47" i="3"/>
  <c r="P47" i="3"/>
  <c r="N47" i="3"/>
  <c r="L47" i="3"/>
  <c r="D47" i="3"/>
  <c r="B47" i="3"/>
  <c r="Z46" i="3"/>
  <c r="X46" i="3"/>
  <c r="P46" i="3"/>
  <c r="N46" i="3"/>
  <c r="L46" i="3"/>
  <c r="D46" i="3"/>
  <c r="B46" i="3"/>
  <c r="Z45" i="3"/>
  <c r="X45" i="3"/>
  <c r="P45" i="3"/>
  <c r="N45" i="3"/>
  <c r="L45" i="3"/>
  <c r="D45" i="3"/>
  <c r="B45" i="3"/>
  <c r="Z44" i="3"/>
  <c r="P44" i="3"/>
  <c r="X44" i="3" s="1"/>
  <c r="N44" i="3"/>
  <c r="L44" i="3"/>
  <c r="D44" i="3"/>
  <c r="B44" i="3"/>
  <c r="Z43" i="3"/>
  <c r="P43" i="3"/>
  <c r="X43" i="3" s="1"/>
  <c r="N43" i="3"/>
  <c r="L43" i="3"/>
  <c r="D43" i="3"/>
  <c r="B43" i="3"/>
  <c r="Z42" i="3"/>
  <c r="P42" i="3"/>
  <c r="X42" i="3" s="1"/>
  <c r="N42" i="3"/>
  <c r="L42" i="3"/>
  <c r="D42" i="3"/>
  <c r="B42" i="3"/>
  <c r="P41" i="3"/>
  <c r="X41" i="3" s="1"/>
  <c r="Z41" i="3" s="1"/>
  <c r="D41" i="3"/>
  <c r="L41" i="3" s="1"/>
  <c r="N41" i="3" s="1"/>
  <c r="B41" i="3"/>
  <c r="Z40" i="3"/>
  <c r="P40" i="3"/>
  <c r="X40" i="3" s="1"/>
  <c r="N40" i="3"/>
  <c r="D40" i="3"/>
  <c r="L40" i="3" s="1"/>
  <c r="B40" i="3"/>
  <c r="Z39" i="3"/>
  <c r="P39" i="3"/>
  <c r="X39" i="3" s="1"/>
  <c r="N39" i="3"/>
  <c r="D39" i="3"/>
  <c r="L39" i="3" s="1"/>
  <c r="B39" i="3"/>
  <c r="Z38" i="3"/>
  <c r="X38" i="3"/>
  <c r="P38" i="3"/>
  <c r="N38" i="3"/>
  <c r="D38" i="3"/>
  <c r="L38" i="3" s="1"/>
  <c r="B38" i="3"/>
  <c r="Z37" i="3"/>
  <c r="X37" i="3"/>
  <c r="P37" i="3"/>
  <c r="N37" i="3"/>
  <c r="D37" i="3"/>
  <c r="L37" i="3" s="1"/>
  <c r="B37" i="3"/>
  <c r="Z36" i="3"/>
  <c r="X36" i="3"/>
  <c r="P36" i="3"/>
  <c r="N36" i="3"/>
  <c r="D36" i="3"/>
  <c r="L36" i="3" s="1"/>
  <c r="B36" i="3"/>
  <c r="Z35" i="3"/>
  <c r="X35" i="3"/>
  <c r="P35" i="3"/>
  <c r="N35" i="3"/>
  <c r="L35" i="3"/>
  <c r="D35" i="3"/>
  <c r="B35" i="3"/>
  <c r="Z34" i="3"/>
  <c r="X34" i="3"/>
  <c r="P34" i="3"/>
  <c r="N34" i="3"/>
  <c r="L34" i="3"/>
  <c r="D34" i="3"/>
  <c r="B34" i="3"/>
  <c r="Z33" i="3"/>
  <c r="X33" i="3"/>
  <c r="P33" i="3"/>
  <c r="N33" i="3"/>
  <c r="L33" i="3"/>
  <c r="D33" i="3"/>
  <c r="B33" i="3"/>
  <c r="Z32" i="3"/>
  <c r="P32" i="3"/>
  <c r="X32" i="3" s="1"/>
  <c r="N32" i="3"/>
  <c r="L32" i="3"/>
  <c r="D32" i="3"/>
  <c r="B32" i="3"/>
  <c r="Z31" i="3"/>
  <c r="P31" i="3"/>
  <c r="X31" i="3" s="1"/>
  <c r="N31" i="3"/>
  <c r="L31" i="3"/>
  <c r="D31" i="3"/>
  <c r="B31" i="3"/>
  <c r="Z30" i="3"/>
  <c r="P30" i="3"/>
  <c r="X30" i="3" s="1"/>
  <c r="N30" i="3"/>
  <c r="L30" i="3"/>
  <c r="D30" i="3"/>
  <c r="B30" i="3"/>
  <c r="Z29" i="3"/>
  <c r="P29" i="3"/>
  <c r="X29" i="3" s="1"/>
  <c r="N29" i="3"/>
  <c r="D29" i="3"/>
  <c r="L29" i="3" s="1"/>
  <c r="B29" i="3"/>
  <c r="Z28" i="3"/>
  <c r="P28" i="3"/>
  <c r="X28" i="3" s="1"/>
  <c r="N28" i="3"/>
  <c r="D28" i="3"/>
  <c r="L28" i="3" s="1"/>
  <c r="B28" i="3"/>
  <c r="Z27" i="3"/>
  <c r="P27" i="3"/>
  <c r="X27" i="3" s="1"/>
  <c r="N27" i="3"/>
  <c r="D27" i="3"/>
  <c r="L27" i="3" s="1"/>
  <c r="B27" i="3"/>
  <c r="Z26" i="3"/>
  <c r="X26" i="3"/>
  <c r="P26" i="3"/>
  <c r="N26" i="3"/>
  <c r="D26" i="3"/>
  <c r="L26" i="3" s="1"/>
  <c r="B26" i="3"/>
  <c r="Z25" i="3"/>
  <c r="X25" i="3"/>
  <c r="P25" i="3"/>
  <c r="N25" i="3"/>
  <c r="D25" i="3"/>
  <c r="L25" i="3" s="1"/>
  <c r="B25" i="3"/>
  <c r="Z24" i="3"/>
  <c r="X24" i="3"/>
  <c r="P24" i="3"/>
  <c r="N24" i="3"/>
  <c r="D24" i="3"/>
  <c r="L24" i="3" s="1"/>
  <c r="B24" i="3"/>
  <c r="Z23" i="3"/>
  <c r="X23" i="3"/>
  <c r="P23" i="3"/>
  <c r="N23" i="3"/>
  <c r="L23" i="3"/>
  <c r="D23" i="3"/>
  <c r="B23" i="3"/>
  <c r="Z22" i="3"/>
  <c r="X22" i="3"/>
  <c r="P22" i="3"/>
  <c r="N22" i="3"/>
  <c r="L22" i="3"/>
  <c r="D22" i="3"/>
  <c r="B22" i="3"/>
  <c r="Z21" i="3"/>
  <c r="X21" i="3"/>
  <c r="P21" i="3"/>
  <c r="N21" i="3"/>
  <c r="L21" i="3"/>
  <c r="D21" i="3"/>
  <c r="B21" i="3"/>
  <c r="Z20" i="3"/>
  <c r="P20" i="3"/>
  <c r="X20" i="3" s="1"/>
  <c r="N20" i="3"/>
  <c r="L20" i="3"/>
  <c r="D20" i="3"/>
  <c r="B20" i="3"/>
  <c r="Z19" i="3"/>
  <c r="P19" i="3"/>
  <c r="X19" i="3" s="1"/>
  <c r="N19" i="3"/>
  <c r="L19" i="3"/>
  <c r="D19" i="3"/>
  <c r="B19" i="3"/>
  <c r="Z18" i="3"/>
  <c r="P18" i="3"/>
  <c r="X18" i="3" s="1"/>
  <c r="N18" i="3"/>
  <c r="L18" i="3"/>
  <c r="D18" i="3"/>
  <c r="B18" i="3"/>
  <c r="Z17" i="3"/>
  <c r="P17" i="3"/>
  <c r="X17" i="3" s="1"/>
  <c r="N17" i="3"/>
  <c r="D17" i="3"/>
  <c r="L17" i="3" s="1"/>
  <c r="B17" i="3"/>
  <c r="Z16" i="3"/>
  <c r="P16" i="3"/>
  <c r="X16" i="3" s="1"/>
  <c r="N16" i="3"/>
  <c r="D16" i="3"/>
  <c r="L16" i="3" s="1"/>
  <c r="B16" i="3"/>
  <c r="Z15" i="3"/>
  <c r="P15" i="3"/>
  <c r="P12" i="3" s="1"/>
  <c r="N15" i="3"/>
  <c r="D15" i="3"/>
  <c r="L15" i="3" s="1"/>
  <c r="B15" i="3"/>
  <c r="Z14" i="3"/>
  <c r="X14" i="3"/>
  <c r="P14" i="3"/>
  <c r="N14" i="3"/>
  <c r="D14" i="3"/>
  <c r="L14" i="3" s="1"/>
  <c r="B14" i="3"/>
  <c r="X13" i="3"/>
  <c r="Z13" i="3" s="1"/>
  <c r="P13" i="3"/>
  <c r="D13" i="3"/>
  <c r="L13" i="3" s="1"/>
  <c r="N13" i="3" s="1"/>
  <c r="B13" i="3"/>
  <c r="T12" i="3"/>
  <c r="V197" i="3" s="1"/>
  <c r="H12" i="3"/>
  <c r="J217" i="3" s="1"/>
  <c r="D4" i="3"/>
  <c r="B39" i="112"/>
  <c r="T13" i="110"/>
  <c r="H25" i="111"/>
  <c r="B13" i="112"/>
  <c r="B38" i="111"/>
  <c r="P15" i="110"/>
  <c r="H24" i="110"/>
  <c r="D21" i="111"/>
  <c r="P12" i="112"/>
  <c r="P29" i="112"/>
  <c r="H15" i="110"/>
  <c r="P20" i="112"/>
  <c r="T29" i="110"/>
  <c r="T25" i="110"/>
  <c r="P34" i="111"/>
  <c r="H20" i="52"/>
  <c r="B16" i="53"/>
  <c r="P29" i="52"/>
  <c r="H33" i="53"/>
  <c r="H29" i="52"/>
  <c r="T34" i="49"/>
  <c r="D5" i="47"/>
  <c r="T24" i="49"/>
  <c r="P15" i="46"/>
  <c r="T13" i="50"/>
  <c r="D34" i="53"/>
  <c r="T20" i="49"/>
  <c r="D29" i="46"/>
  <c r="D12" i="50"/>
  <c r="P15" i="50"/>
  <c r="D29" i="52"/>
  <c r="D25" i="50"/>
  <c r="T33" i="46"/>
  <c r="H20" i="50"/>
  <c r="P29" i="47"/>
  <c r="B13" i="49"/>
  <c r="D16" i="50"/>
  <c r="H16" i="43"/>
  <c r="B22" i="43"/>
  <c r="T33" i="44"/>
  <c r="T25" i="41"/>
  <c r="T24" i="44"/>
  <c r="T25" i="50"/>
  <c r="T21" i="44"/>
  <c r="T16" i="44"/>
  <c r="P21" i="44"/>
  <c r="D20" i="49"/>
  <c r="H12" i="43"/>
  <c r="D25" i="44"/>
  <c r="D25" i="41"/>
  <c r="P13" i="41"/>
  <c r="H24" i="50"/>
  <c r="T25" i="38"/>
  <c r="P25" i="41"/>
  <c r="P12" i="38"/>
  <c r="D29" i="43"/>
  <c r="P15" i="44"/>
  <c r="D13" i="40"/>
  <c r="B13" i="40"/>
  <c r="P16" i="38"/>
  <c r="B21" i="40"/>
  <c r="H13" i="44"/>
  <c r="D15" i="40"/>
  <c r="D5" i="37"/>
  <c r="B39" i="35"/>
  <c r="D5" i="44"/>
  <c r="D29" i="35"/>
  <c r="D16" i="41"/>
  <c r="B25" i="35"/>
  <c r="D13" i="34"/>
  <c r="B25" i="34"/>
  <c r="D20" i="35"/>
  <c r="B25" i="44"/>
  <c r="B38" i="38"/>
  <c r="T22" i="34"/>
  <c r="T15" i="34"/>
  <c r="P34" i="32"/>
  <c r="P24" i="32"/>
  <c r="P33" i="37"/>
  <c r="T16" i="31"/>
  <c r="D12" i="32"/>
  <c r="H25" i="32"/>
  <c r="P29" i="40"/>
  <c r="H24" i="31"/>
  <c r="D22" i="32"/>
  <c r="T13" i="38"/>
  <c r="B22" i="29"/>
  <c r="T25" i="29"/>
  <c r="T15" i="25"/>
  <c r="T15" i="28"/>
  <c r="T12" i="34"/>
  <c r="H24" i="26"/>
  <c r="D15" i="31"/>
  <c r="D5" i="28"/>
  <c r="D4" i="25"/>
  <c r="H13" i="28"/>
  <c r="D25" i="25"/>
  <c r="D29" i="28"/>
  <c r="B25" i="28"/>
  <c r="P12" i="29"/>
  <c r="D20" i="25"/>
  <c r="H16" i="29"/>
  <c r="T29" i="25"/>
  <c r="P20" i="23"/>
  <c r="H34" i="19"/>
  <c r="H33" i="23"/>
  <c r="D25" i="20"/>
  <c r="P21" i="26"/>
  <c r="H25" i="22"/>
  <c r="D29" i="19"/>
  <c r="B38" i="23"/>
  <c r="B22" i="20"/>
  <c r="H24" i="112"/>
  <c r="B38" i="112"/>
  <c r="P15" i="111"/>
  <c r="B39" i="111"/>
  <c r="D34" i="111"/>
  <c r="D6" i="110"/>
  <c r="H22" i="110"/>
  <c r="H15" i="111"/>
  <c r="B21" i="111"/>
  <c r="P25" i="112"/>
  <c r="P24" i="112"/>
  <c r="P16" i="112"/>
  <c r="H25" i="112"/>
  <c r="H33" i="112"/>
  <c r="T12" i="110"/>
  <c r="H16" i="52"/>
  <c r="D15" i="53"/>
  <c r="P25" i="52"/>
  <c r="H29" i="53"/>
  <c r="H25" i="52"/>
  <c r="T33" i="49"/>
  <c r="P20" i="46"/>
  <c r="T22" i="49"/>
  <c r="D5" i="46"/>
  <c r="P34" i="49"/>
  <c r="D29" i="53"/>
  <c r="T16" i="49"/>
  <c r="D25" i="46"/>
  <c r="P21" i="49"/>
  <c r="D5" i="50"/>
  <c r="T24" i="52"/>
  <c r="H21" i="50"/>
  <c r="T29" i="46"/>
  <c r="H16" i="50"/>
  <c r="P25" i="47"/>
  <c r="P24" i="47"/>
  <c r="B22" i="49"/>
  <c r="B13" i="43"/>
  <c r="D21" i="43"/>
  <c r="T29" i="44"/>
  <c r="B16" i="41"/>
  <c r="T22" i="44"/>
  <c r="D15" i="50"/>
  <c r="T24" i="43"/>
  <c r="T13" i="44"/>
  <c r="T15" i="44"/>
  <c r="H15" i="47"/>
  <c r="D4" i="52"/>
  <c r="H21" i="44"/>
  <c r="H21" i="41"/>
  <c r="D12" i="41"/>
  <c r="D5" i="49"/>
  <c r="B16" i="38"/>
  <c r="D20" i="41"/>
  <c r="T34" i="37"/>
  <c r="H22" i="41"/>
  <c r="H34" i="41"/>
  <c r="D4" i="50"/>
  <c r="T33" i="47"/>
  <c r="D12" i="38"/>
  <c r="D20" i="40"/>
  <c r="H33" i="43"/>
  <c r="T12" i="40"/>
  <c r="H13" i="46"/>
  <c r="H24" i="35"/>
  <c r="P12" i="43"/>
  <c r="D25" i="35"/>
  <c r="P34" i="40"/>
  <c r="D24" i="35"/>
  <c r="D33" i="43"/>
  <c r="D24" i="34"/>
  <c r="D16" i="35"/>
  <c r="D25" i="43"/>
  <c r="D34" i="38"/>
  <c r="P12" i="34"/>
  <c r="P13" i="34"/>
  <c r="P33" i="32"/>
  <c r="P22" i="32"/>
  <c r="T34" i="35"/>
  <c r="T13" i="31"/>
  <c r="P21" i="31"/>
  <c r="P15" i="32"/>
  <c r="H34" i="35"/>
  <c r="H22" i="31"/>
  <c r="H20" i="32"/>
  <c r="P25" i="37"/>
  <c r="D21" i="29"/>
  <c r="H20" i="29"/>
  <c r="P13" i="25"/>
  <c r="P13" i="28"/>
  <c r="T25" i="32"/>
  <c r="H22" i="26"/>
  <c r="H34" i="29"/>
  <c r="B38" i="26"/>
  <c r="H33" i="35"/>
  <c r="D4" i="28"/>
  <c r="H21" i="25"/>
  <c r="D25" i="28"/>
  <c r="D24" i="28"/>
  <c r="B22" i="28"/>
  <c r="D16" i="25"/>
  <c r="D15" i="29"/>
  <c r="T25" i="25"/>
  <c r="P16" i="23"/>
  <c r="H33" i="19"/>
  <c r="H29" i="23"/>
  <c r="H21" i="20"/>
  <c r="T13" i="26"/>
  <c r="P15" i="22"/>
  <c r="D25" i="19"/>
  <c r="D34" i="23"/>
  <c r="D21" i="20"/>
  <c r="P22" i="29"/>
  <c r="H22" i="112"/>
  <c r="D34" i="112"/>
  <c r="D6" i="111"/>
  <c r="H24" i="111"/>
  <c r="D33" i="111"/>
  <c r="B21" i="112"/>
  <c r="H13" i="110"/>
  <c r="B38" i="110"/>
  <c r="D20" i="111"/>
  <c r="T21" i="112"/>
  <c r="P22" i="112"/>
  <c r="D12" i="112"/>
  <c r="P13" i="111"/>
  <c r="P25" i="110"/>
  <c r="H29" i="112"/>
  <c r="B21" i="53"/>
  <c r="T12" i="53"/>
  <c r="T21" i="52"/>
  <c r="H25" i="53"/>
  <c r="P15" i="52"/>
  <c r="T29" i="49"/>
  <c r="P16" i="46"/>
  <c r="P12" i="49"/>
  <c r="P34" i="53"/>
  <c r="P33" i="49"/>
  <c r="H12" i="53"/>
  <c r="T13" i="49"/>
  <c r="H21" i="46"/>
  <c r="T15" i="49"/>
  <c r="P20" i="49"/>
  <c r="T12" i="52"/>
  <c r="D13" i="50"/>
  <c r="T25" i="46"/>
  <c r="B13" i="50"/>
  <c r="T21" i="47"/>
  <c r="P22" i="47"/>
  <c r="T25" i="47"/>
  <c r="D25" i="53"/>
  <c r="H15" i="43"/>
  <c r="T25" i="44"/>
  <c r="D15" i="41"/>
  <c r="P12" i="44"/>
  <c r="B21" i="49"/>
  <c r="T22" i="43"/>
  <c r="P34" i="43"/>
  <c r="P13" i="44"/>
  <c r="P22" i="46"/>
  <c r="T29" i="50"/>
  <c r="D13" i="44"/>
  <c r="D13" i="41"/>
  <c r="P21" i="40"/>
  <c r="H29" i="44"/>
  <c r="D15" i="38"/>
  <c r="T15" i="41"/>
  <c r="T33" i="37"/>
  <c r="D21" i="41"/>
  <c r="D22" i="41"/>
  <c r="H34" i="43"/>
  <c r="D20" i="46"/>
  <c r="P21" i="37"/>
  <c r="D16" i="40"/>
  <c r="H25" i="43"/>
  <c r="B39" i="38"/>
  <c r="B13" i="44"/>
  <c r="H22" i="35"/>
  <c r="T22" i="41"/>
  <c r="H21" i="35"/>
  <c r="T21" i="40"/>
  <c r="D22" i="35"/>
  <c r="P22" i="41"/>
  <c r="D22" i="34"/>
  <c r="B22" i="34"/>
  <c r="T13" i="41"/>
  <c r="H21" i="38"/>
  <c r="D16" i="46"/>
  <c r="H12" i="34"/>
  <c r="P29" i="32"/>
  <c r="T20" i="32"/>
  <c r="T22" i="35"/>
  <c r="P21" i="29"/>
  <c r="T15" i="31"/>
  <c r="D5" i="32"/>
  <c r="P15" i="35"/>
  <c r="H13" i="31"/>
  <c r="H16" i="32"/>
  <c r="T16" i="34"/>
  <c r="H15" i="29"/>
  <c r="D4" i="29"/>
  <c r="H12" i="25"/>
  <c r="H12" i="28"/>
  <c r="T12" i="32"/>
  <c r="H13" i="26"/>
  <c r="D33" i="29"/>
  <c r="D34" i="26"/>
  <c r="T16" i="35"/>
  <c r="B25" i="26"/>
  <c r="D13" i="25"/>
  <c r="H21" i="28"/>
  <c r="D22" i="28"/>
  <c r="D21" i="28"/>
  <c r="B38" i="37"/>
  <c r="H34" i="28"/>
  <c r="B16" i="25"/>
  <c r="D12" i="23"/>
  <c r="H29" i="19"/>
  <c r="H25" i="23"/>
  <c r="D13" i="20"/>
  <c r="H16" i="25"/>
  <c r="D5" i="22"/>
  <c r="H21" i="19"/>
  <c r="D33" i="23"/>
  <c r="H15" i="20"/>
  <c r="P25" i="28"/>
  <c r="H13" i="112"/>
  <c r="D33" i="112"/>
  <c r="P21" i="110"/>
  <c r="H22" i="111"/>
  <c r="D29" i="111"/>
  <c r="D20" i="112"/>
  <c r="D5" i="110"/>
  <c r="D34" i="110"/>
  <c r="D16" i="111"/>
  <c r="T34" i="111"/>
  <c r="T20" i="112"/>
  <c r="P24" i="111"/>
  <c r="P29" i="110"/>
  <c r="P21" i="112"/>
  <c r="T21" i="110"/>
  <c r="D20" i="53"/>
  <c r="B21" i="52"/>
  <c r="P21" i="53"/>
  <c r="P15" i="53"/>
  <c r="D5" i="52"/>
  <c r="T25" i="49"/>
  <c r="D12" i="46"/>
  <c r="B39" i="47"/>
  <c r="P29" i="53"/>
  <c r="P29" i="49"/>
  <c r="D34" i="52"/>
  <c r="B25" i="47"/>
  <c r="D13" i="46"/>
  <c r="P13" i="49"/>
  <c r="P16" i="49"/>
  <c r="B38" i="53"/>
  <c r="B39" i="49"/>
  <c r="B16" i="46"/>
  <c r="B38" i="49"/>
  <c r="D12" i="52"/>
  <c r="T20" i="47"/>
  <c r="T24" i="46"/>
  <c r="T34" i="50"/>
  <c r="T21" i="53"/>
  <c r="B16" i="44"/>
  <c r="H21" i="53"/>
  <c r="D5" i="112"/>
  <c r="D29" i="112"/>
  <c r="T15" i="110"/>
  <c r="H13" i="111"/>
  <c r="D25" i="111"/>
  <c r="D16" i="112"/>
  <c r="T34" i="112"/>
  <c r="D33" i="110"/>
  <c r="B25" i="110"/>
  <c r="T33" i="111"/>
  <c r="T16" i="112"/>
  <c r="P22" i="111"/>
  <c r="T15" i="112"/>
  <c r="H12" i="112"/>
  <c r="T15" i="111"/>
  <c r="D16" i="53"/>
  <c r="D20" i="52"/>
  <c r="P20" i="53"/>
  <c r="D5" i="53"/>
  <c r="B25" i="53"/>
  <c r="B16" i="49"/>
  <c r="T24" i="53"/>
  <c r="H24" i="47"/>
  <c r="H16" i="53"/>
  <c r="P25" i="49"/>
  <c r="B16" i="52"/>
  <c r="D24" i="47"/>
  <c r="D24" i="53"/>
  <c r="H12" i="49"/>
  <c r="D12" i="49"/>
  <c r="D33" i="53"/>
  <c r="H24" i="49"/>
  <c r="D15" i="46"/>
  <c r="D34" i="49"/>
  <c r="B22" i="50"/>
  <c r="T16" i="47"/>
  <c r="P12" i="46"/>
  <c r="B16" i="50"/>
  <c r="H34" i="49"/>
  <c r="D15" i="44"/>
  <c r="T22" i="52"/>
  <c r="T33" i="43"/>
  <c r="T29" i="47"/>
  <c r="H13" i="50"/>
  <c r="P29" i="43"/>
  <c r="P24" i="43"/>
  <c r="T16" i="46"/>
  <c r="D22" i="46"/>
  <c r="H24" i="43"/>
  <c r="H29" i="49"/>
  <c r="P13" i="40"/>
  <c r="P24" i="41"/>
  <c r="B21" i="37"/>
  <c r="H34" i="40"/>
  <c r="T25" i="37"/>
  <c r="H13" i="41"/>
  <c r="P15" i="41"/>
  <c r="H24" i="41"/>
  <c r="H21" i="43"/>
  <c r="P13" i="37"/>
  <c r="H33" i="38"/>
  <c r="T21" i="41"/>
  <c r="H22" i="38"/>
  <c r="T24" i="41"/>
  <c r="D4" i="35"/>
  <c r="D29" i="38"/>
  <c r="B39" i="34"/>
  <c r="D22" i="38"/>
  <c r="H16" i="35"/>
  <c r="B25" i="37"/>
  <c r="H16" i="34"/>
  <c r="H15" i="34"/>
  <c r="T13" i="40"/>
  <c r="H24" i="37"/>
  <c r="P33" i="38"/>
  <c r="D34" i="37"/>
  <c r="T21" i="32"/>
  <c r="T13" i="32"/>
  <c r="T29" i="34"/>
  <c r="P13" i="29"/>
  <c r="H12" i="31"/>
  <c r="P16" i="31"/>
  <c r="B38" i="32"/>
  <c r="H15" i="38"/>
  <c r="B38" i="31"/>
  <c r="D21" i="32"/>
  <c r="D16" i="34"/>
  <c r="P22" i="28"/>
  <c r="H15" i="31"/>
  <c r="H33" i="26"/>
  <c r="P25" i="29"/>
  <c r="H34" i="25"/>
  <c r="T16" i="29"/>
  <c r="D29" i="26"/>
  <c r="H33" i="31"/>
  <c r="D22" i="26"/>
  <c r="H29" i="35"/>
  <c r="P13" i="35"/>
  <c r="H16" i="28"/>
  <c r="T34" i="26"/>
  <c r="H24" i="32"/>
  <c r="B21" i="28"/>
  <c r="T12" i="25"/>
  <c r="T15" i="22"/>
  <c r="P15" i="19"/>
  <c r="D5" i="23"/>
  <c r="H24" i="19"/>
  <c r="B39" i="23"/>
  <c r="D24" i="20"/>
  <c r="D21" i="31"/>
  <c r="D25" i="23"/>
  <c r="D24" i="19"/>
  <c r="P20" i="111"/>
  <c r="D25" i="112"/>
  <c r="P13" i="110"/>
  <c r="D5" i="111"/>
  <c r="H21" i="111"/>
  <c r="B25" i="111"/>
  <c r="T33" i="112"/>
  <c r="D29" i="110"/>
  <c r="D24" i="110"/>
  <c r="T29" i="111"/>
  <c r="T13" i="112"/>
  <c r="T20" i="111"/>
  <c r="T21" i="111"/>
  <c r="T34" i="110"/>
  <c r="P33" i="110"/>
  <c r="B22" i="52"/>
  <c r="P24" i="53"/>
  <c r="P16" i="53"/>
  <c r="B39" i="53"/>
  <c r="B13" i="53"/>
  <c r="D15" i="49"/>
  <c r="P12" i="53"/>
  <c r="H22" i="47"/>
  <c r="T29" i="52"/>
  <c r="T21" i="49"/>
  <c r="D13" i="52"/>
  <c r="D22" i="47"/>
  <c r="H20" i="53"/>
  <c r="T22" i="53"/>
  <c r="B21" i="47"/>
  <c r="P24" i="52"/>
  <c r="H22" i="49"/>
  <c r="T12" i="46"/>
  <c r="D33" i="49"/>
  <c r="D21" i="50"/>
  <c r="T13" i="47"/>
  <c r="B22" i="44"/>
  <c r="D16" i="49"/>
  <c r="P15" i="49"/>
  <c r="T12" i="44"/>
  <c r="B21" i="50"/>
  <c r="T29" i="43"/>
  <c r="B16" i="47"/>
  <c r="H33" i="49"/>
  <c r="P25" i="43"/>
  <c r="P22" i="43"/>
  <c r="T13" i="46"/>
  <c r="H20" i="46"/>
  <c r="H22" i="43"/>
  <c r="B22" i="47"/>
  <c r="H12" i="40"/>
  <c r="D5" i="41"/>
  <c r="D20" i="37"/>
  <c r="H33" i="40"/>
  <c r="B16" i="37"/>
  <c r="B39" i="40"/>
  <c r="B13" i="41"/>
  <c r="B22" i="41"/>
  <c r="P29" i="41"/>
  <c r="H12" i="37"/>
  <c r="H29" i="38"/>
  <c r="H16" i="41"/>
  <c r="H13" i="38"/>
  <c r="P22" i="40"/>
  <c r="H34" i="34"/>
  <c r="D25" i="38"/>
  <c r="H24" i="34"/>
  <c r="H20" i="38"/>
  <c r="B13" i="35"/>
  <c r="D22" i="37"/>
  <c r="B13" i="34"/>
  <c r="H29" i="41"/>
  <c r="P21" i="38"/>
  <c r="D4" i="37"/>
  <c r="P29" i="38"/>
  <c r="H21" i="37"/>
  <c r="T24" i="31"/>
  <c r="P34" i="31"/>
  <c r="P21" i="32"/>
  <c r="H12" i="29"/>
  <c r="D5" i="35"/>
  <c r="D12" i="31"/>
  <c r="D34" i="32"/>
  <c r="T33" i="35"/>
  <c r="D34" i="31"/>
  <c r="H15" i="32"/>
  <c r="B39" i="32"/>
  <c r="T20" i="28"/>
  <c r="H33" i="29"/>
  <c r="H29" i="26"/>
  <c r="H22" i="29"/>
  <c r="H33" i="25"/>
  <c r="P15" i="29"/>
  <c r="D25" i="26"/>
  <c r="T29" i="29"/>
  <c r="H20" i="26"/>
  <c r="T13" i="35"/>
  <c r="T34" i="32"/>
  <c r="B13" i="28"/>
  <c r="T33" i="26"/>
  <c r="H25" i="31"/>
  <c r="D20" i="28"/>
  <c r="P16" i="34"/>
  <c r="P13" i="22"/>
  <c r="D5" i="19"/>
  <c r="P20" i="22"/>
  <c r="H22" i="19"/>
  <c r="H24" i="23"/>
  <c r="D22" i="20"/>
  <c r="B16" i="29"/>
  <c r="H21" i="23"/>
  <c r="D22" i="19"/>
  <c r="P16" i="111"/>
  <c r="H21" i="112"/>
  <c r="H12" i="110"/>
  <c r="P20" i="110"/>
  <c r="D13" i="111"/>
  <c r="D24" i="111"/>
  <c r="T29" i="112"/>
  <c r="D25" i="110"/>
  <c r="D22" i="110"/>
  <c r="T25" i="111"/>
  <c r="T24" i="111"/>
  <c r="T16" i="111"/>
  <c r="H34" i="112"/>
  <c r="B16" i="110"/>
  <c r="B22" i="53"/>
  <c r="D21" i="52"/>
  <c r="P22" i="53"/>
  <c r="D12" i="53"/>
  <c r="H24" i="53"/>
  <c r="T25" i="52"/>
  <c r="T12" i="49"/>
  <c r="H22" i="52"/>
  <c r="H13" i="47"/>
  <c r="D16" i="52"/>
  <c r="B38" i="47"/>
  <c r="P21" i="50"/>
  <c r="H20" i="47"/>
  <c r="B39" i="52"/>
  <c r="T15" i="53"/>
  <c r="D20" i="47"/>
  <c r="H21" i="52"/>
  <c r="H13" i="49"/>
  <c r="D22" i="53"/>
  <c r="D29" i="49"/>
  <c r="H15" i="50"/>
  <c r="P34" i="46"/>
  <c r="D21" i="44"/>
  <c r="P21" i="47"/>
  <c r="P16" i="47"/>
  <c r="B21" i="43"/>
  <c r="D21" i="49"/>
  <c r="T25" i="43"/>
  <c r="B39" i="46"/>
  <c r="H25" i="49"/>
  <c r="T21" i="43"/>
  <c r="T20" i="43"/>
  <c r="P20" i="44"/>
  <c r="H16" i="46"/>
  <c r="H13" i="43"/>
  <c r="D13" i="47"/>
  <c r="B21" i="38"/>
  <c r="P20" i="40"/>
  <c r="D16" i="37"/>
  <c r="H29" i="40"/>
  <c r="D15" i="37"/>
  <c r="H24" i="40"/>
  <c r="B38" i="40"/>
  <c r="P16" i="41"/>
  <c r="H25" i="41"/>
  <c r="H33" i="44"/>
  <c r="H25" i="38"/>
  <c r="P12" i="41"/>
  <c r="D4" i="38"/>
  <c r="T16" i="40"/>
  <c r="H33" i="34"/>
  <c r="D13" i="38"/>
  <c r="H22" i="34"/>
  <c r="H16" i="38"/>
  <c r="B38" i="34"/>
  <c r="H20" i="37"/>
  <c r="B39" i="41"/>
  <c r="P21" i="41"/>
  <c r="T15" i="38"/>
  <c r="P34" i="35"/>
  <c r="P25" i="38"/>
  <c r="T12" i="35"/>
  <c r="T22" i="31"/>
  <c r="P33" i="31"/>
  <c r="T15" i="32"/>
  <c r="T25" i="35"/>
  <c r="T33" i="34"/>
  <c r="T16" i="38"/>
  <c r="D33" i="32"/>
  <c r="H25" i="35"/>
  <c r="D33" i="31"/>
  <c r="B25" i="31"/>
  <c r="H22" i="32"/>
  <c r="T16" i="28"/>
  <c r="P24" i="29"/>
  <c r="H25" i="26"/>
  <c r="H13" i="29"/>
  <c r="H29" i="25"/>
  <c r="D13" i="29"/>
  <c r="H21" i="26"/>
  <c r="H24" i="29"/>
  <c r="H16" i="26"/>
  <c r="B21" i="32"/>
  <c r="T29" i="32"/>
  <c r="P22" i="38"/>
  <c r="T29" i="26"/>
  <c r="D5" i="31"/>
  <c r="D16" i="28"/>
  <c r="D20" i="32"/>
  <c r="H12" i="22"/>
  <c r="T24" i="29"/>
  <c r="P16" i="22"/>
  <c r="H13" i="19"/>
  <c r="H22" i="23"/>
  <c r="H20" i="20"/>
  <c r="D34" i="28"/>
  <c r="D13" i="23"/>
  <c r="D12" i="111"/>
  <c r="D13" i="112"/>
  <c r="B25" i="112"/>
  <c r="P16" i="110"/>
  <c r="D4" i="111"/>
  <c r="D22" i="111"/>
  <c r="T25" i="112"/>
  <c r="H21" i="110"/>
  <c r="H20" i="110"/>
  <c r="B16" i="111"/>
  <c r="T22" i="111"/>
  <c r="T13" i="111"/>
  <c r="P15" i="112"/>
  <c r="D6" i="112"/>
  <c r="D21" i="53"/>
  <c r="H15" i="52"/>
  <c r="T20" i="53"/>
  <c r="P21" i="52"/>
  <c r="H22" i="53"/>
  <c r="P22" i="52"/>
  <c r="H34" i="47"/>
  <c r="P34" i="50"/>
  <c r="D4" i="47"/>
  <c r="H13" i="52"/>
  <c r="D34" i="47"/>
  <c r="T15" i="50"/>
  <c r="H16" i="47"/>
  <c r="T33" i="52"/>
  <c r="B38" i="52"/>
  <c r="D16" i="47"/>
  <c r="P12" i="52"/>
  <c r="D4" i="49"/>
  <c r="D33" i="52"/>
  <c r="D25" i="49"/>
  <c r="B25" i="49"/>
  <c r="P33" i="46"/>
  <c r="H15" i="44"/>
  <c r="T12" i="47"/>
  <c r="H12" i="47"/>
  <c r="D20" i="43"/>
  <c r="H15" i="49"/>
  <c r="B16" i="43"/>
  <c r="D24" i="46"/>
  <c r="T15" i="47"/>
  <c r="P13" i="53"/>
  <c r="T16" i="43"/>
  <c r="P16" i="44"/>
  <c r="B13" i="46"/>
  <c r="D4" i="43"/>
  <c r="D24" i="44"/>
  <c r="D20" i="38"/>
  <c r="P16" i="40"/>
  <c r="D15" i="47"/>
  <c r="H25" i="40"/>
  <c r="T12" i="37"/>
  <c r="H22" i="40"/>
  <c r="D34" i="40"/>
  <c r="B25" i="40"/>
  <c r="D24" i="41"/>
  <c r="H25" i="44"/>
  <c r="P15" i="38"/>
  <c r="T34" i="40"/>
  <c r="H34" i="37"/>
  <c r="P13" i="38"/>
  <c r="H29" i="34"/>
  <c r="H22" i="37"/>
  <c r="H13" i="34"/>
  <c r="B13" i="38"/>
  <c r="D34" i="34"/>
  <c r="H16" i="37"/>
  <c r="P34" i="38"/>
  <c r="P33" i="40"/>
  <c r="H12" i="38"/>
  <c r="P33" i="35"/>
  <c r="T22" i="37"/>
  <c r="P34" i="34"/>
  <c r="P12" i="31"/>
  <c r="P29" i="31"/>
  <c r="P13" i="32"/>
  <c r="P22" i="35"/>
  <c r="T21" i="34"/>
  <c r="P29" i="37"/>
  <c r="D29" i="32"/>
  <c r="D15" i="35"/>
  <c r="D29" i="31"/>
  <c r="D24" i="31"/>
  <c r="H13" i="32"/>
  <c r="T13" i="28"/>
  <c r="H21" i="29"/>
  <c r="P15" i="26"/>
  <c r="B38" i="28"/>
  <c r="H25" i="25"/>
  <c r="T34" i="28"/>
  <c r="D13" i="26"/>
  <c r="D22" i="29"/>
  <c r="B13" i="26"/>
  <c r="D16" i="32"/>
  <c r="B16" i="32"/>
  <c r="T24" i="32"/>
  <c r="T25" i="26"/>
  <c r="B39" i="29"/>
  <c r="T24" i="26"/>
  <c r="P33" i="29"/>
  <c r="B39" i="20"/>
  <c r="T21" i="28"/>
  <c r="D12" i="22"/>
  <c r="D4" i="19"/>
  <c r="H13" i="23"/>
  <c r="H16" i="20"/>
  <c r="P24" i="26"/>
  <c r="B39" i="22"/>
  <c r="H16" i="19"/>
  <c r="P22" i="110"/>
  <c r="H34" i="111"/>
  <c r="D22" i="112"/>
  <c r="B22" i="112"/>
  <c r="H33" i="110"/>
  <c r="H16" i="111"/>
  <c r="D15" i="112"/>
  <c r="D4" i="110"/>
  <c r="B13" i="110"/>
  <c r="T12" i="111"/>
  <c r="B21" i="110"/>
  <c r="T22" i="110"/>
  <c r="H12" i="111"/>
  <c r="P25" i="111"/>
  <c r="B25" i="52"/>
  <c r="T33" i="53"/>
  <c r="T13" i="53"/>
  <c r="P13" i="52"/>
  <c r="D4" i="53"/>
  <c r="T24" i="50"/>
  <c r="H29" i="47"/>
  <c r="P29" i="50"/>
  <c r="H33" i="46"/>
  <c r="P22" i="50"/>
  <c r="D29" i="47"/>
  <c r="H12" i="50"/>
  <c r="B38" i="46"/>
  <c r="B13" i="52"/>
  <c r="H33" i="50"/>
  <c r="D21" i="46"/>
  <c r="D34" i="50"/>
  <c r="T22" i="47"/>
  <c r="B25" i="50"/>
  <c r="D13" i="49"/>
  <c r="D22" i="49"/>
  <c r="P25" i="46"/>
  <c r="D24" i="43"/>
  <c r="B21" i="44"/>
  <c r="T15" i="46"/>
  <c r="T34" i="41"/>
  <c r="D12" i="47"/>
  <c r="T12" i="43"/>
  <c r="P33" i="44"/>
  <c r="P24" i="44"/>
  <c r="D20" i="50"/>
  <c r="D13" i="53"/>
  <c r="P21" i="43"/>
  <c r="D34" i="44"/>
  <c r="D34" i="41"/>
  <c r="D5" i="43"/>
  <c r="B22" i="37"/>
  <c r="T34" i="38"/>
  <c r="H22" i="44"/>
  <c r="D5" i="40"/>
  <c r="P13" i="47"/>
  <c r="D4" i="40"/>
  <c r="D29" i="40"/>
  <c r="D22" i="40"/>
  <c r="D21" i="40"/>
  <c r="T20" i="41"/>
  <c r="P20" i="37"/>
  <c r="T29" i="40"/>
  <c r="H29" i="37"/>
  <c r="T20" i="37"/>
  <c r="P15" i="34"/>
  <c r="B38" i="35"/>
  <c r="B39" i="44"/>
  <c r="D29" i="37"/>
  <c r="D29" i="34"/>
  <c r="B22" i="35"/>
  <c r="T24" i="37"/>
  <c r="P24" i="38"/>
  <c r="P20" i="41"/>
  <c r="P25" i="35"/>
  <c r="P16" i="35"/>
  <c r="P22" i="34"/>
  <c r="T20" i="35"/>
  <c r="T21" i="31"/>
  <c r="P24" i="31"/>
  <c r="P29" i="34"/>
  <c r="H34" i="32"/>
  <c r="T15" i="35"/>
  <c r="H21" i="32"/>
  <c r="B21" i="34"/>
  <c r="H21" i="31"/>
  <c r="H20" i="31"/>
  <c r="H29" i="31"/>
  <c r="P16" i="26"/>
  <c r="B39" i="28"/>
  <c r="P20" i="25"/>
  <c r="P16" i="28"/>
  <c r="D5" i="25"/>
  <c r="H29" i="28"/>
  <c r="H24" i="25"/>
  <c r="B13" i="29"/>
  <c r="D34" i="25"/>
  <c r="D34" i="29"/>
  <c r="D24" i="29"/>
  <c r="T12" i="31"/>
  <c r="D15" i="26"/>
  <c r="B25" i="29"/>
  <c r="P12" i="26"/>
  <c r="P24" i="25"/>
  <c r="H22" i="20"/>
  <c r="D24" i="25"/>
  <c r="D34" i="20"/>
  <c r="D16" i="29"/>
  <c r="H34" i="22"/>
  <c r="B38" i="19"/>
  <c r="P13" i="26"/>
  <c r="H22" i="22"/>
  <c r="P24" i="35"/>
  <c r="T20" i="110"/>
  <c r="H33" i="111"/>
  <c r="H20" i="112"/>
  <c r="D21" i="112"/>
  <c r="H29" i="110"/>
  <c r="B13" i="111"/>
  <c r="T12" i="112"/>
  <c r="T24" i="112"/>
  <c r="P34" i="112"/>
  <c r="B22" i="110"/>
  <c r="D20" i="110"/>
  <c r="P12" i="110"/>
  <c r="P13" i="112"/>
  <c r="T33" i="110"/>
  <c r="D24" i="52"/>
  <c r="T29" i="53"/>
  <c r="P34" i="52"/>
  <c r="H12" i="52"/>
  <c r="H34" i="52"/>
  <c r="T22" i="50"/>
  <c r="H25" i="47"/>
  <c r="P25" i="50"/>
  <c r="H29" i="46"/>
  <c r="T20" i="50"/>
  <c r="D25" i="47"/>
  <c r="P24" i="49"/>
  <c r="D34" i="46"/>
  <c r="P20" i="50"/>
  <c r="H29" i="50"/>
  <c r="H15" i="46"/>
  <c r="D33" i="50"/>
  <c r="P12" i="47"/>
  <c r="D24" i="50"/>
  <c r="P34" i="47"/>
  <c r="H20" i="49"/>
  <c r="T21" i="46"/>
  <c r="D22" i="43"/>
  <c r="D20" i="44"/>
  <c r="H12" i="46"/>
  <c r="T33" i="41"/>
  <c r="H24" i="46"/>
  <c r="T20" i="52"/>
  <c r="P29" i="44"/>
  <c r="P22" i="44"/>
  <c r="P20" i="47"/>
  <c r="P16" i="52"/>
  <c r="T15" i="43"/>
  <c r="D33" i="44"/>
  <c r="D33" i="41"/>
  <c r="P34" i="41"/>
  <c r="D21" i="37"/>
  <c r="T33" i="38"/>
  <c r="H29" i="43"/>
  <c r="T24" i="38"/>
  <c r="D22" i="44"/>
  <c r="D15" i="52"/>
  <c r="D25" i="40"/>
  <c r="H20" i="40"/>
  <c r="H15" i="40"/>
  <c r="H15" i="41"/>
  <c r="P16" i="37"/>
  <c r="T25" i="40"/>
  <c r="H25" i="37"/>
  <c r="T16" i="37"/>
  <c r="D5" i="34"/>
  <c r="D34" i="35"/>
  <c r="D4" i="44"/>
  <c r="D25" i="37"/>
  <c r="D25" i="34"/>
  <c r="D21" i="35"/>
  <c r="P12" i="37"/>
  <c r="P34" i="37"/>
  <c r="T24" i="40"/>
  <c r="T21" i="35"/>
  <c r="D12" i="35"/>
  <c r="D20" i="34"/>
  <c r="P12" i="35"/>
  <c r="H12" i="41"/>
  <c r="P22" i="31"/>
  <c r="P20" i="32"/>
  <c r="H33" i="32"/>
  <c r="P33" i="34"/>
  <c r="D13" i="32"/>
  <c r="B25" i="32"/>
  <c r="D13" i="31"/>
  <c r="H16" i="31"/>
  <c r="P15" i="31"/>
  <c r="D12" i="26"/>
  <c r="T33" i="28"/>
  <c r="P16" i="25"/>
  <c r="D12" i="28"/>
  <c r="P12" i="32"/>
  <c r="H25" i="28"/>
  <c r="H22" i="25"/>
  <c r="H24" i="28"/>
  <c r="D33" i="25"/>
  <c r="H25" i="29"/>
  <c r="T12" i="29"/>
  <c r="D25" i="29"/>
  <c r="T12" i="26"/>
  <c r="T21" i="29"/>
  <c r="T34" i="25"/>
  <c r="D21" i="25"/>
  <c r="H13" i="20"/>
  <c r="T16" i="25"/>
  <c r="D33" i="20"/>
  <c r="T25" i="28"/>
  <c r="H33" i="22"/>
  <c r="D34" i="19"/>
  <c r="T22" i="25"/>
  <c r="H13" i="22"/>
  <c r="T33" i="32"/>
  <c r="D24" i="112"/>
  <c r="H16" i="110"/>
  <c r="H15" i="53"/>
  <c r="H33" i="47"/>
  <c r="B13" i="47"/>
  <c r="H24" i="52"/>
  <c r="P21" i="46"/>
  <c r="P20" i="52"/>
  <c r="B25" i="46"/>
  <c r="P16" i="43"/>
  <c r="T16" i="41"/>
  <c r="T15" i="37"/>
  <c r="D13" i="43"/>
  <c r="B25" i="38"/>
  <c r="D21" i="34"/>
  <c r="H20" i="44"/>
  <c r="T15" i="29"/>
  <c r="D4" i="31"/>
  <c r="P24" i="28"/>
  <c r="D4" i="26"/>
  <c r="D24" i="26"/>
  <c r="H15" i="28"/>
  <c r="P21" i="22"/>
  <c r="P12" i="25"/>
  <c r="B25" i="19"/>
  <c r="H16" i="23"/>
  <c r="B22" i="19"/>
  <c r="D24" i="22"/>
  <c r="D20" i="23"/>
  <c r="B16" i="19"/>
  <c r="B16" i="23"/>
  <c r="T22" i="19"/>
  <c r="T16" i="23"/>
  <c r="P13" i="19"/>
  <c r="H22" i="17"/>
  <c r="T16" i="14"/>
  <c r="T22" i="22"/>
  <c r="H24" i="16"/>
  <c r="T13" i="13"/>
  <c r="H16" i="17"/>
  <c r="P21" i="13"/>
  <c r="B22" i="17"/>
  <c r="H25" i="14"/>
  <c r="D20" i="17"/>
  <c r="H29" i="13"/>
  <c r="T33" i="17"/>
  <c r="H15" i="25"/>
  <c r="T25" i="16"/>
  <c r="P33" i="17"/>
  <c r="D22" i="13"/>
  <c r="T20" i="20"/>
  <c r="T21" i="16"/>
  <c r="T12" i="14"/>
  <c r="D15" i="10"/>
  <c r="D20" i="5"/>
  <c r="P12" i="14"/>
  <c r="H29" i="7"/>
  <c r="D20" i="4"/>
  <c r="T16" i="11"/>
  <c r="H21" i="8"/>
  <c r="T29" i="4"/>
  <c r="B39" i="13"/>
  <c r="T13" i="10"/>
  <c r="H21" i="7"/>
  <c r="H12" i="17"/>
  <c r="D12" i="11"/>
  <c r="H16" i="7"/>
  <c r="H12" i="23"/>
  <c r="P20" i="10"/>
  <c r="D25" i="14"/>
  <c r="P15" i="10"/>
  <c r="B21" i="13"/>
  <c r="P12" i="8"/>
  <c r="P15" i="5"/>
  <c r="P21" i="17"/>
  <c r="D21" i="10"/>
  <c r="D24" i="5"/>
  <c r="T15" i="16"/>
  <c r="B13" i="10"/>
  <c r="H13" i="5"/>
  <c r="T29" i="11"/>
  <c r="T12" i="8"/>
  <c r="D34" i="10"/>
  <c r="B22" i="5"/>
  <c r="B21" i="10"/>
  <c r="B13" i="11"/>
  <c r="B21" i="19"/>
  <c r="D21" i="5"/>
  <c r="T15" i="4"/>
  <c r="D21" i="11"/>
  <c r="P13" i="7"/>
  <c r="H29" i="11"/>
  <c r="D33" i="4"/>
  <c r="H13" i="4"/>
  <c r="T34" i="46"/>
  <c r="B21" i="35"/>
  <c r="B13" i="25"/>
  <c r="T25" i="23"/>
  <c r="D12" i="14"/>
  <c r="D24" i="13"/>
  <c r="T33" i="4"/>
  <c r="H25" i="10"/>
  <c r="H20" i="10"/>
  <c r="H16" i="112"/>
  <c r="P33" i="112"/>
  <c r="D22" i="52"/>
  <c r="P15" i="47"/>
  <c r="D33" i="46"/>
  <c r="D22" i="50"/>
  <c r="T34" i="44"/>
  <c r="B21" i="46"/>
  <c r="B38" i="44"/>
  <c r="D12" i="40"/>
  <c r="H13" i="40"/>
  <c r="P20" i="43"/>
  <c r="P22" i="37"/>
  <c r="D33" i="37"/>
  <c r="P25" i="40"/>
  <c r="T25" i="34"/>
  <c r="H12" i="35"/>
  <c r="P24" i="34"/>
  <c r="P20" i="26"/>
  <c r="P15" i="25"/>
  <c r="B38" i="25"/>
  <c r="B16" i="26"/>
  <c r="H24" i="20"/>
  <c r="D4" i="23"/>
  <c r="H20" i="19"/>
  <c r="B13" i="23"/>
  <c r="D21" i="19"/>
  <c r="D22" i="22"/>
  <c r="D16" i="23"/>
  <c r="D15" i="19"/>
  <c r="D15" i="23"/>
  <c r="P12" i="19"/>
  <c r="T13" i="23"/>
  <c r="H12" i="19"/>
  <c r="H13" i="17"/>
  <c r="T13" i="14"/>
  <c r="P13" i="20"/>
  <c r="H22" i="16"/>
  <c r="B25" i="11"/>
  <c r="B13" i="17"/>
  <c r="T15" i="13"/>
  <c r="D21" i="17"/>
  <c r="P15" i="14"/>
  <c r="D16" i="17"/>
  <c r="H25" i="13"/>
  <c r="T29" i="17"/>
  <c r="T33" i="22"/>
  <c r="B16" i="16"/>
  <c r="P29" i="17"/>
  <c r="H20" i="13"/>
  <c r="P25" i="19"/>
  <c r="B21" i="14"/>
  <c r="T25" i="13"/>
  <c r="T12" i="10"/>
  <c r="D16" i="5"/>
  <c r="P29" i="11"/>
  <c r="H25" i="7"/>
  <c r="D16" i="4"/>
  <c r="T13" i="11"/>
  <c r="D13" i="8"/>
  <c r="T25" i="4"/>
  <c r="D25" i="13"/>
  <c r="B25" i="8"/>
  <c r="D13" i="7"/>
  <c r="P24" i="16"/>
  <c r="P21" i="10"/>
  <c r="B13" i="7"/>
  <c r="D12" i="17"/>
  <c r="P16" i="10"/>
  <c r="T24" i="13"/>
  <c r="D5" i="10"/>
  <c r="D13" i="13"/>
  <c r="T34" i="7"/>
  <c r="D5" i="5"/>
  <c r="T15" i="17"/>
  <c r="H15" i="10"/>
  <c r="D22" i="5"/>
  <c r="T22" i="13"/>
  <c r="T29" i="8"/>
  <c r="H22" i="11"/>
  <c r="B22" i="11"/>
  <c r="D20" i="7"/>
  <c r="H21" i="10"/>
  <c r="H33" i="4"/>
  <c r="T16" i="8"/>
  <c r="D33" i="10"/>
  <c r="T34" i="8"/>
  <c r="P16" i="5"/>
  <c r="D4" i="4"/>
  <c r="H12" i="4"/>
  <c r="H21" i="14"/>
  <c r="D29" i="13"/>
  <c r="T12" i="7"/>
  <c r="P29" i="7"/>
  <c r="B38" i="5"/>
  <c r="H29" i="111"/>
  <c r="H16" i="44"/>
  <c r="B39" i="26"/>
  <c r="B25" i="22"/>
  <c r="B39" i="16"/>
  <c r="H33" i="13"/>
  <c r="D24" i="14"/>
  <c r="H20" i="14"/>
  <c r="D12" i="16"/>
  <c r="D13" i="4"/>
  <c r="H20" i="11"/>
  <c r="D12" i="110"/>
  <c r="D15" i="111"/>
  <c r="T34" i="53"/>
  <c r="P33" i="50"/>
  <c r="D25" i="52"/>
  <c r="H21" i="49"/>
  <c r="D16" i="43"/>
  <c r="T20" i="44"/>
  <c r="D29" i="44"/>
  <c r="T29" i="38"/>
  <c r="H34" i="44"/>
  <c r="T12" i="41"/>
  <c r="T13" i="37"/>
  <c r="D13" i="37"/>
  <c r="T21" i="37"/>
  <c r="D12" i="34"/>
  <c r="P16" i="32"/>
  <c r="D24" i="32"/>
  <c r="P21" i="25"/>
  <c r="T33" i="31"/>
  <c r="D29" i="25"/>
  <c r="B21" i="25"/>
  <c r="D4" i="20"/>
  <c r="H29" i="22"/>
  <c r="B13" i="19"/>
  <c r="B38" i="22"/>
  <c r="H15" i="19"/>
  <c r="H20" i="22"/>
  <c r="B22" i="22"/>
  <c r="T12" i="19"/>
  <c r="T12" i="23"/>
  <c r="T20" i="34"/>
  <c r="P34" i="22"/>
  <c r="T22" i="32"/>
  <c r="D4" i="17"/>
  <c r="P34" i="13"/>
  <c r="P24" i="19"/>
  <c r="H13" i="16"/>
  <c r="D24" i="11"/>
  <c r="B38" i="16"/>
  <c r="P13" i="13"/>
  <c r="H15" i="17"/>
  <c r="D5" i="14"/>
  <c r="B22" i="16"/>
  <c r="P15" i="13"/>
  <c r="T25" i="17"/>
  <c r="T25" i="22"/>
  <c r="D15" i="16"/>
  <c r="P25" i="17"/>
  <c r="H16" i="13"/>
  <c r="T21" i="19"/>
  <c r="D20" i="14"/>
  <c r="H22" i="13"/>
  <c r="H34" i="8"/>
  <c r="B22" i="4"/>
  <c r="T24" i="10"/>
  <c r="P15" i="7"/>
  <c r="D16" i="19"/>
  <c r="P34" i="10"/>
  <c r="B39" i="7"/>
  <c r="B16" i="4"/>
  <c r="B39" i="11"/>
  <c r="D24" i="8"/>
  <c r="P34" i="5"/>
  <c r="P34" i="14"/>
  <c r="T15" i="10"/>
  <c r="P24" i="5"/>
  <c r="H12" i="16"/>
  <c r="D12" i="10"/>
  <c r="H21" i="13"/>
  <c r="P20" i="34"/>
  <c r="P34" i="11"/>
  <c r="T33" i="7"/>
  <c r="P20" i="4"/>
  <c r="D33" i="14"/>
  <c r="P21" i="8"/>
  <c r="H20" i="5"/>
  <c r="H24" i="11"/>
  <c r="P29" i="8"/>
  <c r="D22" i="10"/>
  <c r="B16" i="11"/>
  <c r="P13" i="4"/>
  <c r="P24" i="4"/>
  <c r="T16" i="4"/>
  <c r="P33" i="7"/>
  <c r="D25" i="10"/>
  <c r="D29" i="5"/>
  <c r="D13" i="5"/>
  <c r="B39" i="4"/>
  <c r="P34" i="4"/>
  <c r="T24" i="7"/>
  <c r="T20" i="8"/>
  <c r="H15" i="37"/>
  <c r="H24" i="17"/>
  <c r="T16" i="10"/>
  <c r="H15" i="112"/>
  <c r="D21" i="110"/>
  <c r="T25" i="53"/>
  <c r="T21" i="50"/>
  <c r="P16" i="50"/>
  <c r="P33" i="47"/>
  <c r="T29" i="41"/>
  <c r="P33" i="43"/>
  <c r="B39" i="43"/>
  <c r="T12" i="38"/>
  <c r="B21" i="41"/>
  <c r="H34" i="38"/>
  <c r="H13" i="35"/>
  <c r="H20" i="35"/>
  <c r="T20" i="40"/>
  <c r="P25" i="32"/>
  <c r="P13" i="31"/>
  <c r="B13" i="32"/>
  <c r="B16" i="34"/>
  <c r="B21" i="29"/>
  <c r="D24" i="38"/>
  <c r="T24" i="35"/>
  <c r="H25" i="19"/>
  <c r="B25" i="20"/>
  <c r="D15" i="32"/>
  <c r="D34" i="22"/>
  <c r="B38" i="29"/>
  <c r="H16" i="22"/>
  <c r="D21" i="22"/>
  <c r="D16" i="31"/>
  <c r="B21" i="22"/>
  <c r="D5" i="29"/>
  <c r="P33" i="22"/>
  <c r="H12" i="26"/>
  <c r="H34" i="16"/>
  <c r="P33" i="13"/>
  <c r="T20" i="19"/>
  <c r="D4" i="16"/>
  <c r="D22" i="11"/>
  <c r="D34" i="16"/>
  <c r="H12" i="13"/>
  <c r="B25" i="16"/>
  <c r="P20" i="13"/>
  <c r="D21" i="16"/>
  <c r="D5" i="13"/>
  <c r="B16" i="17"/>
  <c r="D15" i="22"/>
  <c r="T12" i="16"/>
  <c r="T21" i="17"/>
  <c r="B13" i="13"/>
  <c r="P24" i="17"/>
  <c r="D16" i="14"/>
  <c r="D20" i="13"/>
  <c r="H33" i="8"/>
  <c r="D21" i="4"/>
  <c r="T22" i="10"/>
  <c r="D5" i="7"/>
  <c r="P20" i="17"/>
  <c r="P33" i="10"/>
  <c r="H24" i="7"/>
  <c r="D15" i="4"/>
  <c r="T33" i="11"/>
  <c r="D22" i="8"/>
  <c r="P33" i="5"/>
  <c r="B38" i="13"/>
  <c r="P13" i="10"/>
  <c r="P22" i="5"/>
  <c r="D34" i="14"/>
  <c r="B21" i="8"/>
  <c r="H13" i="13"/>
  <c r="P22" i="16"/>
  <c r="T25" i="11"/>
  <c r="T29" i="7"/>
  <c r="P16" i="4"/>
  <c r="D13" i="14"/>
  <c r="T15" i="8"/>
  <c r="H16" i="5"/>
  <c r="T33" i="8"/>
  <c r="P22" i="4"/>
  <c r="H16" i="10"/>
  <c r="D16" i="10"/>
  <c r="P25" i="11"/>
  <c r="T15" i="20"/>
  <c r="D24" i="4"/>
  <c r="B39" i="5"/>
  <c r="D13" i="10"/>
  <c r="P21" i="16"/>
  <c r="D5" i="4"/>
  <c r="P34" i="7"/>
  <c r="P24" i="8"/>
  <c r="D21" i="7"/>
  <c r="T21" i="14"/>
  <c r="H29" i="4"/>
  <c r="D24" i="10"/>
  <c r="P25" i="44"/>
  <c r="B39" i="31"/>
  <c r="H20" i="23"/>
  <c r="T20" i="14"/>
  <c r="B21" i="17"/>
  <c r="P24" i="20"/>
  <c r="T20" i="11"/>
  <c r="H20" i="7"/>
  <c r="P15" i="20"/>
  <c r="H21" i="11"/>
  <c r="H34" i="110"/>
  <c r="P12" i="111"/>
  <c r="T16" i="53"/>
  <c r="H34" i="46"/>
  <c r="H34" i="50"/>
  <c r="D24" i="49"/>
  <c r="D21" i="47"/>
  <c r="T16" i="52"/>
  <c r="B38" i="41"/>
  <c r="H22" i="46"/>
  <c r="D33" i="40"/>
  <c r="D5" i="38"/>
  <c r="H25" i="34"/>
  <c r="D33" i="34"/>
  <c r="P24" i="37"/>
  <c r="D21" i="38"/>
  <c r="D15" i="34"/>
  <c r="D25" i="31"/>
  <c r="D20" i="29"/>
  <c r="P33" i="28"/>
  <c r="B22" i="31"/>
  <c r="T33" i="29"/>
  <c r="P33" i="26"/>
  <c r="B13" i="20"/>
  <c r="B21" i="31"/>
  <c r="D33" i="22"/>
  <c r="H29" i="29"/>
  <c r="B13" i="22"/>
  <c r="H15" i="22"/>
  <c r="D29" i="29"/>
  <c r="D20" i="22"/>
  <c r="P29" i="28"/>
  <c r="P29" i="22"/>
  <c r="T22" i="23"/>
  <c r="H33" i="16"/>
  <c r="P29" i="13"/>
  <c r="B38" i="17"/>
  <c r="P21" i="14"/>
  <c r="P22" i="22"/>
  <c r="D33" i="16"/>
  <c r="T29" i="31"/>
  <c r="D24" i="16"/>
  <c r="P16" i="13"/>
  <c r="H15" i="16"/>
  <c r="T29" i="28"/>
  <c r="D15" i="17"/>
  <c r="H25" i="20"/>
  <c r="H24" i="44"/>
  <c r="T24" i="16"/>
  <c r="P24" i="11"/>
  <c r="P22" i="17"/>
  <c r="B22" i="13"/>
  <c r="D34" i="11"/>
  <c r="H29" i="8"/>
  <c r="H15" i="4"/>
  <c r="P12" i="10"/>
  <c r="T34" i="5"/>
  <c r="P13" i="16"/>
  <c r="P29" i="10"/>
  <c r="H22" i="7"/>
  <c r="T12" i="4"/>
  <c r="T21" i="11"/>
  <c r="H20" i="8"/>
  <c r="P29" i="5"/>
  <c r="T33" i="13"/>
  <c r="H12" i="10"/>
  <c r="T20" i="5"/>
  <c r="T29" i="14"/>
  <c r="D20" i="8"/>
  <c r="D29" i="11"/>
  <c r="T16" i="16"/>
  <c r="D13" i="11"/>
  <c r="T25" i="7"/>
  <c r="D12" i="4"/>
  <c r="D16" i="13"/>
  <c r="P13" i="8"/>
  <c r="B13" i="5"/>
  <c r="D15" i="8"/>
  <c r="H16" i="11"/>
  <c r="P22" i="8"/>
  <c r="T15" i="7"/>
  <c r="T12" i="11"/>
  <c r="P33" i="14"/>
  <c r="P34" i="8"/>
  <c r="D25" i="5"/>
  <c r="P16" i="8"/>
  <c r="H33" i="11"/>
  <c r="H29" i="17"/>
  <c r="H16" i="4"/>
  <c r="H15" i="8"/>
  <c r="P20" i="5"/>
  <c r="P24" i="22"/>
  <c r="D16" i="44"/>
  <c r="T20" i="23"/>
  <c r="B21" i="4"/>
  <c r="D15" i="11"/>
  <c r="H25" i="110"/>
  <c r="D16" i="110"/>
  <c r="P33" i="52"/>
  <c r="H25" i="46"/>
  <c r="H25" i="50"/>
  <c r="H16" i="49"/>
  <c r="D4" i="46"/>
  <c r="T22" i="46"/>
  <c r="D29" i="41"/>
  <c r="H33" i="41"/>
  <c r="H21" i="40"/>
  <c r="D12" i="37"/>
  <c r="B39" i="50"/>
  <c r="H21" i="34"/>
  <c r="P12" i="40"/>
  <c r="P25" i="34"/>
  <c r="H29" i="32"/>
  <c r="P24" i="40"/>
  <c r="P21" i="28"/>
  <c r="P15" i="28"/>
  <c r="P34" i="28"/>
  <c r="P20" i="29"/>
  <c r="H34" i="23"/>
  <c r="D33" i="19"/>
  <c r="B21" i="26"/>
  <c r="D29" i="22"/>
  <c r="T12" i="28"/>
  <c r="P21" i="35"/>
  <c r="T24" i="20"/>
  <c r="T13" i="29"/>
  <c r="D16" i="22"/>
  <c r="B22" i="26"/>
  <c r="P25" i="22"/>
  <c r="T29" i="22"/>
  <c r="H29" i="16"/>
  <c r="P25" i="13"/>
  <c r="D34" i="17"/>
  <c r="T15" i="14"/>
  <c r="T16" i="22"/>
  <c r="D29" i="16"/>
  <c r="D12" i="29"/>
  <c r="D22" i="16"/>
  <c r="D12" i="13"/>
  <c r="B39" i="14"/>
  <c r="P21" i="23"/>
  <c r="T12" i="17"/>
  <c r="D5" i="20"/>
  <c r="D20" i="26"/>
  <c r="T22" i="16"/>
  <c r="P22" i="11"/>
  <c r="T20" i="17"/>
  <c r="D21" i="13"/>
  <c r="H25" i="11"/>
  <c r="H25" i="8"/>
  <c r="B25" i="25"/>
  <c r="B39" i="8"/>
  <c r="T33" i="5"/>
  <c r="T34" i="14"/>
  <c r="P25" i="10"/>
  <c r="H13" i="7"/>
  <c r="P12" i="23"/>
  <c r="T15" i="11"/>
  <c r="H16" i="8"/>
  <c r="P25" i="5"/>
  <c r="D15" i="13"/>
  <c r="B22" i="8"/>
  <c r="T16" i="5"/>
  <c r="P25" i="14"/>
  <c r="D16" i="8"/>
  <c r="T24" i="11"/>
  <c r="B38" i="14"/>
  <c r="B39" i="10"/>
  <c r="B16" i="7"/>
  <c r="P16" i="17"/>
  <c r="P12" i="13"/>
  <c r="H12" i="8"/>
  <c r="B38" i="4"/>
  <c r="B21" i="7"/>
  <c r="D29" i="10"/>
  <c r="T13" i="8"/>
  <c r="H22" i="5"/>
  <c r="P12" i="7"/>
  <c r="T12" i="13"/>
  <c r="H21" i="5"/>
  <c r="P21" i="5"/>
  <c r="D12" i="8"/>
  <c r="B38" i="10"/>
  <c r="P16" i="16"/>
  <c r="D16" i="7"/>
  <c r="T24" i="4"/>
  <c r="P22" i="7"/>
  <c r="H15" i="11"/>
  <c r="D15" i="110"/>
  <c r="P20" i="38"/>
  <c r="H22" i="28"/>
  <c r="B21" i="23"/>
  <c r="H20" i="17"/>
  <c r="T29" i="16"/>
  <c r="H33" i="7"/>
  <c r="T21" i="4"/>
  <c r="B25" i="5"/>
  <c r="B13" i="4"/>
  <c r="H20" i="111"/>
  <c r="T24" i="110"/>
  <c r="T15" i="52"/>
  <c r="P24" i="50"/>
  <c r="B22" i="46"/>
  <c r="P29" i="46"/>
  <c r="T34" i="43"/>
  <c r="H12" i="44"/>
  <c r="H22" i="50"/>
  <c r="D4" i="41"/>
  <c r="P15" i="43"/>
  <c r="B25" i="41"/>
  <c r="D33" i="38"/>
  <c r="B22" i="38"/>
  <c r="B39" i="37"/>
  <c r="T16" i="32"/>
  <c r="P20" i="31"/>
  <c r="B22" i="32"/>
  <c r="H34" i="26"/>
  <c r="D33" i="26"/>
  <c r="D13" i="28"/>
  <c r="D33" i="28"/>
  <c r="P15" i="23"/>
  <c r="D13" i="19"/>
  <c r="T16" i="26"/>
  <c r="D25" i="22"/>
  <c r="P34" i="25"/>
  <c r="T24" i="28"/>
  <c r="T22" i="20"/>
  <c r="D16" i="26"/>
  <c r="P34" i="20"/>
  <c r="T15" i="26"/>
  <c r="T21" i="22"/>
  <c r="P22" i="20"/>
  <c r="H25" i="16"/>
  <c r="T21" i="13"/>
  <c r="D33" i="17"/>
  <c r="P13" i="14"/>
  <c r="H33" i="20"/>
  <c r="D25" i="16"/>
  <c r="P22" i="26"/>
  <c r="H20" i="16"/>
  <c r="B16" i="31"/>
  <c r="H24" i="14"/>
  <c r="T15" i="23"/>
  <c r="B21" i="16"/>
  <c r="T24" i="17"/>
  <c r="P33" i="23"/>
  <c r="P12" i="16"/>
  <c r="T34" i="34"/>
  <c r="T16" i="17"/>
  <c r="H15" i="13"/>
  <c r="P12" i="11"/>
  <c r="P15" i="8"/>
  <c r="H29" i="20"/>
  <c r="H24" i="8"/>
  <c r="T29" i="5"/>
  <c r="T22" i="14"/>
  <c r="T21" i="10"/>
  <c r="D4" i="7"/>
  <c r="T12" i="22"/>
  <c r="P13" i="11"/>
  <c r="B13" i="8"/>
  <c r="T21" i="5"/>
  <c r="B38" i="11"/>
  <c r="D21" i="8"/>
  <c r="T13" i="5"/>
  <c r="D22" i="14"/>
  <c r="B22" i="7"/>
  <c r="H13" i="11"/>
  <c r="T33" i="14"/>
  <c r="H24" i="10"/>
  <c r="D15" i="7"/>
  <c r="D29" i="14"/>
  <c r="H34" i="11"/>
  <c r="P24" i="7"/>
  <c r="D34" i="4"/>
  <c r="P33" i="8"/>
  <c r="H15" i="5"/>
  <c r="H22" i="10"/>
  <c r="D12" i="43"/>
  <c r="B39" i="110"/>
  <c r="P33" i="111"/>
  <c r="H34" i="53"/>
  <c r="T16" i="50"/>
  <c r="P33" i="53"/>
  <c r="P25" i="53"/>
  <c r="D15" i="43"/>
  <c r="T13" i="43"/>
  <c r="B38" i="43"/>
  <c r="P15" i="40"/>
  <c r="D24" i="40"/>
  <c r="T33" i="40"/>
  <c r="H13" i="37"/>
  <c r="B13" i="37"/>
  <c r="P29" i="35"/>
  <c r="P25" i="31"/>
  <c r="T29" i="35"/>
  <c r="D22" i="31"/>
  <c r="D5" i="26"/>
  <c r="B39" i="25"/>
  <c r="P29" i="29"/>
  <c r="T22" i="26"/>
  <c r="B38" i="20"/>
  <c r="D21" i="26"/>
  <c r="H20" i="25"/>
  <c r="H21" i="22"/>
  <c r="P22" i="25"/>
  <c r="P12" i="28"/>
  <c r="P12" i="20"/>
  <c r="B22" i="25"/>
  <c r="P33" i="20"/>
  <c r="P33" i="25"/>
  <c r="P20" i="20"/>
  <c r="T13" i="20"/>
  <c r="P15" i="16"/>
  <c r="T34" i="31"/>
  <c r="D29" i="17"/>
  <c r="H12" i="14"/>
  <c r="P20" i="19"/>
  <c r="H21" i="16"/>
  <c r="T34" i="22"/>
  <c r="H16" i="16"/>
  <c r="P34" i="23"/>
  <c r="H22" i="14"/>
  <c r="P21" i="20"/>
  <c r="D20" i="16"/>
  <c r="T22" i="17"/>
  <c r="P25" i="23"/>
  <c r="B22" i="14"/>
  <c r="T13" i="25"/>
  <c r="T13" i="17"/>
  <c r="H15" i="26"/>
  <c r="T34" i="10"/>
  <c r="D5" i="8"/>
  <c r="P16" i="19"/>
  <c r="H22" i="8"/>
  <c r="T25" i="5"/>
  <c r="B16" i="14"/>
  <c r="B38" i="8"/>
  <c r="T24" i="5"/>
  <c r="H33" i="17"/>
  <c r="H12" i="11"/>
  <c r="B38" i="7"/>
  <c r="D4" i="11"/>
  <c r="P29" i="14"/>
  <c r="D33" i="11"/>
  <c r="P29" i="26"/>
  <c r="P13" i="43"/>
  <c r="P34" i="29"/>
  <c r="D16" i="20"/>
  <c r="P29" i="23"/>
  <c r="T34" i="17"/>
  <c r="B21" i="5"/>
  <c r="D12" i="19"/>
  <c r="T22" i="8"/>
  <c r="T24" i="23"/>
  <c r="H20" i="4"/>
  <c r="P24" i="110"/>
  <c r="B16" i="112"/>
  <c r="P21" i="111"/>
  <c r="H13" i="53"/>
  <c r="D33" i="47"/>
  <c r="B38" i="50"/>
  <c r="B25" i="43"/>
  <c r="T33" i="50"/>
  <c r="T12" i="50"/>
  <c r="H20" i="41"/>
  <c r="T22" i="38"/>
  <c r="H16" i="40"/>
  <c r="B16" i="40"/>
  <c r="D33" i="35"/>
  <c r="H15" i="35"/>
  <c r="T24" i="34"/>
  <c r="T20" i="38"/>
  <c r="P33" i="41"/>
  <c r="B13" i="31"/>
  <c r="D12" i="25"/>
  <c r="H13" i="25"/>
  <c r="H33" i="28"/>
  <c r="T33" i="25"/>
  <c r="D29" i="20"/>
  <c r="T20" i="25"/>
  <c r="B25" i="23"/>
  <c r="D13" i="22"/>
  <c r="B22" i="23"/>
  <c r="T20" i="26"/>
  <c r="T34" i="19"/>
  <c r="T34" i="23"/>
  <c r="P29" i="20"/>
  <c r="T24" i="25"/>
  <c r="P16" i="20"/>
  <c r="P34" i="19"/>
  <c r="D5" i="16"/>
  <c r="B16" i="28"/>
  <c r="D25" i="17"/>
  <c r="P24" i="13"/>
  <c r="B25" i="17"/>
  <c r="D13" i="16"/>
  <c r="B16" i="22"/>
  <c r="B13" i="16"/>
  <c r="T21" i="23"/>
  <c r="H13" i="14"/>
  <c r="H12" i="20"/>
  <c r="D16" i="16"/>
  <c r="P12" i="17"/>
  <c r="T34" i="20"/>
  <c r="D21" i="14"/>
  <c r="P13" i="23"/>
  <c r="P34" i="16"/>
  <c r="T16" i="19"/>
  <c r="T33" i="10"/>
  <c r="P20" i="7"/>
  <c r="P13" i="17"/>
  <c r="H13" i="8"/>
  <c r="B16" i="5"/>
  <c r="D34" i="13"/>
  <c r="D34" i="8"/>
  <c r="T22" i="5"/>
  <c r="H25" i="17"/>
  <c r="P24" i="10"/>
  <c r="D34" i="7"/>
  <c r="T22" i="4"/>
  <c r="T22" i="11"/>
  <c r="B25" i="7"/>
  <c r="P33" i="4"/>
  <c r="T34" i="11"/>
  <c r="H15" i="7"/>
  <c r="H34" i="10"/>
  <c r="B25" i="14"/>
  <c r="H13" i="10"/>
  <c r="H34" i="5"/>
  <c r="P13" i="46"/>
  <c r="B21" i="11"/>
  <c r="T20" i="7"/>
  <c r="D29" i="4"/>
  <c r="H12" i="5"/>
  <c r="D12" i="5"/>
  <c r="T15" i="5"/>
  <c r="B25" i="4"/>
  <c r="T33" i="20"/>
  <c r="P25" i="8"/>
  <c r="D15" i="20"/>
  <c r="B25" i="10"/>
  <c r="P13" i="5"/>
  <c r="P25" i="7"/>
  <c r="P20" i="8"/>
  <c r="P22" i="49"/>
  <c r="P21" i="34"/>
  <c r="D15" i="28"/>
  <c r="T24" i="19"/>
  <c r="D20" i="19"/>
  <c r="P34" i="17"/>
  <c r="H16" i="14"/>
  <c r="P16" i="11"/>
  <c r="H25" i="5"/>
  <c r="T25" i="8"/>
  <c r="T16" i="110"/>
  <c r="B22" i="111"/>
  <c r="P29" i="111"/>
  <c r="H33" i="52"/>
  <c r="H21" i="47"/>
  <c r="D29" i="50"/>
  <c r="H20" i="43"/>
  <c r="T34" i="47"/>
  <c r="T20" i="46"/>
  <c r="T15" i="40"/>
  <c r="T29" i="37"/>
  <c r="D34" i="43"/>
  <c r="H24" i="38"/>
  <c r="D13" i="35"/>
  <c r="H20" i="34"/>
  <c r="T22" i="40"/>
  <c r="B16" i="35"/>
  <c r="T13" i="34"/>
  <c r="D24" i="37"/>
  <c r="D20" i="31"/>
  <c r="D4" i="32"/>
  <c r="H20" i="28"/>
  <c r="D15" i="25"/>
  <c r="B39" i="19"/>
  <c r="D29" i="23"/>
  <c r="D24" i="23"/>
  <c r="B21" i="20"/>
  <c r="D21" i="23"/>
  <c r="P25" i="25"/>
  <c r="T33" i="19"/>
  <c r="T33" i="23"/>
  <c r="P25" i="20"/>
  <c r="P24" i="23"/>
  <c r="D12" i="20"/>
  <c r="P29" i="19"/>
  <c r="P24" i="14"/>
  <c r="P25" i="26"/>
  <c r="H21" i="17"/>
  <c r="P22" i="13"/>
  <c r="D24" i="17"/>
  <c r="P20" i="14"/>
  <c r="T25" i="20"/>
  <c r="H34" i="14"/>
  <c r="T16" i="20"/>
  <c r="D4" i="14"/>
  <c r="P22" i="19"/>
  <c r="T34" i="29"/>
  <c r="T34" i="16"/>
  <c r="T29" i="20"/>
  <c r="H15" i="14"/>
  <c r="T20" i="22"/>
  <c r="P33" i="16"/>
  <c r="H34" i="17"/>
  <c r="T29" i="10"/>
  <c r="P16" i="7"/>
  <c r="T20" i="16"/>
  <c r="D4" i="8"/>
  <c r="D15" i="5"/>
  <c r="T29" i="13"/>
  <c r="D33" i="8"/>
  <c r="P12" i="5"/>
  <c r="P20" i="16"/>
  <c r="P22" i="10"/>
  <c r="D33" i="7"/>
  <c r="P12" i="4"/>
  <c r="P21" i="11"/>
  <c r="D24" i="7"/>
  <c r="P29" i="4"/>
  <c r="P33" i="11"/>
  <c r="T22" i="28"/>
  <c r="H33" i="10"/>
  <c r="D15" i="14"/>
  <c r="D4" i="10"/>
  <c r="H33" i="5"/>
  <c r="T24" i="22"/>
  <c r="D20" i="11"/>
  <c r="T16" i="7"/>
  <c r="D25" i="4"/>
  <c r="H34" i="4"/>
  <c r="H25" i="4"/>
  <c r="D4" i="5"/>
  <c r="P21" i="4"/>
  <c r="B13" i="14"/>
  <c r="T21" i="8"/>
  <c r="T34" i="13"/>
  <c r="B16" i="8"/>
  <c r="H24" i="4"/>
  <c r="T21" i="7"/>
  <c r="P21" i="7"/>
  <c r="P12" i="50"/>
  <c r="T20" i="31"/>
  <c r="D4" i="22"/>
  <c r="T15" i="19"/>
  <c r="H29" i="14"/>
  <c r="P25" i="16"/>
  <c r="D25" i="8"/>
  <c r="D5" i="11"/>
  <c r="B22" i="10"/>
  <c r="D34" i="5"/>
  <c r="D4" i="112"/>
  <c r="D13" i="110"/>
  <c r="P34" i="110"/>
  <c r="T13" i="52"/>
  <c r="P13" i="50"/>
  <c r="T24" i="47"/>
  <c r="P24" i="46"/>
  <c r="P34" i="44"/>
  <c r="D12" i="44"/>
  <c r="D16" i="38"/>
  <c r="T34" i="52"/>
  <c r="B22" i="40"/>
  <c r="H33" i="37"/>
  <c r="D4" i="34"/>
  <c r="T21" i="38"/>
  <c r="P20" i="35"/>
  <c r="H12" i="32"/>
  <c r="D25" i="32"/>
  <c r="H34" i="31"/>
  <c r="P20" i="28"/>
  <c r="P16" i="29"/>
  <c r="T25" i="31"/>
  <c r="T21" i="26"/>
  <c r="T22" i="29"/>
  <c r="H24" i="22"/>
  <c r="D22" i="23"/>
  <c r="D20" i="20"/>
  <c r="H15" i="23"/>
  <c r="D22" i="25"/>
  <c r="T29" i="19"/>
  <c r="T29" i="23"/>
  <c r="T21" i="20"/>
  <c r="P22" i="23"/>
  <c r="P21" i="19"/>
  <c r="B39" i="17"/>
  <c r="P22" i="14"/>
  <c r="T21" i="25"/>
  <c r="D13" i="17"/>
  <c r="T20" i="13"/>
  <c r="D22" i="17"/>
  <c r="P16" i="14"/>
  <c r="T12" i="20"/>
  <c r="H33" i="14"/>
  <c r="P33" i="19"/>
  <c r="H34" i="13"/>
  <c r="T13" i="19"/>
  <c r="P34" i="26"/>
  <c r="T33" i="16"/>
  <c r="B16" i="20"/>
  <c r="B25" i="13"/>
  <c r="T13" i="22"/>
  <c r="P29" i="16"/>
  <c r="P15" i="17"/>
  <c r="T25" i="10"/>
  <c r="D12" i="7"/>
  <c r="T13" i="16"/>
  <c r="H34" i="7"/>
  <c r="T12" i="5"/>
  <c r="D25" i="11"/>
  <c r="D29" i="8"/>
  <c r="T34" i="4"/>
  <c r="T25" i="14"/>
  <c r="T20" i="10"/>
  <c r="D29" i="7"/>
  <c r="P12" i="22"/>
  <c r="P20" i="11"/>
  <c r="D22" i="7"/>
  <c r="P25" i="4"/>
  <c r="P15" i="11"/>
  <c r="D5" i="17"/>
  <c r="H29" i="10"/>
  <c r="D33" i="13"/>
  <c r="T24" i="8"/>
  <c r="H29" i="5"/>
  <c r="H34" i="20"/>
  <c r="D16" i="11"/>
  <c r="T13" i="7"/>
  <c r="H21" i="4"/>
  <c r="H22" i="4"/>
  <c r="D22" i="4"/>
  <c r="D20" i="10"/>
  <c r="T13" i="4"/>
  <c r="B16" i="13"/>
  <c r="T22" i="7"/>
  <c r="D4" i="13"/>
  <c r="T24" i="14"/>
  <c r="T20" i="4"/>
  <c r="D33" i="5"/>
  <c r="H12" i="7"/>
  <c r="T22" i="112"/>
  <c r="P15" i="37"/>
  <c r="T20" i="29"/>
  <c r="T25" i="19"/>
  <c r="T16" i="13"/>
  <c r="P29" i="25"/>
  <c r="B16" i="10"/>
  <c r="D25" i="7"/>
  <c r="H24" i="13"/>
  <c r="P15" i="4"/>
  <c r="H24" i="5"/>
  <c r="N18" i="55" l="1"/>
  <c r="H92" i="105"/>
  <c r="Z50" i="27"/>
  <c r="Z108" i="12"/>
  <c r="Z18" i="55"/>
  <c r="L25" i="105"/>
  <c r="N25" i="105"/>
  <c r="J25" i="105"/>
  <c r="Z28" i="36"/>
  <c r="V20" i="69"/>
  <c r="Z20" i="69"/>
  <c r="N25" i="45"/>
  <c r="N70" i="74"/>
  <c r="L18" i="58"/>
  <c r="N18" i="58" s="1"/>
  <c r="T84" i="97"/>
  <c r="N50" i="27"/>
  <c r="L47" i="51"/>
  <c r="N47" i="51" s="1"/>
  <c r="X18" i="55"/>
  <c r="X34" i="68"/>
  <c r="L47" i="76"/>
  <c r="X21" i="87"/>
  <c r="Z21" i="87" s="1"/>
  <c r="X34" i="24"/>
  <c r="H117" i="42"/>
  <c r="N18" i="88"/>
  <c r="V50" i="27"/>
  <c r="L25" i="82"/>
  <c r="Z47" i="51"/>
  <c r="N26" i="42"/>
  <c r="L18" i="63"/>
  <c r="X18" i="88"/>
  <c r="Z18" i="88" s="1"/>
  <c r="X22" i="94"/>
  <c r="Z22" i="94" s="1"/>
  <c r="T30" i="100"/>
  <c r="T34" i="100" s="1"/>
  <c r="X18" i="60"/>
  <c r="Z18" i="60" s="1"/>
  <c r="N23" i="79"/>
  <c r="L21" i="93"/>
  <c r="L18" i="99"/>
  <c r="N18" i="99" s="1"/>
  <c r="L18" i="100"/>
  <c r="L126" i="18"/>
  <c r="T248" i="3"/>
  <c r="L18" i="55"/>
  <c r="X20" i="69"/>
  <c r="D63" i="69"/>
  <c r="N21" i="72"/>
  <c r="X18" i="100"/>
  <c r="X19" i="9"/>
  <c r="Z19" i="9" s="1"/>
  <c r="Z26" i="21"/>
  <c r="H88" i="68"/>
  <c r="Z18" i="100"/>
  <c r="Z18" i="102"/>
  <c r="Z15" i="4"/>
  <c r="N20" i="4"/>
  <c r="J36" i="7"/>
  <c r="J34" i="7"/>
  <c r="J33" i="7"/>
  <c r="J31" i="7"/>
  <c r="J29" i="7"/>
  <c r="J27" i="7"/>
  <c r="J25" i="7"/>
  <c r="J24" i="7"/>
  <c r="J22" i="7"/>
  <c r="J21" i="7"/>
  <c r="J20" i="7"/>
  <c r="J18" i="7"/>
  <c r="J16" i="7"/>
  <c r="H18" i="7"/>
  <c r="J15" i="7"/>
  <c r="N12" i="7"/>
  <c r="X21" i="7"/>
  <c r="X20" i="8"/>
  <c r="L24" i="10"/>
  <c r="N21" i="14"/>
  <c r="X16" i="16"/>
  <c r="N29" i="17"/>
  <c r="L13" i="5"/>
  <c r="X16" i="5"/>
  <c r="L21" i="5"/>
  <c r="N24" i="5"/>
  <c r="L33" i="5"/>
  <c r="Z21" i="7"/>
  <c r="X25" i="7"/>
  <c r="Z20" i="8"/>
  <c r="X24" i="8"/>
  <c r="N33" i="11"/>
  <c r="X21" i="16"/>
  <c r="L29" i="5"/>
  <c r="Z34" i="8"/>
  <c r="Z20" i="4"/>
  <c r="N24" i="4"/>
  <c r="X13" i="5"/>
  <c r="X13" i="7"/>
  <c r="F36" i="8"/>
  <c r="F34" i="8"/>
  <c r="F33" i="8"/>
  <c r="F31" i="8"/>
  <c r="F29" i="8"/>
  <c r="F27" i="8"/>
  <c r="F25" i="8"/>
  <c r="F24" i="8"/>
  <c r="F22" i="8"/>
  <c r="F21" i="8"/>
  <c r="F20" i="8"/>
  <c r="F18" i="8"/>
  <c r="F16" i="8"/>
  <c r="D18" i="8"/>
  <c r="F15" i="8"/>
  <c r="L12" i="8"/>
  <c r="X16" i="8"/>
  <c r="L13" i="10"/>
  <c r="L25" i="10"/>
  <c r="L33" i="10"/>
  <c r="N20" i="11"/>
  <c r="Z24" i="14"/>
  <c r="N13" i="4"/>
  <c r="N15" i="5"/>
  <c r="X21" i="5"/>
  <c r="L25" i="5"/>
  <c r="X33" i="7"/>
  <c r="Z16" i="8"/>
  <c r="L15" i="11"/>
  <c r="Z34" i="13"/>
  <c r="L15" i="20"/>
  <c r="X24" i="22"/>
  <c r="N12" i="4"/>
  <c r="J36" i="4"/>
  <c r="J34" i="4"/>
  <c r="J33" i="4"/>
  <c r="J31" i="4"/>
  <c r="J29" i="4"/>
  <c r="J27" i="4"/>
  <c r="J25" i="4"/>
  <c r="J20" i="4"/>
  <c r="J18" i="4"/>
  <c r="J16" i="4"/>
  <c r="J15" i="4"/>
  <c r="H18" i="4"/>
  <c r="J21" i="4"/>
  <c r="J24" i="4"/>
  <c r="J22" i="4"/>
  <c r="N21" i="5"/>
  <c r="X34" i="8"/>
  <c r="L24" i="4"/>
  <c r="Z16" i="4"/>
  <c r="N33" i="4"/>
  <c r="L34" i="5"/>
  <c r="Z22" i="7"/>
  <c r="Z21" i="8"/>
  <c r="X25" i="8"/>
  <c r="N15" i="11"/>
  <c r="L21" i="11"/>
  <c r="V20" i="13"/>
  <c r="V18" i="13"/>
  <c r="V16" i="13"/>
  <c r="T18" i="13"/>
  <c r="V15" i="13"/>
  <c r="Z12" i="13"/>
  <c r="V29" i="13"/>
  <c r="V33" i="13"/>
  <c r="V21" i="13"/>
  <c r="V36" i="13"/>
  <c r="V24" i="13"/>
  <c r="V27" i="13"/>
  <c r="V31" i="13"/>
  <c r="V34" i="13"/>
  <c r="V22" i="13"/>
  <c r="V25" i="13"/>
  <c r="X33" i="14"/>
  <c r="Z15" i="20"/>
  <c r="X24" i="4"/>
  <c r="N21" i="10"/>
  <c r="L34" i="10"/>
  <c r="N21" i="11"/>
  <c r="Z33" i="20"/>
  <c r="X29" i="26"/>
  <c r="N16" i="4"/>
  <c r="P18" i="7"/>
  <c r="R15" i="7"/>
  <c r="R21" i="7"/>
  <c r="R34" i="7"/>
  <c r="R29" i="7"/>
  <c r="X12" i="7"/>
  <c r="R24" i="7"/>
  <c r="R20" i="7"/>
  <c r="R33" i="7"/>
  <c r="R27" i="7"/>
  <c r="R25" i="7"/>
  <c r="R22" i="7"/>
  <c r="R18" i="7"/>
  <c r="R31" i="7"/>
  <c r="R16" i="7"/>
  <c r="R36" i="7"/>
  <c r="V31" i="11"/>
  <c r="V20" i="11"/>
  <c r="V18" i="11"/>
  <c r="V16" i="11"/>
  <c r="V33" i="11"/>
  <c r="V21" i="11"/>
  <c r="T18" i="11"/>
  <c r="V15" i="11"/>
  <c r="V22" i="11"/>
  <c r="V34" i="11"/>
  <c r="V24" i="11"/>
  <c r="V36" i="11"/>
  <c r="V25" i="11"/>
  <c r="V29" i="11"/>
  <c r="Z12" i="11"/>
  <c r="V27" i="11"/>
  <c r="X25" i="11"/>
  <c r="X13" i="4"/>
  <c r="L20" i="7"/>
  <c r="Z12" i="8"/>
  <c r="V36" i="8"/>
  <c r="V34" i="8"/>
  <c r="V33" i="8"/>
  <c r="V31" i="8"/>
  <c r="V29" i="8"/>
  <c r="V27" i="8"/>
  <c r="V25" i="8"/>
  <c r="V21" i="8"/>
  <c r="V22" i="8"/>
  <c r="V18" i="8"/>
  <c r="T18" i="8"/>
  <c r="V16" i="8"/>
  <c r="V24" i="8"/>
  <c r="V20" i="8"/>
  <c r="V15" i="8"/>
  <c r="Z25" i="8"/>
  <c r="Z13" i="4"/>
  <c r="X21" i="4"/>
  <c r="N29" i="4"/>
  <c r="N22" i="5"/>
  <c r="Z15" i="7"/>
  <c r="L16" i="10"/>
  <c r="Z29" i="11"/>
  <c r="Z24" i="23"/>
  <c r="L20" i="10"/>
  <c r="Z15" i="5"/>
  <c r="X29" i="7"/>
  <c r="X34" i="7"/>
  <c r="Z13" i="8"/>
  <c r="X22" i="8"/>
  <c r="N16" i="10"/>
  <c r="L22" i="10"/>
  <c r="N22" i="11"/>
  <c r="N13" i="5"/>
  <c r="N20" i="10"/>
  <c r="L22" i="4"/>
  <c r="N25" i="4"/>
  <c r="D18" i="5"/>
  <c r="F15" i="5"/>
  <c r="L12" i="5"/>
  <c r="F21" i="5"/>
  <c r="F27" i="5"/>
  <c r="F18" i="5"/>
  <c r="F16" i="5"/>
  <c r="F31" i="5"/>
  <c r="F20" i="5"/>
  <c r="F34" i="5"/>
  <c r="F22" i="5"/>
  <c r="F25" i="5"/>
  <c r="F33" i="5"/>
  <c r="F29" i="5"/>
  <c r="F36" i="5"/>
  <c r="F24" i="5"/>
  <c r="Z24" i="7"/>
  <c r="X33" i="8"/>
  <c r="L29" i="10"/>
  <c r="N16" i="11"/>
  <c r="X22" i="4"/>
  <c r="X29" i="8"/>
  <c r="Z29" i="8"/>
  <c r="X15" i="4"/>
  <c r="N22" i="4"/>
  <c r="N34" i="4"/>
  <c r="N12" i="5"/>
  <c r="J24" i="5"/>
  <c r="J22" i="5"/>
  <c r="H18" i="5"/>
  <c r="J15" i="5"/>
  <c r="J16" i="5"/>
  <c r="J31" i="5"/>
  <c r="J33" i="5"/>
  <c r="J20" i="5"/>
  <c r="J34" i="5"/>
  <c r="J25" i="5"/>
  <c r="J29" i="5"/>
  <c r="J21" i="5"/>
  <c r="J18" i="5"/>
  <c r="J36" i="5"/>
  <c r="J27" i="5"/>
  <c r="X20" i="5"/>
  <c r="L16" i="7"/>
  <c r="L15" i="8"/>
  <c r="Z33" i="8"/>
  <c r="N24" i="11"/>
  <c r="Z22" i="13"/>
  <c r="Z15" i="16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J24" i="8"/>
  <c r="J22" i="8"/>
  <c r="J21" i="8"/>
  <c r="J20" i="8"/>
  <c r="J18" i="8"/>
  <c r="J16" i="8"/>
  <c r="H18" i="8"/>
  <c r="J15" i="8"/>
  <c r="J33" i="8"/>
  <c r="J27" i="8"/>
  <c r="N12" i="8"/>
  <c r="J36" i="8"/>
  <c r="J31" i="8"/>
  <c r="J25" i="8"/>
  <c r="J34" i="8"/>
  <c r="J29" i="8"/>
  <c r="X13" i="8"/>
  <c r="Z15" i="8"/>
  <c r="X21" i="8"/>
  <c r="N15" i="10"/>
  <c r="L21" i="10"/>
  <c r="L16" i="11"/>
  <c r="L20" i="11"/>
  <c r="L33" i="11"/>
  <c r="N34" i="11"/>
  <c r="R24" i="13"/>
  <c r="R22" i="13"/>
  <c r="R21" i="13"/>
  <c r="R20" i="13"/>
  <c r="R18" i="13"/>
  <c r="R16" i="13"/>
  <c r="P18" i="13"/>
  <c r="R15" i="13"/>
  <c r="R34" i="13"/>
  <c r="R25" i="13"/>
  <c r="R29" i="13"/>
  <c r="R33" i="13"/>
  <c r="R36" i="13"/>
  <c r="R27" i="13"/>
  <c r="X12" i="13"/>
  <c r="R31" i="13"/>
  <c r="L16" i="13"/>
  <c r="L13" i="14"/>
  <c r="L33" i="14"/>
  <c r="Z15" i="17"/>
  <c r="X21" i="17"/>
  <c r="X15" i="20"/>
  <c r="N34" i="20"/>
  <c r="Z24" i="22"/>
  <c r="X13" i="46"/>
  <c r="Z21" i="14"/>
  <c r="L29" i="14"/>
  <c r="X16" i="17"/>
  <c r="F20" i="4"/>
  <c r="F18" i="4"/>
  <c r="F16" i="4"/>
  <c r="D18" i="4"/>
  <c r="F15" i="4"/>
  <c r="F24" i="4"/>
  <c r="F22" i="4"/>
  <c r="F34" i="4"/>
  <c r="F36" i="4"/>
  <c r="L12" i="4"/>
  <c r="F25" i="4"/>
  <c r="F29" i="4"/>
  <c r="F33" i="4"/>
  <c r="F21" i="4"/>
  <c r="F27" i="4"/>
  <c r="F31" i="4"/>
  <c r="X16" i="4"/>
  <c r="X20" i="4"/>
  <c r="X15" i="5"/>
  <c r="N25" i="5"/>
  <c r="N29" i="5"/>
  <c r="N33" i="5"/>
  <c r="N34" i="5"/>
  <c r="Z12" i="7"/>
  <c r="V24" i="7"/>
  <c r="V22" i="7"/>
  <c r="T18" i="7"/>
  <c r="V15" i="7"/>
  <c r="V34" i="7"/>
  <c r="V29" i="7"/>
  <c r="V21" i="7"/>
  <c r="V36" i="7"/>
  <c r="V20" i="7"/>
  <c r="V33" i="7"/>
  <c r="V27" i="7"/>
  <c r="V31" i="7"/>
  <c r="V18" i="7"/>
  <c r="V25" i="7"/>
  <c r="V16" i="7"/>
  <c r="L15" i="7"/>
  <c r="Z25" i="7"/>
  <c r="Z29" i="7"/>
  <c r="Z33" i="7"/>
  <c r="Z34" i="7"/>
  <c r="X12" i="8"/>
  <c r="R36" i="8"/>
  <c r="R34" i="8"/>
  <c r="R33" i="8"/>
  <c r="R31" i="8"/>
  <c r="R29" i="8"/>
  <c r="R27" i="8"/>
  <c r="R25" i="8"/>
  <c r="R20" i="8"/>
  <c r="R18" i="8"/>
  <c r="R16" i="8"/>
  <c r="R22" i="8"/>
  <c r="P18" i="8"/>
  <c r="R24" i="8"/>
  <c r="R21" i="8"/>
  <c r="R15" i="8"/>
  <c r="Z22" i="8"/>
  <c r="Z24" i="8"/>
  <c r="N13" i="10"/>
  <c r="N22" i="10"/>
  <c r="N24" i="10"/>
  <c r="L13" i="11"/>
  <c r="Z25" i="11"/>
  <c r="X34" i="11"/>
  <c r="L13" i="13"/>
  <c r="N24" i="13"/>
  <c r="L33" i="13"/>
  <c r="L15" i="14"/>
  <c r="X29" i="14"/>
  <c r="Z33" i="14"/>
  <c r="Z16" i="16"/>
  <c r="X22" i="16"/>
  <c r="X20" i="34"/>
  <c r="X15" i="10"/>
  <c r="N25" i="10"/>
  <c r="N29" i="10"/>
  <c r="N33" i="10"/>
  <c r="N34" i="10"/>
  <c r="N13" i="11"/>
  <c r="Z24" i="11"/>
  <c r="L29" i="11"/>
  <c r="N13" i="13"/>
  <c r="N21" i="13"/>
  <c r="Z24" i="13"/>
  <c r="L25" i="14"/>
  <c r="F36" i="16"/>
  <c r="F34" i="16"/>
  <c r="F33" i="16"/>
  <c r="F31" i="16"/>
  <c r="F29" i="16"/>
  <c r="F27" i="16"/>
  <c r="F25" i="16"/>
  <c r="F24" i="16"/>
  <c r="F22" i="16"/>
  <c r="F21" i="16"/>
  <c r="F20" i="16"/>
  <c r="F18" i="16"/>
  <c r="F16" i="16"/>
  <c r="D18" i="16"/>
  <c r="F15" i="16"/>
  <c r="L12" i="16"/>
  <c r="Z22" i="28"/>
  <c r="N15" i="7"/>
  <c r="L21" i="7"/>
  <c r="L16" i="8"/>
  <c r="L20" i="8"/>
  <c r="L12" i="10"/>
  <c r="F36" i="10"/>
  <c r="F34" i="10"/>
  <c r="F33" i="10"/>
  <c r="F31" i="10"/>
  <c r="F29" i="10"/>
  <c r="F27" i="10"/>
  <c r="F25" i="10"/>
  <c r="F20" i="10"/>
  <c r="F18" i="10"/>
  <c r="F16" i="10"/>
  <c r="D18" i="10"/>
  <c r="F22" i="10"/>
  <c r="F21" i="10"/>
  <c r="F15" i="10"/>
  <c r="F24" i="10"/>
  <c r="X16" i="10"/>
  <c r="X20" i="10"/>
  <c r="X15" i="11"/>
  <c r="X33" i="11"/>
  <c r="Z34" i="11"/>
  <c r="L29" i="13"/>
  <c r="L22" i="14"/>
  <c r="X25" i="14"/>
  <c r="Z29" i="14"/>
  <c r="L34" i="14"/>
  <c r="J24" i="16"/>
  <c r="J22" i="16"/>
  <c r="J21" i="16"/>
  <c r="J20" i="16"/>
  <c r="J18" i="16"/>
  <c r="J16" i="16"/>
  <c r="H18" i="16"/>
  <c r="J15" i="16"/>
  <c r="N12" i="16"/>
  <c r="J34" i="16"/>
  <c r="J27" i="16"/>
  <c r="J33" i="16"/>
  <c r="J25" i="16"/>
  <c r="J31" i="16"/>
  <c r="J36" i="16"/>
  <c r="J29" i="16"/>
  <c r="F36" i="17"/>
  <c r="F34" i="17"/>
  <c r="F33" i="17"/>
  <c r="F31" i="17"/>
  <c r="F29" i="17"/>
  <c r="F27" i="17"/>
  <c r="F25" i="17"/>
  <c r="F24" i="17"/>
  <c r="F22" i="17"/>
  <c r="F21" i="17"/>
  <c r="F20" i="17"/>
  <c r="F18" i="17"/>
  <c r="F16" i="17"/>
  <c r="D18" i="17"/>
  <c r="F15" i="17"/>
  <c r="L12" i="17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N12" i="23"/>
  <c r="Z21" i="4"/>
  <c r="X25" i="4"/>
  <c r="X29" i="4"/>
  <c r="X33" i="4"/>
  <c r="X34" i="4"/>
  <c r="Z13" i="5"/>
  <c r="Z16" i="5"/>
  <c r="Z20" i="5"/>
  <c r="X22" i="5"/>
  <c r="X24" i="5"/>
  <c r="N16" i="7"/>
  <c r="N20" i="7"/>
  <c r="L22" i="7"/>
  <c r="L24" i="7"/>
  <c r="N15" i="8"/>
  <c r="L21" i="8"/>
  <c r="N12" i="10"/>
  <c r="J36" i="10"/>
  <c r="J34" i="10"/>
  <c r="J33" i="10"/>
  <c r="J31" i="10"/>
  <c r="J29" i="10"/>
  <c r="J27" i="10"/>
  <c r="J25" i="10"/>
  <c r="J24" i="10"/>
  <c r="J22" i="10"/>
  <c r="J21" i="10"/>
  <c r="J16" i="10"/>
  <c r="J15" i="10"/>
  <c r="J20" i="10"/>
  <c r="J18" i="10"/>
  <c r="H18" i="10"/>
  <c r="X13" i="10"/>
  <c r="Z15" i="10"/>
  <c r="X21" i="10"/>
  <c r="F21" i="11"/>
  <c r="F24" i="11"/>
  <c r="F36" i="11"/>
  <c r="F25" i="11"/>
  <c r="L12" i="11"/>
  <c r="F27" i="11"/>
  <c r="F29" i="11"/>
  <c r="F31" i="11"/>
  <c r="F22" i="11"/>
  <c r="D18" i="11"/>
  <c r="F15" i="11"/>
  <c r="F34" i="11"/>
  <c r="F16" i="11"/>
  <c r="F20" i="11"/>
  <c r="F33" i="11"/>
  <c r="F18" i="11"/>
  <c r="X16" i="11"/>
  <c r="X20" i="11"/>
  <c r="X21" i="11"/>
  <c r="Z22" i="11"/>
  <c r="N29" i="11"/>
  <c r="L15" i="13"/>
  <c r="Z33" i="13"/>
  <c r="X34" i="14"/>
  <c r="X24" i="16"/>
  <c r="J21" i="17"/>
  <c r="J20" i="17"/>
  <c r="J18" i="17"/>
  <c r="J16" i="17"/>
  <c r="H18" i="17"/>
  <c r="J15" i="17"/>
  <c r="N12" i="17"/>
  <c r="J33" i="17"/>
  <c r="J25" i="17"/>
  <c r="J31" i="17"/>
  <c r="J24" i="17"/>
  <c r="J36" i="17"/>
  <c r="J29" i="17"/>
  <c r="J27" i="17"/>
  <c r="J22" i="17"/>
  <c r="J34" i="17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F15" i="19"/>
  <c r="D18" i="19"/>
  <c r="L12" i="19"/>
  <c r="R20" i="22"/>
  <c r="R18" i="22"/>
  <c r="R16" i="22"/>
  <c r="P18" i="22"/>
  <c r="R15" i="22"/>
  <c r="X12" i="22"/>
  <c r="R24" i="22"/>
  <c r="R22" i="22"/>
  <c r="R36" i="22"/>
  <c r="R29" i="22"/>
  <c r="R34" i="22"/>
  <c r="R27" i="22"/>
  <c r="R21" i="22"/>
  <c r="R33" i="22"/>
  <c r="R25" i="22"/>
  <c r="R31" i="22"/>
  <c r="X12" i="4"/>
  <c r="R36" i="4"/>
  <c r="R34" i="4"/>
  <c r="R33" i="4"/>
  <c r="R31" i="4"/>
  <c r="R29" i="4"/>
  <c r="R27" i="4"/>
  <c r="R25" i="4"/>
  <c r="R24" i="4"/>
  <c r="R22" i="4"/>
  <c r="P18" i="4"/>
  <c r="R15" i="4"/>
  <c r="R20" i="4"/>
  <c r="R18" i="4"/>
  <c r="R21" i="4"/>
  <c r="R16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Z13" i="10"/>
  <c r="Z16" i="10"/>
  <c r="Z20" i="10"/>
  <c r="X22" i="10"/>
  <c r="X24" i="10"/>
  <c r="J27" i="11"/>
  <c r="N12" i="11"/>
  <c r="J29" i="11"/>
  <c r="J31" i="11"/>
  <c r="J33" i="11"/>
  <c r="J21" i="11"/>
  <c r="J20" i="11"/>
  <c r="J18" i="11"/>
  <c r="J16" i="11"/>
  <c r="J24" i="11"/>
  <c r="J34" i="11"/>
  <c r="J22" i="11"/>
  <c r="J15" i="11"/>
  <c r="J25" i="11"/>
  <c r="J36" i="11"/>
  <c r="H18" i="11"/>
  <c r="X13" i="11"/>
  <c r="Z15" i="11"/>
  <c r="Z21" i="11"/>
  <c r="Z33" i="11"/>
  <c r="L25" i="13"/>
  <c r="N20" i="14"/>
  <c r="Z25" i="14"/>
  <c r="X20" i="16"/>
  <c r="N25" i="17"/>
  <c r="N33" i="17"/>
  <c r="Z12" i="22"/>
  <c r="V36" i="22"/>
  <c r="V34" i="22"/>
  <c r="V33" i="22"/>
  <c r="V31" i="22"/>
  <c r="V29" i="22"/>
  <c r="V27" i="22"/>
  <c r="V25" i="22"/>
  <c r="V20" i="22"/>
  <c r="V18" i="22"/>
  <c r="V16" i="22"/>
  <c r="V22" i="22"/>
  <c r="V21" i="22"/>
  <c r="V15" i="22"/>
  <c r="T18" i="22"/>
  <c r="V24" i="22"/>
  <c r="P18" i="23"/>
  <c r="R15" i="23"/>
  <c r="X12" i="23"/>
  <c r="R21" i="23"/>
  <c r="R36" i="23"/>
  <c r="R29" i="23"/>
  <c r="R22" i="23"/>
  <c r="R16" i="23"/>
  <c r="R34" i="23"/>
  <c r="R27" i="23"/>
  <c r="R33" i="23"/>
  <c r="R25" i="23"/>
  <c r="R20" i="23"/>
  <c r="R18" i="23"/>
  <c r="R31" i="23"/>
  <c r="R24" i="23"/>
  <c r="Z12" i="4"/>
  <c r="V36" i="4"/>
  <c r="V34" i="4"/>
  <c r="V33" i="4"/>
  <c r="V31" i="4"/>
  <c r="V29" i="4"/>
  <c r="V27" i="4"/>
  <c r="V25" i="4"/>
  <c r="V24" i="4"/>
  <c r="V22" i="4"/>
  <c r="V21" i="4"/>
  <c r="V20" i="4"/>
  <c r="V18" i="4"/>
  <c r="V16" i="4"/>
  <c r="T18" i="4"/>
  <c r="V15" i="4"/>
  <c r="L15" i="4"/>
  <c r="Z25" i="4"/>
  <c r="Z29" i="4"/>
  <c r="Z33" i="4"/>
  <c r="Z34" i="4"/>
  <c r="X12" i="5"/>
  <c r="R36" i="5"/>
  <c r="R34" i="5"/>
  <c r="R33" i="5"/>
  <c r="R31" i="5"/>
  <c r="R29" i="5"/>
  <c r="R27" i="5"/>
  <c r="R25" i="5"/>
  <c r="R24" i="5"/>
  <c r="R22" i="5"/>
  <c r="R21" i="5"/>
  <c r="R15" i="5"/>
  <c r="R18" i="5"/>
  <c r="P18" i="5"/>
  <c r="R16" i="5"/>
  <c r="R20" i="5"/>
  <c r="Z22" i="5"/>
  <c r="Z24" i="5"/>
  <c r="N13" i="7"/>
  <c r="N22" i="7"/>
  <c r="N24" i="7"/>
  <c r="L13" i="8"/>
  <c r="N21" i="8"/>
  <c r="L25" i="8"/>
  <c r="L29" i="8"/>
  <c r="L33" i="8"/>
  <c r="L34" i="8"/>
  <c r="Z21" i="10"/>
  <c r="X25" i="10"/>
  <c r="X29" i="10"/>
  <c r="X33" i="10"/>
  <c r="X34" i="10"/>
  <c r="Z13" i="11"/>
  <c r="Z16" i="11"/>
  <c r="Z20" i="11"/>
  <c r="L25" i="11"/>
  <c r="Z29" i="13"/>
  <c r="L34" i="13"/>
  <c r="Z22" i="14"/>
  <c r="Z34" i="14"/>
  <c r="X13" i="16"/>
  <c r="X20" i="17"/>
  <c r="L16" i="19"/>
  <c r="L16" i="4"/>
  <c r="L20" i="4"/>
  <c r="V36" i="5"/>
  <c r="V34" i="5"/>
  <c r="V33" i="5"/>
  <c r="V31" i="5"/>
  <c r="V29" i="5"/>
  <c r="V27" i="5"/>
  <c r="V25" i="5"/>
  <c r="V24" i="5"/>
  <c r="V22" i="5"/>
  <c r="V21" i="5"/>
  <c r="V20" i="5"/>
  <c r="V18" i="5"/>
  <c r="V16" i="5"/>
  <c r="T18" i="5"/>
  <c r="V15" i="5"/>
  <c r="Z12" i="5"/>
  <c r="L15" i="5"/>
  <c r="Z25" i="5"/>
  <c r="Z29" i="5"/>
  <c r="Z33" i="5"/>
  <c r="Z34" i="5"/>
  <c r="X15" i="7"/>
  <c r="N25" i="7"/>
  <c r="N29" i="7"/>
  <c r="N33" i="7"/>
  <c r="N34" i="7"/>
  <c r="N13" i="8"/>
  <c r="N22" i="8"/>
  <c r="N24" i="8"/>
  <c r="R36" i="10"/>
  <c r="R34" i="10"/>
  <c r="R33" i="10"/>
  <c r="R31" i="10"/>
  <c r="R29" i="10"/>
  <c r="R27" i="10"/>
  <c r="R25" i="10"/>
  <c r="R24" i="10"/>
  <c r="R22" i="10"/>
  <c r="R21" i="10"/>
  <c r="R20" i="10"/>
  <c r="R18" i="10"/>
  <c r="R16" i="10"/>
  <c r="P18" i="10"/>
  <c r="R15" i="10"/>
  <c r="X12" i="10"/>
  <c r="Z22" i="10"/>
  <c r="Z24" i="10"/>
  <c r="X29" i="11"/>
  <c r="R21" i="14"/>
  <c r="R20" i="14"/>
  <c r="R18" i="14"/>
  <c r="R16" i="14"/>
  <c r="P18" i="14"/>
  <c r="R15" i="14"/>
  <c r="X12" i="14"/>
  <c r="R31" i="14"/>
  <c r="R34" i="14"/>
  <c r="R22" i="14"/>
  <c r="R25" i="14"/>
  <c r="R29" i="14"/>
  <c r="R33" i="14"/>
  <c r="R36" i="14"/>
  <c r="R24" i="14"/>
  <c r="R27" i="14"/>
  <c r="N16" i="14"/>
  <c r="Z13" i="16"/>
  <c r="Z20" i="16"/>
  <c r="X13" i="17"/>
  <c r="X16" i="19"/>
  <c r="N29" i="20"/>
  <c r="N15" i="4"/>
  <c r="L21" i="4"/>
  <c r="L16" i="5"/>
  <c r="L20" i="5"/>
  <c r="F36" i="7"/>
  <c r="F34" i="7"/>
  <c r="F33" i="7"/>
  <c r="F31" i="7"/>
  <c r="F29" i="7"/>
  <c r="F27" i="7"/>
  <c r="F25" i="7"/>
  <c r="F24" i="7"/>
  <c r="F22" i="7"/>
  <c r="F21" i="7"/>
  <c r="F20" i="7"/>
  <c r="F18" i="7"/>
  <c r="F16" i="7"/>
  <c r="L12" i="7"/>
  <c r="D18" i="7"/>
  <c r="F15" i="7"/>
  <c r="X16" i="7"/>
  <c r="X20" i="7"/>
  <c r="X15" i="8"/>
  <c r="N25" i="8"/>
  <c r="N29" i="8"/>
  <c r="N33" i="8"/>
  <c r="N34" i="8"/>
  <c r="V24" i="10"/>
  <c r="V22" i="10"/>
  <c r="V21" i="10"/>
  <c r="V20" i="10"/>
  <c r="V18" i="10"/>
  <c r="V16" i="10"/>
  <c r="T18" i="10"/>
  <c r="V15" i="10"/>
  <c r="Z12" i="10"/>
  <c r="V36" i="10"/>
  <c r="V29" i="10"/>
  <c r="V34" i="10"/>
  <c r="V27" i="10"/>
  <c r="V33" i="10"/>
  <c r="V25" i="10"/>
  <c r="V31" i="10"/>
  <c r="L15" i="10"/>
  <c r="Z25" i="10"/>
  <c r="Z29" i="10"/>
  <c r="Z33" i="10"/>
  <c r="Z34" i="10"/>
  <c r="R21" i="11"/>
  <c r="R29" i="11"/>
  <c r="R31" i="11"/>
  <c r="R20" i="11"/>
  <c r="R18" i="11"/>
  <c r="R16" i="11"/>
  <c r="R33" i="11"/>
  <c r="P18" i="11"/>
  <c r="R15" i="11"/>
  <c r="R22" i="11"/>
  <c r="R34" i="11"/>
  <c r="R24" i="11"/>
  <c r="R27" i="11"/>
  <c r="X12" i="11"/>
  <c r="R36" i="11"/>
  <c r="R25" i="11"/>
  <c r="N25" i="11"/>
  <c r="L34" i="11"/>
  <c r="L20" i="13"/>
  <c r="N22" i="13"/>
  <c r="Z25" i="13"/>
  <c r="T18" i="14"/>
  <c r="V15" i="14"/>
  <c r="Z12" i="14"/>
  <c r="V36" i="14"/>
  <c r="V34" i="14"/>
  <c r="V33" i="14"/>
  <c r="V31" i="14"/>
  <c r="V29" i="14"/>
  <c r="V27" i="14"/>
  <c r="V25" i="14"/>
  <c r="V22" i="14"/>
  <c r="V20" i="14"/>
  <c r="V18" i="14"/>
  <c r="V21" i="14"/>
  <c r="V24" i="14"/>
  <c r="V16" i="14"/>
  <c r="L24" i="14"/>
  <c r="X15" i="17"/>
  <c r="N34" i="17"/>
  <c r="Z16" i="19"/>
  <c r="N15" i="26"/>
  <c r="N15" i="13"/>
  <c r="L21" i="13"/>
  <c r="L16" i="14"/>
  <c r="L20" i="14"/>
  <c r="Z21" i="16"/>
  <c r="X25" i="16"/>
  <c r="X29" i="16"/>
  <c r="X33" i="16"/>
  <c r="X34" i="16"/>
  <c r="Z13" i="17"/>
  <c r="Z16" i="17"/>
  <c r="Z20" i="17"/>
  <c r="X22" i="17"/>
  <c r="X24" i="17"/>
  <c r="Z21" i="19"/>
  <c r="X25" i="19"/>
  <c r="Z20" i="20"/>
  <c r="X24" i="20"/>
  <c r="Z13" i="22"/>
  <c r="Z20" i="22"/>
  <c r="X13" i="23"/>
  <c r="Z13" i="25"/>
  <c r="Z34" i="34"/>
  <c r="X22" i="11"/>
  <c r="X24" i="11"/>
  <c r="N16" i="13"/>
  <c r="N20" i="13"/>
  <c r="L22" i="13"/>
  <c r="L24" i="13"/>
  <c r="N15" i="14"/>
  <c r="L21" i="14"/>
  <c r="X12" i="16"/>
  <c r="R36" i="16"/>
  <c r="R34" i="16"/>
  <c r="R33" i="16"/>
  <c r="R31" i="16"/>
  <c r="R29" i="16"/>
  <c r="R27" i="16"/>
  <c r="R25" i="16"/>
  <c r="R24" i="16"/>
  <c r="R22" i="16"/>
  <c r="R15" i="16"/>
  <c r="R20" i="16"/>
  <c r="R18" i="16"/>
  <c r="P18" i="16"/>
  <c r="R16" i="16"/>
  <c r="R21" i="16"/>
  <c r="Z22" i="16"/>
  <c r="Z24" i="16"/>
  <c r="Z21" i="17"/>
  <c r="X25" i="17"/>
  <c r="X29" i="17"/>
  <c r="X33" i="17"/>
  <c r="X34" i="17"/>
  <c r="Z29" i="20"/>
  <c r="Z34" i="20"/>
  <c r="X25" i="23"/>
  <c r="X33" i="23"/>
  <c r="L20" i="26"/>
  <c r="N24" i="44"/>
  <c r="Z12" i="16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T18" i="16"/>
  <c r="V15" i="16"/>
  <c r="L15" i="16"/>
  <c r="Z25" i="16"/>
  <c r="Z29" i="16"/>
  <c r="Z33" i="16"/>
  <c r="Z34" i="16"/>
  <c r="X12" i="17"/>
  <c r="R36" i="17"/>
  <c r="R34" i="17"/>
  <c r="R33" i="17"/>
  <c r="R31" i="17"/>
  <c r="R29" i="17"/>
  <c r="R27" i="17"/>
  <c r="R25" i="17"/>
  <c r="R24" i="17"/>
  <c r="R22" i="17"/>
  <c r="R21" i="17"/>
  <c r="R20" i="17"/>
  <c r="R18" i="17"/>
  <c r="P18" i="17"/>
  <c r="R16" i="17"/>
  <c r="R15" i="17"/>
  <c r="Z22" i="17"/>
  <c r="Z24" i="17"/>
  <c r="N25" i="20"/>
  <c r="L15" i="22"/>
  <c r="Z25" i="22"/>
  <c r="Z33" i="22"/>
  <c r="N15" i="25"/>
  <c r="X29" i="25"/>
  <c r="X34" i="26"/>
  <c r="Z34" i="29"/>
  <c r="L16" i="16"/>
  <c r="L20" i="16"/>
  <c r="Z12" i="17"/>
  <c r="V36" i="17"/>
  <c r="V34" i="17"/>
  <c r="V33" i="17"/>
  <c r="V31" i="17"/>
  <c r="V29" i="17"/>
  <c r="V27" i="17"/>
  <c r="V25" i="17"/>
  <c r="V24" i="17"/>
  <c r="V22" i="17"/>
  <c r="V21" i="17"/>
  <c r="V20" i="17"/>
  <c r="V18" i="17"/>
  <c r="V16" i="17"/>
  <c r="T18" i="17"/>
  <c r="V15" i="17"/>
  <c r="L15" i="17"/>
  <c r="Z25" i="17"/>
  <c r="Z29" i="17"/>
  <c r="Z33" i="17"/>
  <c r="Z34" i="17"/>
  <c r="Z13" i="19"/>
  <c r="X22" i="19"/>
  <c r="J21" i="20"/>
  <c r="J20" i="20"/>
  <c r="J18" i="20"/>
  <c r="J16" i="20"/>
  <c r="H18" i="20"/>
  <c r="J15" i="20"/>
  <c r="N12" i="20"/>
  <c r="J36" i="20"/>
  <c r="J34" i="20"/>
  <c r="J33" i="20"/>
  <c r="J31" i="20"/>
  <c r="J29" i="20"/>
  <c r="J27" i="20"/>
  <c r="J25" i="20"/>
  <c r="J22" i="20"/>
  <c r="J24" i="20"/>
  <c r="X21" i="20"/>
  <c r="Z15" i="23"/>
  <c r="X21" i="23"/>
  <c r="Z29" i="28"/>
  <c r="X15" i="13"/>
  <c r="N25" i="13"/>
  <c r="N29" i="13"/>
  <c r="N33" i="13"/>
  <c r="N34" i="13"/>
  <c r="N13" i="14"/>
  <c r="N22" i="14"/>
  <c r="N24" i="14"/>
  <c r="N15" i="16"/>
  <c r="L21" i="16"/>
  <c r="L16" i="17"/>
  <c r="L20" i="17"/>
  <c r="X33" i="19"/>
  <c r="Z16" i="20"/>
  <c r="Z21" i="23"/>
  <c r="X34" i="23"/>
  <c r="L12" i="13"/>
  <c r="F21" i="13"/>
  <c r="F20" i="13"/>
  <c r="F18" i="13"/>
  <c r="F16" i="13"/>
  <c r="F34" i="13"/>
  <c r="F22" i="13"/>
  <c r="F25" i="13"/>
  <c r="F15" i="13"/>
  <c r="F29" i="13"/>
  <c r="D18" i="13"/>
  <c r="F33" i="13"/>
  <c r="F36" i="13"/>
  <c r="F24" i="13"/>
  <c r="F27" i="13"/>
  <c r="F31" i="13"/>
  <c r="X16" i="13"/>
  <c r="X20" i="13"/>
  <c r="X15" i="14"/>
  <c r="N25" i="14"/>
  <c r="N29" i="14"/>
  <c r="N33" i="14"/>
  <c r="N34" i="14"/>
  <c r="N16" i="16"/>
  <c r="N20" i="16"/>
  <c r="L22" i="16"/>
  <c r="L24" i="16"/>
  <c r="N15" i="17"/>
  <c r="L21" i="17"/>
  <c r="L20" i="19"/>
  <c r="Z12" i="20"/>
  <c r="V36" i="20"/>
  <c r="V34" i="20"/>
  <c r="V33" i="20"/>
  <c r="V31" i="20"/>
  <c r="V29" i="20"/>
  <c r="V27" i="20"/>
  <c r="V25" i="20"/>
  <c r="V21" i="20"/>
  <c r="V20" i="20"/>
  <c r="V18" i="20"/>
  <c r="V16" i="20"/>
  <c r="T18" i="20"/>
  <c r="V24" i="20"/>
  <c r="V15" i="20"/>
  <c r="V22" i="20"/>
  <c r="Z25" i="20"/>
  <c r="Z34" i="22"/>
  <c r="X22" i="26"/>
  <c r="F20" i="29"/>
  <c r="F18" i="29"/>
  <c r="F16" i="29"/>
  <c r="F31" i="29"/>
  <c r="F33" i="29"/>
  <c r="F21" i="29"/>
  <c r="F22" i="29"/>
  <c r="F34" i="29"/>
  <c r="F24" i="29"/>
  <c r="F36" i="29"/>
  <c r="F25" i="29"/>
  <c r="F15" i="29"/>
  <c r="F27" i="29"/>
  <c r="D18" i="29"/>
  <c r="F29" i="29"/>
  <c r="L12" i="29"/>
  <c r="Z29" i="31"/>
  <c r="N12" i="13"/>
  <c r="J36" i="13"/>
  <c r="J34" i="13"/>
  <c r="J33" i="13"/>
  <c r="J31" i="13"/>
  <c r="J29" i="13"/>
  <c r="J27" i="13"/>
  <c r="J25" i="13"/>
  <c r="J24" i="13"/>
  <c r="J22" i="13"/>
  <c r="H18" i="13"/>
  <c r="J15" i="13"/>
  <c r="J18" i="13"/>
  <c r="J21" i="13"/>
  <c r="J20" i="13"/>
  <c r="J16" i="13"/>
  <c r="X13" i="13"/>
  <c r="Z15" i="13"/>
  <c r="X21" i="13"/>
  <c r="L12" i="14"/>
  <c r="F36" i="14"/>
  <c r="F34" i="14"/>
  <c r="F33" i="14"/>
  <c r="F31" i="14"/>
  <c r="F29" i="14"/>
  <c r="F27" i="14"/>
  <c r="F25" i="14"/>
  <c r="F20" i="14"/>
  <c r="F18" i="14"/>
  <c r="F16" i="14"/>
  <c r="D18" i="14"/>
  <c r="F15" i="14"/>
  <c r="F22" i="14"/>
  <c r="F21" i="14"/>
  <c r="F24" i="14"/>
  <c r="X16" i="14"/>
  <c r="X20" i="14"/>
  <c r="L13" i="16"/>
  <c r="N21" i="16"/>
  <c r="L25" i="16"/>
  <c r="L29" i="16"/>
  <c r="L33" i="16"/>
  <c r="L34" i="16"/>
  <c r="N16" i="17"/>
  <c r="N20" i="17"/>
  <c r="L22" i="17"/>
  <c r="L24" i="17"/>
  <c r="X20" i="19"/>
  <c r="N33" i="20"/>
  <c r="Z16" i="22"/>
  <c r="X22" i="22"/>
  <c r="L22" i="11"/>
  <c r="L24" i="11"/>
  <c r="Z13" i="13"/>
  <c r="Z16" i="13"/>
  <c r="Z20" i="13"/>
  <c r="X22" i="13"/>
  <c r="X24" i="13"/>
  <c r="J36" i="14"/>
  <c r="J34" i="14"/>
  <c r="J33" i="14"/>
  <c r="J31" i="14"/>
  <c r="J29" i="14"/>
  <c r="J27" i="14"/>
  <c r="J25" i="14"/>
  <c r="J24" i="14"/>
  <c r="J22" i="14"/>
  <c r="J21" i="14"/>
  <c r="J16" i="14"/>
  <c r="J20" i="14"/>
  <c r="N12" i="14"/>
  <c r="J15" i="14"/>
  <c r="J18" i="14"/>
  <c r="H18" i="14"/>
  <c r="X13" i="14"/>
  <c r="Z15" i="14"/>
  <c r="X21" i="14"/>
  <c r="N13" i="16"/>
  <c r="N22" i="16"/>
  <c r="N24" i="16"/>
  <c r="L13" i="17"/>
  <c r="N21" i="17"/>
  <c r="L25" i="17"/>
  <c r="L29" i="17"/>
  <c r="L33" i="17"/>
  <c r="L34" i="17"/>
  <c r="Z20" i="19"/>
  <c r="X24" i="19"/>
  <c r="X13" i="20"/>
  <c r="Z22" i="22"/>
  <c r="X29" i="23"/>
  <c r="Z21" i="25"/>
  <c r="X25" i="26"/>
  <c r="Z34" i="31"/>
  <c r="Z21" i="13"/>
  <c r="X25" i="13"/>
  <c r="X29" i="13"/>
  <c r="X33" i="13"/>
  <c r="X34" i="13"/>
  <c r="Z13" i="14"/>
  <c r="Z16" i="14"/>
  <c r="Z20" i="14"/>
  <c r="X22" i="14"/>
  <c r="X24" i="14"/>
  <c r="X15" i="16"/>
  <c r="N25" i="16"/>
  <c r="N29" i="16"/>
  <c r="N33" i="16"/>
  <c r="N34" i="16"/>
  <c r="N13" i="17"/>
  <c r="N22" i="17"/>
  <c r="N24" i="17"/>
  <c r="X29" i="19"/>
  <c r="X34" i="19"/>
  <c r="Z13" i="20"/>
  <c r="X22" i="20"/>
  <c r="Z29" i="22"/>
  <c r="Z22" i="23"/>
  <c r="J36" i="26"/>
  <c r="J34" i="26"/>
  <c r="J33" i="26"/>
  <c r="J31" i="26"/>
  <c r="J29" i="26"/>
  <c r="J27" i="26"/>
  <c r="J25" i="26"/>
  <c r="J24" i="26"/>
  <c r="J22" i="26"/>
  <c r="J21" i="26"/>
  <c r="J20" i="26"/>
  <c r="J18" i="26"/>
  <c r="J16" i="26"/>
  <c r="H18" i="26"/>
  <c r="J15" i="26"/>
  <c r="N12" i="26"/>
  <c r="Z22" i="32"/>
  <c r="J24" i="19"/>
  <c r="J22" i="19"/>
  <c r="J21" i="19"/>
  <c r="J20" i="19"/>
  <c r="J18" i="19"/>
  <c r="J16" i="19"/>
  <c r="H18" i="19"/>
  <c r="J15" i="19"/>
  <c r="J34" i="19"/>
  <c r="J29" i="19"/>
  <c r="J33" i="19"/>
  <c r="J27" i="19"/>
  <c r="N12" i="19"/>
  <c r="J36" i="19"/>
  <c r="J31" i="19"/>
  <c r="J25" i="19"/>
  <c r="X13" i="19"/>
  <c r="Z15" i="19"/>
  <c r="X21" i="19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X16" i="20"/>
  <c r="X20" i="20"/>
  <c r="Z21" i="22"/>
  <c r="X25" i="22"/>
  <c r="X29" i="22"/>
  <c r="X33" i="22"/>
  <c r="X34" i="22"/>
  <c r="Z13" i="23"/>
  <c r="Z16" i="23"/>
  <c r="Z20" i="23"/>
  <c r="X22" i="23"/>
  <c r="X24" i="23"/>
  <c r="Z24" i="25"/>
  <c r="X33" i="25"/>
  <c r="Z15" i="26"/>
  <c r="X29" i="28"/>
  <c r="Z20" i="34"/>
  <c r="R36" i="19"/>
  <c r="R34" i="19"/>
  <c r="R33" i="19"/>
  <c r="R31" i="19"/>
  <c r="R29" i="19"/>
  <c r="R27" i="19"/>
  <c r="R25" i="19"/>
  <c r="R20" i="19"/>
  <c r="R18" i="19"/>
  <c r="R16" i="19"/>
  <c r="R24" i="19"/>
  <c r="R15" i="19"/>
  <c r="R22" i="19"/>
  <c r="P18" i="19"/>
  <c r="X12" i="19"/>
  <c r="R21" i="19"/>
  <c r="Z22" i="19"/>
  <c r="Z24" i="19"/>
  <c r="Z21" i="20"/>
  <c r="X25" i="20"/>
  <c r="X29" i="20"/>
  <c r="X33" i="20"/>
  <c r="X34" i="20"/>
  <c r="L16" i="22"/>
  <c r="L20" i="22"/>
  <c r="Z12" i="23"/>
  <c r="V36" i="23"/>
  <c r="V34" i="23"/>
  <c r="V33" i="23"/>
  <c r="V31" i="23"/>
  <c r="V29" i="23"/>
  <c r="V27" i="23"/>
  <c r="V25" i="23"/>
  <c r="V24" i="23"/>
  <c r="V22" i="23"/>
  <c r="T18" i="23"/>
  <c r="V15" i="23"/>
  <c r="V16" i="23"/>
  <c r="V21" i="23"/>
  <c r="V20" i="23"/>
  <c r="V18" i="23"/>
  <c r="L15" i="23"/>
  <c r="Z25" i="23"/>
  <c r="Z29" i="23"/>
  <c r="Z33" i="23"/>
  <c r="Z34" i="23"/>
  <c r="L16" i="26"/>
  <c r="Z13" i="29"/>
  <c r="L29" i="29"/>
  <c r="L16" i="31"/>
  <c r="Z12" i="19"/>
  <c r="V24" i="19"/>
  <c r="V22" i="19"/>
  <c r="V21" i="19"/>
  <c r="V20" i="19"/>
  <c r="V15" i="19"/>
  <c r="V33" i="19"/>
  <c r="V27" i="19"/>
  <c r="V18" i="19"/>
  <c r="T18" i="19"/>
  <c r="V36" i="19"/>
  <c r="V31" i="19"/>
  <c r="V25" i="19"/>
  <c r="V16" i="19"/>
  <c r="V34" i="19"/>
  <c r="V29" i="19"/>
  <c r="L15" i="19"/>
  <c r="Z25" i="19"/>
  <c r="Z29" i="19"/>
  <c r="Z33" i="19"/>
  <c r="Z34" i="19"/>
  <c r="X12" i="20"/>
  <c r="R36" i="20"/>
  <c r="R34" i="20"/>
  <c r="R33" i="20"/>
  <c r="R31" i="20"/>
  <c r="R29" i="20"/>
  <c r="R27" i="20"/>
  <c r="R25" i="20"/>
  <c r="R24" i="20"/>
  <c r="R22" i="20"/>
  <c r="P18" i="20"/>
  <c r="R15" i="20"/>
  <c r="R18" i="20"/>
  <c r="R21" i="20"/>
  <c r="R16" i="20"/>
  <c r="R20" i="20"/>
  <c r="Z22" i="20"/>
  <c r="Z24" i="20"/>
  <c r="N15" i="22"/>
  <c r="L21" i="22"/>
  <c r="L16" i="23"/>
  <c r="L20" i="23"/>
  <c r="L22" i="25"/>
  <c r="X25" i="25"/>
  <c r="Z20" i="26"/>
  <c r="R31" i="28"/>
  <c r="R21" i="28"/>
  <c r="R20" i="28"/>
  <c r="R18" i="28"/>
  <c r="R16" i="28"/>
  <c r="R33" i="28"/>
  <c r="P18" i="28"/>
  <c r="R15" i="28"/>
  <c r="R34" i="28"/>
  <c r="R36" i="28"/>
  <c r="X12" i="28"/>
  <c r="R27" i="28"/>
  <c r="R25" i="28"/>
  <c r="R24" i="28"/>
  <c r="R22" i="28"/>
  <c r="R29" i="28"/>
  <c r="Z24" i="28"/>
  <c r="X21" i="35"/>
  <c r="N16" i="22"/>
  <c r="N20" i="22"/>
  <c r="L22" i="22"/>
  <c r="L24" i="22"/>
  <c r="N15" i="23"/>
  <c r="L21" i="23"/>
  <c r="X22" i="25"/>
  <c r="X34" i="25"/>
  <c r="V33" i="28"/>
  <c r="T18" i="28"/>
  <c r="V15" i="28"/>
  <c r="V34" i="28"/>
  <c r="V36" i="28"/>
  <c r="Z12" i="28"/>
  <c r="V29" i="28"/>
  <c r="V27" i="28"/>
  <c r="V25" i="28"/>
  <c r="V21" i="28"/>
  <c r="V20" i="28"/>
  <c r="V24" i="28"/>
  <c r="V31" i="28"/>
  <c r="V18" i="28"/>
  <c r="V16" i="28"/>
  <c r="V22" i="28"/>
  <c r="N29" i="29"/>
  <c r="N15" i="19"/>
  <c r="L21" i="19"/>
  <c r="L16" i="20"/>
  <c r="L20" i="20"/>
  <c r="L13" i="22"/>
  <c r="N21" i="22"/>
  <c r="L25" i="22"/>
  <c r="L29" i="22"/>
  <c r="L33" i="22"/>
  <c r="L34" i="22"/>
  <c r="N16" i="23"/>
  <c r="N20" i="23"/>
  <c r="L22" i="23"/>
  <c r="L24" i="23"/>
  <c r="N20" i="25"/>
  <c r="Z16" i="26"/>
  <c r="X25" i="28"/>
  <c r="X22" i="29"/>
  <c r="L15" i="32"/>
  <c r="Z33" i="32"/>
  <c r="X24" i="35"/>
  <c r="N16" i="19"/>
  <c r="N20" i="19"/>
  <c r="L22" i="19"/>
  <c r="L24" i="19"/>
  <c r="N15" i="20"/>
  <c r="L21" i="20"/>
  <c r="N13" i="22"/>
  <c r="N22" i="22"/>
  <c r="N24" i="22"/>
  <c r="L13" i="23"/>
  <c r="N21" i="23"/>
  <c r="L25" i="23"/>
  <c r="L29" i="23"/>
  <c r="L33" i="23"/>
  <c r="L34" i="23"/>
  <c r="Z20" i="25"/>
  <c r="Z22" i="25"/>
  <c r="X13" i="26"/>
  <c r="L21" i="26"/>
  <c r="X24" i="26"/>
  <c r="L34" i="28"/>
  <c r="L21" i="31"/>
  <c r="L13" i="19"/>
  <c r="N21" i="19"/>
  <c r="L25" i="19"/>
  <c r="L29" i="19"/>
  <c r="L33" i="19"/>
  <c r="L34" i="19"/>
  <c r="N16" i="20"/>
  <c r="N20" i="20"/>
  <c r="L22" i="20"/>
  <c r="L24" i="20"/>
  <c r="X15" i="22"/>
  <c r="N25" i="22"/>
  <c r="N29" i="22"/>
  <c r="N33" i="22"/>
  <c r="N34" i="22"/>
  <c r="N13" i="23"/>
  <c r="N22" i="23"/>
  <c r="N24" i="23"/>
  <c r="R20" i="25"/>
  <c r="R18" i="25"/>
  <c r="R16" i="25"/>
  <c r="P18" i="25"/>
  <c r="R15" i="25"/>
  <c r="X12" i="25"/>
  <c r="R27" i="25"/>
  <c r="R31" i="25"/>
  <c r="R34" i="25"/>
  <c r="R22" i="25"/>
  <c r="R25" i="25"/>
  <c r="R29" i="25"/>
  <c r="R21" i="25"/>
  <c r="R36" i="25"/>
  <c r="R33" i="25"/>
  <c r="R24" i="25"/>
  <c r="N16" i="25"/>
  <c r="Z13" i="26"/>
  <c r="X21" i="26"/>
  <c r="L15" i="28"/>
  <c r="Z25" i="28"/>
  <c r="L16" i="29"/>
  <c r="Z22" i="29"/>
  <c r="N13" i="19"/>
  <c r="N22" i="19"/>
  <c r="N24" i="19"/>
  <c r="L13" i="20"/>
  <c r="N21" i="20"/>
  <c r="L25" i="20"/>
  <c r="L29" i="20"/>
  <c r="L33" i="20"/>
  <c r="L34" i="20"/>
  <c r="F36" i="22"/>
  <c r="F34" i="22"/>
  <c r="F33" i="22"/>
  <c r="F31" i="22"/>
  <c r="F29" i="22"/>
  <c r="F27" i="22"/>
  <c r="F25" i="22"/>
  <c r="F24" i="22"/>
  <c r="F22" i="22"/>
  <c r="F21" i="22"/>
  <c r="F20" i="22"/>
  <c r="F18" i="22"/>
  <c r="F16" i="22"/>
  <c r="D18" i="22"/>
  <c r="F15" i="22"/>
  <c r="L12" i="22"/>
  <c r="X16" i="22"/>
  <c r="X20" i="22"/>
  <c r="X15" i="23"/>
  <c r="N25" i="23"/>
  <c r="N29" i="23"/>
  <c r="N33" i="23"/>
  <c r="N34" i="23"/>
  <c r="Z16" i="25"/>
  <c r="L24" i="25"/>
  <c r="X33" i="26"/>
  <c r="Z21" i="28"/>
  <c r="Z24" i="29"/>
  <c r="X15" i="19"/>
  <c r="N25" i="19"/>
  <c r="N29" i="19"/>
  <c r="N33" i="19"/>
  <c r="N34" i="19"/>
  <c r="N13" i="20"/>
  <c r="N22" i="20"/>
  <c r="N24" i="20"/>
  <c r="J36" i="22"/>
  <c r="J34" i="22"/>
  <c r="J33" i="22"/>
  <c r="J31" i="22"/>
  <c r="J29" i="22"/>
  <c r="J27" i="22"/>
  <c r="J25" i="22"/>
  <c r="J24" i="22"/>
  <c r="J22" i="22"/>
  <c r="J21" i="22"/>
  <c r="J20" i="22"/>
  <c r="J18" i="22"/>
  <c r="J16" i="22"/>
  <c r="H18" i="22"/>
  <c r="J15" i="22"/>
  <c r="N12" i="22"/>
  <c r="X13" i="22"/>
  <c r="Z15" i="22"/>
  <c r="X21" i="22"/>
  <c r="F36" i="23"/>
  <c r="F34" i="23"/>
  <c r="F33" i="23"/>
  <c r="F31" i="23"/>
  <c r="F29" i="23"/>
  <c r="F27" i="23"/>
  <c r="F25" i="23"/>
  <c r="F24" i="23"/>
  <c r="F22" i="23"/>
  <c r="F21" i="23"/>
  <c r="F20" i="23"/>
  <c r="F18" i="23"/>
  <c r="F16" i="23"/>
  <c r="D18" i="23"/>
  <c r="F15" i="23"/>
  <c r="L12" i="23"/>
  <c r="X16" i="23"/>
  <c r="X20" i="23"/>
  <c r="L21" i="25"/>
  <c r="X24" i="25"/>
  <c r="Z21" i="26"/>
  <c r="X33" i="29"/>
  <c r="L20" i="32"/>
  <c r="X16" i="34"/>
  <c r="V36" i="25"/>
  <c r="V34" i="25"/>
  <c r="V33" i="25"/>
  <c r="V31" i="25"/>
  <c r="V29" i="25"/>
  <c r="V27" i="25"/>
  <c r="V25" i="25"/>
  <c r="V24" i="25"/>
  <c r="V22" i="25"/>
  <c r="V16" i="25"/>
  <c r="Z12" i="25"/>
  <c r="V20" i="25"/>
  <c r="V15" i="25"/>
  <c r="V18" i="25"/>
  <c r="V21" i="25"/>
  <c r="T18" i="25"/>
  <c r="L15" i="25"/>
  <c r="Z25" i="25"/>
  <c r="Z29" i="25"/>
  <c r="Z33" i="25"/>
  <c r="Z34" i="25"/>
  <c r="P18" i="26"/>
  <c r="R15" i="26"/>
  <c r="R36" i="26"/>
  <c r="R34" i="26"/>
  <c r="R33" i="26"/>
  <c r="R31" i="26"/>
  <c r="R29" i="26"/>
  <c r="R27" i="26"/>
  <c r="R25" i="26"/>
  <c r="R18" i="26"/>
  <c r="R21" i="26"/>
  <c r="R24" i="26"/>
  <c r="R16" i="26"/>
  <c r="X12" i="26"/>
  <c r="R22" i="26"/>
  <c r="R20" i="26"/>
  <c r="Z22" i="26"/>
  <c r="Z24" i="26"/>
  <c r="L16" i="28"/>
  <c r="L20" i="28"/>
  <c r="L33" i="28"/>
  <c r="N34" i="28"/>
  <c r="L15" i="29"/>
  <c r="N16" i="29"/>
  <c r="X20" i="29"/>
  <c r="Z21" i="29"/>
  <c r="Z33" i="29"/>
  <c r="N25" i="31"/>
  <c r="N24" i="32"/>
  <c r="Z24" i="35"/>
  <c r="L16" i="25"/>
  <c r="L20" i="25"/>
  <c r="V24" i="26"/>
  <c r="V22" i="26"/>
  <c r="V21" i="26"/>
  <c r="V33" i="26"/>
  <c r="V36" i="26"/>
  <c r="V27" i="26"/>
  <c r="V16" i="26"/>
  <c r="Z12" i="26"/>
  <c r="V31" i="26"/>
  <c r="V20" i="26"/>
  <c r="V34" i="26"/>
  <c r="V29" i="26"/>
  <c r="V18" i="26"/>
  <c r="V25" i="26"/>
  <c r="T18" i="26"/>
  <c r="V15" i="26"/>
  <c r="L15" i="26"/>
  <c r="Z25" i="26"/>
  <c r="Z29" i="26"/>
  <c r="Z33" i="26"/>
  <c r="Z34" i="26"/>
  <c r="N15" i="28"/>
  <c r="L21" i="28"/>
  <c r="R20" i="29"/>
  <c r="R18" i="29"/>
  <c r="R16" i="29"/>
  <c r="R24" i="29"/>
  <c r="R36" i="29"/>
  <c r="R25" i="29"/>
  <c r="R15" i="29"/>
  <c r="R27" i="29"/>
  <c r="R29" i="29"/>
  <c r="X12" i="29"/>
  <c r="P18" i="29"/>
  <c r="R31" i="29"/>
  <c r="R22" i="29"/>
  <c r="R21" i="29"/>
  <c r="R34" i="29"/>
  <c r="R33" i="29"/>
  <c r="Z20" i="29"/>
  <c r="L25" i="29"/>
  <c r="V21" i="31"/>
  <c r="V20" i="31"/>
  <c r="V18" i="31"/>
  <c r="V16" i="31"/>
  <c r="T18" i="31"/>
  <c r="V15" i="31"/>
  <c r="V33" i="31"/>
  <c r="V27" i="31"/>
  <c r="V22" i="31"/>
  <c r="Z12" i="31"/>
  <c r="V36" i="31"/>
  <c r="V31" i="31"/>
  <c r="V25" i="31"/>
  <c r="V24" i="31"/>
  <c r="V34" i="31"/>
  <c r="V29" i="31"/>
  <c r="Z25" i="31"/>
  <c r="Z24" i="32"/>
  <c r="X22" i="38"/>
  <c r="N16" i="28"/>
  <c r="N20" i="28"/>
  <c r="L22" i="28"/>
  <c r="L24" i="28"/>
  <c r="N33" i="28"/>
  <c r="Z12" i="29"/>
  <c r="V27" i="29"/>
  <c r="V15" i="29"/>
  <c r="V16" i="29"/>
  <c r="V29" i="29"/>
  <c r="V18" i="29"/>
  <c r="V31" i="29"/>
  <c r="T18" i="29"/>
  <c r="V20" i="29"/>
  <c r="V33" i="29"/>
  <c r="V21" i="29"/>
  <c r="V22" i="29"/>
  <c r="V24" i="29"/>
  <c r="V36" i="29"/>
  <c r="V25" i="29"/>
  <c r="V34" i="29"/>
  <c r="L24" i="29"/>
  <c r="X29" i="29"/>
  <c r="Z29" i="32"/>
  <c r="Z34" i="32"/>
  <c r="X13" i="35"/>
  <c r="L13" i="28"/>
  <c r="N21" i="28"/>
  <c r="L25" i="28"/>
  <c r="L29" i="28"/>
  <c r="X34" i="28"/>
  <c r="N25" i="29"/>
  <c r="L34" i="29"/>
  <c r="L16" i="32"/>
  <c r="Z13" i="35"/>
  <c r="N29" i="35"/>
  <c r="L24" i="38"/>
  <c r="L13" i="25"/>
  <c r="N21" i="25"/>
  <c r="L25" i="25"/>
  <c r="L29" i="25"/>
  <c r="L33" i="25"/>
  <c r="L34" i="25"/>
  <c r="N16" i="26"/>
  <c r="N20" i="26"/>
  <c r="L22" i="26"/>
  <c r="L24" i="26"/>
  <c r="N13" i="28"/>
  <c r="N22" i="28"/>
  <c r="N24" i="28"/>
  <c r="X16" i="29"/>
  <c r="L22" i="29"/>
  <c r="N24" i="29"/>
  <c r="Z29" i="29"/>
  <c r="N33" i="31"/>
  <c r="Z16" i="35"/>
  <c r="N33" i="35"/>
  <c r="N13" i="25"/>
  <c r="N22" i="25"/>
  <c r="N24" i="25"/>
  <c r="L13" i="26"/>
  <c r="N21" i="26"/>
  <c r="L25" i="26"/>
  <c r="L29" i="26"/>
  <c r="L33" i="26"/>
  <c r="L34" i="26"/>
  <c r="X15" i="28"/>
  <c r="N25" i="28"/>
  <c r="N29" i="28"/>
  <c r="X33" i="28"/>
  <c r="Z34" i="28"/>
  <c r="L13" i="29"/>
  <c r="X15" i="29"/>
  <c r="Z16" i="29"/>
  <c r="L33" i="29"/>
  <c r="N34" i="29"/>
  <c r="L15" i="31"/>
  <c r="Z33" i="31"/>
  <c r="R24" i="32"/>
  <c r="R22" i="32"/>
  <c r="R21" i="32"/>
  <c r="R20" i="32"/>
  <c r="R18" i="32"/>
  <c r="R16" i="32"/>
  <c r="P18" i="32"/>
  <c r="R15" i="32"/>
  <c r="X12" i="32"/>
  <c r="R36" i="32"/>
  <c r="R31" i="32"/>
  <c r="R25" i="32"/>
  <c r="R34" i="32"/>
  <c r="R29" i="32"/>
  <c r="R33" i="32"/>
  <c r="R27" i="32"/>
  <c r="X15" i="25"/>
  <c r="N25" i="25"/>
  <c r="N29" i="25"/>
  <c r="N33" i="25"/>
  <c r="N34" i="25"/>
  <c r="N13" i="26"/>
  <c r="N22" i="26"/>
  <c r="N24" i="26"/>
  <c r="L12" i="28"/>
  <c r="F29" i="28"/>
  <c r="F27" i="28"/>
  <c r="F25" i="28"/>
  <c r="F31" i="28"/>
  <c r="F24" i="28"/>
  <c r="F22" i="28"/>
  <c r="F21" i="28"/>
  <c r="F33" i="28"/>
  <c r="F20" i="28"/>
  <c r="F18" i="28"/>
  <c r="F16" i="28"/>
  <c r="D18" i="28"/>
  <c r="F15" i="28"/>
  <c r="F36" i="28"/>
  <c r="F34" i="28"/>
  <c r="X16" i="28"/>
  <c r="X20" i="28"/>
  <c r="N13" i="29"/>
  <c r="N22" i="29"/>
  <c r="X25" i="29"/>
  <c r="L20" i="31"/>
  <c r="V20" i="32"/>
  <c r="V18" i="32"/>
  <c r="V16" i="32"/>
  <c r="T18" i="32"/>
  <c r="V15" i="32"/>
  <c r="Z12" i="32"/>
  <c r="V36" i="32"/>
  <c r="V31" i="32"/>
  <c r="V25" i="32"/>
  <c r="V21" i="32"/>
  <c r="V34" i="32"/>
  <c r="V29" i="32"/>
  <c r="V24" i="32"/>
  <c r="V33" i="32"/>
  <c r="V27" i="32"/>
  <c r="V22" i="32"/>
  <c r="Z25" i="32"/>
  <c r="Z12" i="34"/>
  <c r="V21" i="34"/>
  <c r="V29" i="34"/>
  <c r="V15" i="34"/>
  <c r="V18" i="34"/>
  <c r="V33" i="34"/>
  <c r="T18" i="34"/>
  <c r="V36" i="34"/>
  <c r="V24" i="34"/>
  <c r="V27" i="34"/>
  <c r="V16" i="34"/>
  <c r="V31" i="34"/>
  <c r="V25" i="34"/>
  <c r="V22" i="34"/>
  <c r="V20" i="34"/>
  <c r="V34" i="34"/>
  <c r="F36" i="25"/>
  <c r="F34" i="25"/>
  <c r="F33" i="25"/>
  <c r="F31" i="25"/>
  <c r="F29" i="25"/>
  <c r="F27" i="25"/>
  <c r="F25" i="25"/>
  <c r="F24" i="25"/>
  <c r="F22" i="25"/>
  <c r="D18" i="25"/>
  <c r="F15" i="25"/>
  <c r="F16" i="25"/>
  <c r="L12" i="25"/>
  <c r="F20" i="25"/>
  <c r="F18" i="25"/>
  <c r="F21" i="25"/>
  <c r="X16" i="25"/>
  <c r="X20" i="25"/>
  <c r="X15" i="26"/>
  <c r="N25" i="26"/>
  <c r="N29" i="26"/>
  <c r="N33" i="26"/>
  <c r="N34" i="26"/>
  <c r="J29" i="28"/>
  <c r="J27" i="28"/>
  <c r="J25" i="28"/>
  <c r="J31" i="28"/>
  <c r="J24" i="28"/>
  <c r="J22" i="28"/>
  <c r="J21" i="28"/>
  <c r="J33" i="28"/>
  <c r="J20" i="28"/>
  <c r="J18" i="28"/>
  <c r="J16" i="28"/>
  <c r="H18" i="28"/>
  <c r="J15" i="28"/>
  <c r="J34" i="28"/>
  <c r="N12" i="28"/>
  <c r="J36" i="28"/>
  <c r="X13" i="28"/>
  <c r="Z15" i="28"/>
  <c r="X21" i="28"/>
  <c r="Z33" i="28"/>
  <c r="L20" i="29"/>
  <c r="N21" i="29"/>
  <c r="X24" i="29"/>
  <c r="N33" i="29"/>
  <c r="N15" i="31"/>
  <c r="J36" i="25"/>
  <c r="J34" i="25"/>
  <c r="J33" i="25"/>
  <c r="J31" i="25"/>
  <c r="J29" i="25"/>
  <c r="J27" i="25"/>
  <c r="J25" i="25"/>
  <c r="J24" i="25"/>
  <c r="J22" i="25"/>
  <c r="J21" i="25"/>
  <c r="J20" i="25"/>
  <c r="J18" i="25"/>
  <c r="J16" i="25"/>
  <c r="N12" i="25"/>
  <c r="J15" i="25"/>
  <c r="H18" i="25"/>
  <c r="X13" i="25"/>
  <c r="Z15" i="25"/>
  <c r="X21" i="25"/>
  <c r="F36" i="26"/>
  <c r="F34" i="26"/>
  <c r="F33" i="26"/>
  <c r="F31" i="26"/>
  <c r="F29" i="26"/>
  <c r="F27" i="26"/>
  <c r="F25" i="26"/>
  <c r="F24" i="26"/>
  <c r="F22" i="26"/>
  <c r="F21" i="26"/>
  <c r="F15" i="26"/>
  <c r="F18" i="26"/>
  <c r="D18" i="26"/>
  <c r="F16" i="26"/>
  <c r="L12" i="26"/>
  <c r="F20" i="26"/>
  <c r="X16" i="26"/>
  <c r="X20" i="26"/>
  <c r="Z13" i="28"/>
  <c r="Z16" i="28"/>
  <c r="Z20" i="28"/>
  <c r="X22" i="28"/>
  <c r="X24" i="28"/>
  <c r="N20" i="29"/>
  <c r="Z25" i="29"/>
  <c r="X34" i="29"/>
  <c r="X15" i="31"/>
  <c r="N29" i="31"/>
  <c r="N34" i="31"/>
  <c r="N13" i="32"/>
  <c r="N22" i="32"/>
  <c r="L16" i="34"/>
  <c r="L24" i="37"/>
  <c r="N15" i="29"/>
  <c r="L21" i="29"/>
  <c r="N16" i="31"/>
  <c r="N20" i="31"/>
  <c r="L22" i="31"/>
  <c r="L24" i="31"/>
  <c r="N15" i="32"/>
  <c r="L21" i="32"/>
  <c r="Z16" i="34"/>
  <c r="X25" i="37"/>
  <c r="Z13" i="38"/>
  <c r="X24" i="40"/>
  <c r="L13" i="31"/>
  <c r="N21" i="31"/>
  <c r="L25" i="31"/>
  <c r="L29" i="31"/>
  <c r="L33" i="31"/>
  <c r="L34" i="31"/>
  <c r="N16" i="32"/>
  <c r="N20" i="32"/>
  <c r="L22" i="32"/>
  <c r="L24" i="32"/>
  <c r="X24" i="34"/>
  <c r="L15" i="35"/>
  <c r="N25" i="35"/>
  <c r="Z33" i="35"/>
  <c r="N15" i="38"/>
  <c r="N13" i="31"/>
  <c r="N22" i="31"/>
  <c r="N24" i="31"/>
  <c r="L13" i="32"/>
  <c r="N21" i="32"/>
  <c r="L25" i="32"/>
  <c r="L29" i="32"/>
  <c r="L33" i="32"/>
  <c r="L34" i="32"/>
  <c r="Z13" i="34"/>
  <c r="X15" i="35"/>
  <c r="N34" i="35"/>
  <c r="X29" i="40"/>
  <c r="X33" i="41"/>
  <c r="X33" i="34"/>
  <c r="Z15" i="35"/>
  <c r="Z29" i="35"/>
  <c r="X29" i="37"/>
  <c r="Z16" i="38"/>
  <c r="L12" i="31"/>
  <c r="F36" i="31"/>
  <c r="F34" i="31"/>
  <c r="F33" i="31"/>
  <c r="F31" i="31"/>
  <c r="F29" i="31"/>
  <c r="F27" i="31"/>
  <c r="F25" i="31"/>
  <c r="F24" i="31"/>
  <c r="F22" i="31"/>
  <c r="F21" i="31"/>
  <c r="F20" i="31"/>
  <c r="F15" i="31"/>
  <c r="F18" i="31"/>
  <c r="D18" i="31"/>
  <c r="F16" i="31"/>
  <c r="X16" i="31"/>
  <c r="X20" i="31"/>
  <c r="X15" i="32"/>
  <c r="N25" i="32"/>
  <c r="N29" i="32"/>
  <c r="N33" i="32"/>
  <c r="N34" i="32"/>
  <c r="L15" i="34"/>
  <c r="Z21" i="34"/>
  <c r="Z33" i="34"/>
  <c r="N12" i="31"/>
  <c r="J36" i="31"/>
  <c r="J34" i="31"/>
  <c r="J33" i="31"/>
  <c r="J31" i="31"/>
  <c r="J29" i="31"/>
  <c r="J27" i="31"/>
  <c r="J25" i="31"/>
  <c r="J21" i="31"/>
  <c r="J20" i="31"/>
  <c r="J18" i="31"/>
  <c r="J16" i="31"/>
  <c r="H18" i="31"/>
  <c r="J15" i="31"/>
  <c r="J24" i="31"/>
  <c r="J22" i="31"/>
  <c r="X13" i="31"/>
  <c r="Z15" i="31"/>
  <c r="X21" i="31"/>
  <c r="L12" i="32"/>
  <c r="F24" i="32"/>
  <c r="F22" i="32"/>
  <c r="F21" i="32"/>
  <c r="F20" i="32"/>
  <c r="F18" i="32"/>
  <c r="F16" i="32"/>
  <c r="F33" i="32"/>
  <c r="F27" i="32"/>
  <c r="D18" i="32"/>
  <c r="F36" i="32"/>
  <c r="F31" i="32"/>
  <c r="F25" i="32"/>
  <c r="F34" i="32"/>
  <c r="F29" i="32"/>
  <c r="F15" i="32"/>
  <c r="X16" i="32"/>
  <c r="X20" i="32"/>
  <c r="X29" i="34"/>
  <c r="J21" i="35"/>
  <c r="J20" i="35"/>
  <c r="J18" i="35"/>
  <c r="J16" i="35"/>
  <c r="H18" i="35"/>
  <c r="J15" i="35"/>
  <c r="N12" i="35"/>
  <c r="J36" i="35"/>
  <c r="J34" i="35"/>
  <c r="J33" i="35"/>
  <c r="J31" i="35"/>
  <c r="J29" i="35"/>
  <c r="J27" i="35"/>
  <c r="J25" i="35"/>
  <c r="J24" i="35"/>
  <c r="J22" i="35"/>
  <c r="X22" i="35"/>
  <c r="Z25" i="35"/>
  <c r="J33" i="29"/>
  <c r="J21" i="29"/>
  <c r="J22" i="29"/>
  <c r="J34" i="29"/>
  <c r="J24" i="29"/>
  <c r="J36" i="29"/>
  <c r="J25" i="29"/>
  <c r="J27" i="29"/>
  <c r="J15" i="29"/>
  <c r="J16" i="29"/>
  <c r="J29" i="29"/>
  <c r="N12" i="29"/>
  <c r="H18" i="29"/>
  <c r="J31" i="29"/>
  <c r="J20" i="29"/>
  <c r="J18" i="29"/>
  <c r="X13" i="29"/>
  <c r="Z15" i="29"/>
  <c r="X21" i="29"/>
  <c r="Z13" i="31"/>
  <c r="Z16" i="31"/>
  <c r="Z20" i="31"/>
  <c r="X22" i="31"/>
  <c r="X24" i="31"/>
  <c r="N12" i="32"/>
  <c r="J36" i="32"/>
  <c r="J34" i="32"/>
  <c r="J33" i="32"/>
  <c r="J31" i="32"/>
  <c r="J29" i="32"/>
  <c r="J27" i="32"/>
  <c r="J25" i="32"/>
  <c r="J24" i="32"/>
  <c r="J22" i="32"/>
  <c r="J20" i="32"/>
  <c r="J18" i="32"/>
  <c r="J16" i="32"/>
  <c r="H18" i="32"/>
  <c r="J15" i="32"/>
  <c r="J21" i="32"/>
  <c r="X13" i="32"/>
  <c r="Z15" i="32"/>
  <c r="X21" i="32"/>
  <c r="Z29" i="34"/>
  <c r="Z22" i="35"/>
  <c r="Z34" i="35"/>
  <c r="X33" i="37"/>
  <c r="Z20" i="38"/>
  <c r="J20" i="41"/>
  <c r="J18" i="41"/>
  <c r="J16" i="41"/>
  <c r="J33" i="41"/>
  <c r="J21" i="41"/>
  <c r="J22" i="41"/>
  <c r="J34" i="41"/>
  <c r="J24" i="41"/>
  <c r="J36" i="41"/>
  <c r="J25" i="41"/>
  <c r="J15" i="41"/>
  <c r="J27" i="41"/>
  <c r="J31" i="41"/>
  <c r="J29" i="41"/>
  <c r="N12" i="41"/>
  <c r="H18" i="41"/>
  <c r="Z21" i="31"/>
  <c r="X25" i="31"/>
  <c r="X29" i="31"/>
  <c r="X33" i="31"/>
  <c r="X34" i="31"/>
  <c r="Z13" i="32"/>
  <c r="Z16" i="32"/>
  <c r="Z20" i="32"/>
  <c r="X22" i="32"/>
  <c r="X24" i="32"/>
  <c r="X25" i="34"/>
  <c r="X12" i="35"/>
  <c r="R36" i="35"/>
  <c r="R24" i="35"/>
  <c r="R22" i="35"/>
  <c r="P18" i="35"/>
  <c r="R15" i="35"/>
  <c r="R16" i="35"/>
  <c r="R31" i="35"/>
  <c r="R20" i="35"/>
  <c r="R34" i="35"/>
  <c r="R25" i="35"/>
  <c r="R29" i="35"/>
  <c r="R18" i="35"/>
  <c r="R33" i="35"/>
  <c r="R21" i="35"/>
  <c r="R27" i="35"/>
  <c r="Z20" i="35"/>
  <c r="L21" i="38"/>
  <c r="R36" i="31"/>
  <c r="R34" i="31"/>
  <c r="R33" i="31"/>
  <c r="R31" i="31"/>
  <c r="R29" i="31"/>
  <c r="R27" i="31"/>
  <c r="R25" i="31"/>
  <c r="R24" i="31"/>
  <c r="R22" i="31"/>
  <c r="R21" i="31"/>
  <c r="R20" i="31"/>
  <c r="R18" i="31"/>
  <c r="R16" i="31"/>
  <c r="P18" i="31"/>
  <c r="R15" i="31"/>
  <c r="X12" i="31"/>
  <c r="Z22" i="31"/>
  <c r="Z24" i="31"/>
  <c r="Z21" i="32"/>
  <c r="X25" i="32"/>
  <c r="X29" i="32"/>
  <c r="X33" i="32"/>
  <c r="X34" i="32"/>
  <c r="F36" i="34"/>
  <c r="F34" i="34"/>
  <c r="F33" i="34"/>
  <c r="F31" i="34"/>
  <c r="F29" i="34"/>
  <c r="F27" i="34"/>
  <c r="F25" i="34"/>
  <c r="F24" i="34"/>
  <c r="F22" i="34"/>
  <c r="F21" i="34"/>
  <c r="F20" i="34"/>
  <c r="F18" i="34"/>
  <c r="F16" i="34"/>
  <c r="F15" i="34"/>
  <c r="D18" i="34"/>
  <c r="L12" i="34"/>
  <c r="L20" i="34"/>
  <c r="X22" i="34"/>
  <c r="Z25" i="34"/>
  <c r="X34" i="34"/>
  <c r="Z12" i="35"/>
  <c r="V36" i="35"/>
  <c r="V34" i="35"/>
  <c r="V33" i="35"/>
  <c r="V31" i="35"/>
  <c r="V29" i="35"/>
  <c r="V27" i="35"/>
  <c r="V25" i="35"/>
  <c r="V20" i="35"/>
  <c r="V18" i="35"/>
  <c r="V16" i="35"/>
  <c r="V22" i="35"/>
  <c r="V15" i="35"/>
  <c r="T18" i="35"/>
  <c r="V21" i="35"/>
  <c r="V24" i="35"/>
  <c r="N21" i="37"/>
  <c r="L34" i="37"/>
  <c r="N20" i="44"/>
  <c r="J24" i="34"/>
  <c r="J22" i="34"/>
  <c r="J21" i="34"/>
  <c r="J20" i="34"/>
  <c r="J18" i="34"/>
  <c r="J16" i="34"/>
  <c r="H18" i="34"/>
  <c r="J15" i="34"/>
  <c r="J31" i="34"/>
  <c r="J34" i="34"/>
  <c r="J25" i="34"/>
  <c r="J29" i="34"/>
  <c r="J33" i="34"/>
  <c r="J27" i="34"/>
  <c r="N12" i="34"/>
  <c r="J36" i="34"/>
  <c r="X13" i="34"/>
  <c r="Z15" i="34"/>
  <c r="X21" i="34"/>
  <c r="F36" i="35"/>
  <c r="F34" i="35"/>
  <c r="F33" i="35"/>
  <c r="F31" i="35"/>
  <c r="F29" i="35"/>
  <c r="F27" i="35"/>
  <c r="F25" i="35"/>
  <c r="F24" i="35"/>
  <c r="F22" i="35"/>
  <c r="F21" i="35"/>
  <c r="F20" i="35"/>
  <c r="F18" i="35"/>
  <c r="F16" i="35"/>
  <c r="D18" i="35"/>
  <c r="F15" i="35"/>
  <c r="L12" i="35"/>
  <c r="X16" i="35"/>
  <c r="X20" i="35"/>
  <c r="Z22" i="37"/>
  <c r="X25" i="38"/>
  <c r="X29" i="38"/>
  <c r="X33" i="38"/>
  <c r="Z22" i="40"/>
  <c r="L16" i="46"/>
  <c r="R36" i="34"/>
  <c r="R34" i="34"/>
  <c r="R33" i="34"/>
  <c r="R31" i="34"/>
  <c r="R29" i="34"/>
  <c r="R27" i="34"/>
  <c r="R25" i="34"/>
  <c r="R20" i="34"/>
  <c r="R18" i="34"/>
  <c r="R16" i="34"/>
  <c r="R15" i="34"/>
  <c r="P18" i="34"/>
  <c r="R21" i="34"/>
  <c r="R24" i="34"/>
  <c r="X12" i="34"/>
  <c r="R22" i="34"/>
  <c r="Z22" i="34"/>
  <c r="Z24" i="34"/>
  <c r="Z21" i="35"/>
  <c r="X25" i="35"/>
  <c r="X29" i="35"/>
  <c r="X33" i="35"/>
  <c r="X34" i="35"/>
  <c r="N24" i="37"/>
  <c r="N21" i="38"/>
  <c r="L34" i="38"/>
  <c r="R20" i="40"/>
  <c r="R18" i="40"/>
  <c r="R16" i="40"/>
  <c r="P18" i="40"/>
  <c r="R15" i="40"/>
  <c r="X12" i="40"/>
  <c r="R34" i="40"/>
  <c r="R27" i="40"/>
  <c r="R21" i="40"/>
  <c r="R33" i="40"/>
  <c r="R25" i="40"/>
  <c r="R31" i="40"/>
  <c r="R36" i="40"/>
  <c r="R29" i="40"/>
  <c r="R24" i="40"/>
  <c r="R22" i="40"/>
  <c r="Z24" i="40"/>
  <c r="X20" i="41"/>
  <c r="X24" i="37"/>
  <c r="J36" i="38"/>
  <c r="J34" i="38"/>
  <c r="J33" i="38"/>
  <c r="J31" i="38"/>
  <c r="J29" i="38"/>
  <c r="J27" i="38"/>
  <c r="J25" i="38"/>
  <c r="J24" i="38"/>
  <c r="J22" i="38"/>
  <c r="J21" i="38"/>
  <c r="J20" i="38"/>
  <c r="J16" i="38"/>
  <c r="N12" i="38"/>
  <c r="J18" i="38"/>
  <c r="H18" i="38"/>
  <c r="J15" i="38"/>
  <c r="Z15" i="38"/>
  <c r="X21" i="38"/>
  <c r="Z13" i="40"/>
  <c r="Z20" i="40"/>
  <c r="Z13" i="41"/>
  <c r="L25" i="43"/>
  <c r="Z21" i="37"/>
  <c r="X34" i="37"/>
  <c r="X24" i="38"/>
  <c r="X25" i="40"/>
  <c r="X33" i="40"/>
  <c r="X21" i="41"/>
  <c r="N29" i="41"/>
  <c r="N15" i="34"/>
  <c r="L21" i="34"/>
  <c r="L16" i="35"/>
  <c r="L20" i="35"/>
  <c r="X12" i="37"/>
  <c r="R20" i="37"/>
  <c r="R18" i="37"/>
  <c r="R16" i="37"/>
  <c r="P18" i="37"/>
  <c r="R15" i="37"/>
  <c r="R34" i="37"/>
  <c r="R31" i="37"/>
  <c r="R27" i="37"/>
  <c r="R24" i="37"/>
  <c r="R21" i="37"/>
  <c r="R36" i="37"/>
  <c r="R33" i="37"/>
  <c r="R29" i="37"/>
  <c r="R25" i="37"/>
  <c r="R22" i="37"/>
  <c r="Z24" i="37"/>
  <c r="Z21" i="38"/>
  <c r="X34" i="38"/>
  <c r="N16" i="34"/>
  <c r="N20" i="34"/>
  <c r="L22" i="34"/>
  <c r="L24" i="34"/>
  <c r="N15" i="35"/>
  <c r="L21" i="35"/>
  <c r="N16" i="37"/>
  <c r="N20" i="37"/>
  <c r="L22" i="37"/>
  <c r="X22" i="41"/>
  <c r="L33" i="43"/>
  <c r="L13" i="34"/>
  <c r="N21" i="34"/>
  <c r="L25" i="34"/>
  <c r="L29" i="34"/>
  <c r="L33" i="34"/>
  <c r="L34" i="34"/>
  <c r="N16" i="35"/>
  <c r="N20" i="35"/>
  <c r="L22" i="35"/>
  <c r="L24" i="35"/>
  <c r="L13" i="37"/>
  <c r="L25" i="37"/>
  <c r="L29" i="37"/>
  <c r="L33" i="37"/>
  <c r="N16" i="38"/>
  <c r="N20" i="38"/>
  <c r="L22" i="38"/>
  <c r="Z21" i="40"/>
  <c r="X34" i="40"/>
  <c r="L16" i="41"/>
  <c r="F21" i="43"/>
  <c r="F20" i="43"/>
  <c r="F18" i="43"/>
  <c r="F16" i="43"/>
  <c r="D18" i="43"/>
  <c r="F15" i="43"/>
  <c r="L12" i="43"/>
  <c r="F36" i="43"/>
  <c r="F34" i="43"/>
  <c r="F33" i="43"/>
  <c r="F31" i="43"/>
  <c r="F29" i="43"/>
  <c r="F27" i="43"/>
  <c r="F25" i="43"/>
  <c r="F24" i="43"/>
  <c r="F22" i="43"/>
  <c r="N13" i="34"/>
  <c r="N22" i="34"/>
  <c r="N24" i="34"/>
  <c r="L13" i="35"/>
  <c r="N21" i="35"/>
  <c r="L25" i="35"/>
  <c r="L29" i="35"/>
  <c r="L33" i="35"/>
  <c r="L34" i="35"/>
  <c r="N13" i="37"/>
  <c r="N22" i="37"/>
  <c r="L13" i="38"/>
  <c r="L25" i="38"/>
  <c r="L29" i="38"/>
  <c r="L33" i="38"/>
  <c r="Z22" i="41"/>
  <c r="X12" i="43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R15" i="43"/>
  <c r="P18" i="43"/>
  <c r="X15" i="34"/>
  <c r="N25" i="34"/>
  <c r="N29" i="34"/>
  <c r="N33" i="34"/>
  <c r="N34" i="34"/>
  <c r="N13" i="35"/>
  <c r="N22" i="35"/>
  <c r="N24" i="35"/>
  <c r="Z13" i="37"/>
  <c r="Z16" i="37"/>
  <c r="Z20" i="37"/>
  <c r="X22" i="37"/>
  <c r="X13" i="38"/>
  <c r="Z16" i="40"/>
  <c r="X22" i="40"/>
  <c r="Z24" i="41"/>
  <c r="L13" i="43"/>
  <c r="N13" i="46"/>
  <c r="X15" i="37"/>
  <c r="N25" i="37"/>
  <c r="N29" i="37"/>
  <c r="N33" i="37"/>
  <c r="N34" i="37"/>
  <c r="N13" i="38"/>
  <c r="N22" i="38"/>
  <c r="N24" i="38"/>
  <c r="Z12" i="40"/>
  <c r="V36" i="40"/>
  <c r="V34" i="40"/>
  <c r="V33" i="40"/>
  <c r="V31" i="40"/>
  <c r="V29" i="40"/>
  <c r="V27" i="40"/>
  <c r="V25" i="40"/>
  <c r="V24" i="40"/>
  <c r="V22" i="40"/>
  <c r="V21" i="40"/>
  <c r="V15" i="40"/>
  <c r="V20" i="40"/>
  <c r="V16" i="40"/>
  <c r="V18" i="40"/>
  <c r="T18" i="40"/>
  <c r="L15" i="40"/>
  <c r="Z25" i="40"/>
  <c r="Z29" i="40"/>
  <c r="Z33" i="40"/>
  <c r="Z34" i="40"/>
  <c r="R24" i="41"/>
  <c r="R36" i="41"/>
  <c r="R25" i="41"/>
  <c r="R27" i="41"/>
  <c r="R15" i="41"/>
  <c r="R16" i="41"/>
  <c r="R29" i="41"/>
  <c r="R18" i="41"/>
  <c r="X12" i="41"/>
  <c r="R31" i="41"/>
  <c r="P18" i="41"/>
  <c r="R20" i="41"/>
  <c r="R22" i="41"/>
  <c r="R21" i="41"/>
  <c r="R33" i="41"/>
  <c r="R34" i="41"/>
  <c r="N16" i="41"/>
  <c r="Z21" i="41"/>
  <c r="N25" i="43"/>
  <c r="N33" i="43"/>
  <c r="N13" i="44"/>
  <c r="F20" i="37"/>
  <c r="F18" i="37"/>
  <c r="F16" i="37"/>
  <c r="D18" i="37"/>
  <c r="F15" i="37"/>
  <c r="F36" i="37"/>
  <c r="F33" i="37"/>
  <c r="F29" i="37"/>
  <c r="F25" i="37"/>
  <c r="F22" i="37"/>
  <c r="L12" i="37"/>
  <c r="F34" i="37"/>
  <c r="F31" i="37"/>
  <c r="F27" i="37"/>
  <c r="F21" i="37"/>
  <c r="F24" i="37"/>
  <c r="X16" i="37"/>
  <c r="X20" i="37"/>
  <c r="X15" i="38"/>
  <c r="N25" i="38"/>
  <c r="N29" i="38"/>
  <c r="N33" i="38"/>
  <c r="N34" i="38"/>
  <c r="L16" i="40"/>
  <c r="L20" i="40"/>
  <c r="V24" i="41"/>
  <c r="V22" i="41"/>
  <c r="V36" i="41"/>
  <c r="V25" i="41"/>
  <c r="V15" i="41"/>
  <c r="V27" i="41"/>
  <c r="V16" i="41"/>
  <c r="V29" i="41"/>
  <c r="V18" i="41"/>
  <c r="T18" i="41"/>
  <c r="Z12" i="41"/>
  <c r="V31" i="41"/>
  <c r="V20" i="41"/>
  <c r="V21" i="41"/>
  <c r="V33" i="41"/>
  <c r="V34" i="41"/>
  <c r="N15" i="41"/>
  <c r="Z20" i="41"/>
  <c r="X20" i="43"/>
  <c r="N25" i="44"/>
  <c r="N33" i="44"/>
  <c r="J36" i="37"/>
  <c r="J34" i="37"/>
  <c r="J33" i="37"/>
  <c r="J31" i="37"/>
  <c r="J29" i="37"/>
  <c r="J27" i="37"/>
  <c r="J25" i="37"/>
  <c r="J24" i="37"/>
  <c r="J22" i="37"/>
  <c r="J20" i="37"/>
  <c r="J16" i="37"/>
  <c r="N12" i="37"/>
  <c r="J21" i="37"/>
  <c r="J18" i="37"/>
  <c r="H18" i="37"/>
  <c r="J15" i="37"/>
  <c r="X13" i="37"/>
  <c r="Z15" i="37"/>
  <c r="X21" i="37"/>
  <c r="D18" i="38"/>
  <c r="F15" i="38"/>
  <c r="F36" i="38"/>
  <c r="F34" i="38"/>
  <c r="F33" i="38"/>
  <c r="F31" i="38"/>
  <c r="F29" i="38"/>
  <c r="F27" i="38"/>
  <c r="F25" i="38"/>
  <c r="F22" i="38"/>
  <c r="F20" i="38"/>
  <c r="F16" i="38"/>
  <c r="L12" i="38"/>
  <c r="F24" i="38"/>
  <c r="F21" i="38"/>
  <c r="F18" i="38"/>
  <c r="X16" i="38"/>
  <c r="X20" i="38"/>
  <c r="N15" i="40"/>
  <c r="L21" i="40"/>
  <c r="L24" i="41"/>
  <c r="N25" i="41"/>
  <c r="X29" i="41"/>
  <c r="N21" i="43"/>
  <c r="L34" i="43"/>
  <c r="L20" i="46"/>
  <c r="Z33" i="47"/>
  <c r="N16" i="40"/>
  <c r="N20" i="40"/>
  <c r="L22" i="40"/>
  <c r="L24" i="40"/>
  <c r="X16" i="41"/>
  <c r="N24" i="41"/>
  <c r="X15" i="43"/>
  <c r="N34" i="43"/>
  <c r="L13" i="40"/>
  <c r="N21" i="40"/>
  <c r="L25" i="40"/>
  <c r="L29" i="40"/>
  <c r="L33" i="40"/>
  <c r="L34" i="40"/>
  <c r="X15" i="41"/>
  <c r="L22" i="41"/>
  <c r="N34" i="41"/>
  <c r="X15" i="44"/>
  <c r="N34" i="44"/>
  <c r="L15" i="52"/>
  <c r="N13" i="40"/>
  <c r="N22" i="40"/>
  <c r="N24" i="40"/>
  <c r="N13" i="41"/>
  <c r="Z16" i="41"/>
  <c r="L21" i="41"/>
  <c r="N22" i="41"/>
  <c r="L29" i="43"/>
  <c r="N16" i="44"/>
  <c r="L22" i="44"/>
  <c r="X13" i="47"/>
  <c r="Z34" i="52"/>
  <c r="Z12" i="37"/>
  <c r="V36" i="37"/>
  <c r="V34" i="37"/>
  <c r="V33" i="37"/>
  <c r="V31" i="37"/>
  <c r="V29" i="37"/>
  <c r="V27" i="37"/>
  <c r="V25" i="37"/>
  <c r="V24" i="37"/>
  <c r="V22" i="37"/>
  <c r="V21" i="37"/>
  <c r="V18" i="37"/>
  <c r="T18" i="37"/>
  <c r="V15" i="37"/>
  <c r="V20" i="37"/>
  <c r="V16" i="37"/>
  <c r="L15" i="37"/>
  <c r="Z25" i="37"/>
  <c r="Z29" i="37"/>
  <c r="Z33" i="37"/>
  <c r="Z34" i="37"/>
  <c r="X12" i="38"/>
  <c r="R36" i="38"/>
  <c r="R34" i="38"/>
  <c r="R33" i="38"/>
  <c r="R31" i="38"/>
  <c r="R29" i="38"/>
  <c r="R27" i="38"/>
  <c r="R25" i="38"/>
  <c r="P18" i="38"/>
  <c r="R15" i="38"/>
  <c r="R20" i="38"/>
  <c r="R16" i="38"/>
  <c r="R24" i="38"/>
  <c r="R21" i="38"/>
  <c r="R18" i="38"/>
  <c r="R22" i="38"/>
  <c r="Z22" i="38"/>
  <c r="Z24" i="38"/>
  <c r="X15" i="40"/>
  <c r="N25" i="40"/>
  <c r="N29" i="40"/>
  <c r="N33" i="40"/>
  <c r="N34" i="40"/>
  <c r="Z15" i="41"/>
  <c r="L20" i="41"/>
  <c r="X25" i="41"/>
  <c r="N33" i="41"/>
  <c r="N29" i="43"/>
  <c r="N22" i="44"/>
  <c r="N22" i="46"/>
  <c r="L15" i="47"/>
  <c r="L16" i="37"/>
  <c r="L20" i="37"/>
  <c r="V36" i="38"/>
  <c r="V34" i="38"/>
  <c r="V33" i="38"/>
  <c r="V31" i="38"/>
  <c r="V29" i="38"/>
  <c r="V27" i="38"/>
  <c r="V25" i="38"/>
  <c r="V24" i="38"/>
  <c r="V22" i="38"/>
  <c r="V21" i="38"/>
  <c r="Z12" i="38"/>
  <c r="V18" i="38"/>
  <c r="T18" i="38"/>
  <c r="V15" i="38"/>
  <c r="V20" i="38"/>
  <c r="V16" i="38"/>
  <c r="L15" i="38"/>
  <c r="Z25" i="38"/>
  <c r="Z29" i="38"/>
  <c r="Z33" i="38"/>
  <c r="Z34" i="38"/>
  <c r="F36" i="40"/>
  <c r="F34" i="40"/>
  <c r="F33" i="40"/>
  <c r="F31" i="40"/>
  <c r="F29" i="40"/>
  <c r="F27" i="40"/>
  <c r="F25" i="40"/>
  <c r="F24" i="40"/>
  <c r="F22" i="40"/>
  <c r="F21" i="40"/>
  <c r="F20" i="40"/>
  <c r="F18" i="40"/>
  <c r="F16" i="40"/>
  <c r="D18" i="40"/>
  <c r="F15" i="40"/>
  <c r="L12" i="40"/>
  <c r="X16" i="40"/>
  <c r="X20" i="40"/>
  <c r="X24" i="41"/>
  <c r="X16" i="43"/>
  <c r="N29" i="44"/>
  <c r="N24" i="50"/>
  <c r="N15" i="37"/>
  <c r="L21" i="37"/>
  <c r="L16" i="38"/>
  <c r="L20" i="38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H18" i="40"/>
  <c r="J15" i="40"/>
  <c r="N12" i="40"/>
  <c r="X13" i="40"/>
  <c r="Z15" i="40"/>
  <c r="X21" i="40"/>
  <c r="F24" i="41"/>
  <c r="F22" i="41"/>
  <c r="D18" i="41"/>
  <c r="F31" i="41"/>
  <c r="F20" i="41"/>
  <c r="F21" i="41"/>
  <c r="F33" i="41"/>
  <c r="F34" i="41"/>
  <c r="F36" i="41"/>
  <c r="F25" i="41"/>
  <c r="F15" i="41"/>
  <c r="F18" i="41"/>
  <c r="F16" i="41"/>
  <c r="F29" i="41"/>
  <c r="F27" i="41"/>
  <c r="L12" i="41"/>
  <c r="X13" i="41"/>
  <c r="N20" i="41"/>
  <c r="X34" i="41"/>
  <c r="L24" i="44"/>
  <c r="L13" i="47"/>
  <c r="N29" i="49"/>
  <c r="N22" i="50"/>
  <c r="L13" i="41"/>
  <c r="N21" i="41"/>
  <c r="L25" i="41"/>
  <c r="L29" i="41"/>
  <c r="L33" i="41"/>
  <c r="L34" i="41"/>
  <c r="N13" i="43"/>
  <c r="N22" i="43"/>
  <c r="N24" i="43"/>
  <c r="L13" i="44"/>
  <c r="N21" i="44"/>
  <c r="L25" i="44"/>
  <c r="L29" i="44"/>
  <c r="L33" i="44"/>
  <c r="L34" i="44"/>
  <c r="N16" i="46"/>
  <c r="N20" i="46"/>
  <c r="L22" i="46"/>
  <c r="Z29" i="50"/>
  <c r="H18" i="43"/>
  <c r="J15" i="43"/>
  <c r="N12" i="43"/>
  <c r="J21" i="43"/>
  <c r="J18" i="43"/>
  <c r="J36" i="43"/>
  <c r="J29" i="43"/>
  <c r="J22" i="43"/>
  <c r="J16" i="43"/>
  <c r="J34" i="43"/>
  <c r="J27" i="43"/>
  <c r="J33" i="43"/>
  <c r="J25" i="43"/>
  <c r="J31" i="43"/>
  <c r="J24" i="43"/>
  <c r="J20" i="43"/>
  <c r="X13" i="43"/>
  <c r="Z15" i="43"/>
  <c r="X21" i="43"/>
  <c r="F20" i="44"/>
  <c r="F18" i="44"/>
  <c r="F16" i="44"/>
  <c r="D18" i="44"/>
  <c r="F15" i="44"/>
  <c r="L12" i="44"/>
  <c r="F24" i="44"/>
  <c r="F22" i="44"/>
  <c r="F36" i="44"/>
  <c r="F29" i="44"/>
  <c r="F34" i="44"/>
  <c r="F27" i="44"/>
  <c r="F21" i="44"/>
  <c r="F33" i="44"/>
  <c r="F25" i="44"/>
  <c r="F31" i="44"/>
  <c r="X16" i="44"/>
  <c r="X20" i="44"/>
  <c r="Z13" i="46"/>
  <c r="Z16" i="46"/>
  <c r="Z20" i="46"/>
  <c r="X22" i="46"/>
  <c r="N15" i="47"/>
  <c r="L20" i="49"/>
  <c r="V21" i="50"/>
  <c r="V20" i="50"/>
  <c r="V18" i="50"/>
  <c r="V16" i="50"/>
  <c r="T18" i="50"/>
  <c r="V15" i="50"/>
  <c r="Z12" i="50"/>
  <c r="V34" i="50"/>
  <c r="V27" i="50"/>
  <c r="V33" i="50"/>
  <c r="V25" i="50"/>
  <c r="V31" i="50"/>
  <c r="V24" i="50"/>
  <c r="V22" i="50"/>
  <c r="V29" i="50"/>
  <c r="V36" i="50"/>
  <c r="X16" i="52"/>
  <c r="L13" i="53"/>
  <c r="Z13" i="43"/>
  <c r="Z16" i="43"/>
  <c r="Z20" i="43"/>
  <c r="X22" i="43"/>
  <c r="X24" i="43"/>
  <c r="N12" i="44"/>
  <c r="J36" i="44"/>
  <c r="J34" i="44"/>
  <c r="J33" i="44"/>
  <c r="J31" i="44"/>
  <c r="J29" i="44"/>
  <c r="J27" i="44"/>
  <c r="J25" i="44"/>
  <c r="J20" i="44"/>
  <c r="J18" i="44"/>
  <c r="J16" i="44"/>
  <c r="H18" i="44"/>
  <c r="J22" i="44"/>
  <c r="J21" i="44"/>
  <c r="J15" i="44"/>
  <c r="J24" i="44"/>
  <c r="X13" i="44"/>
  <c r="Z15" i="44"/>
  <c r="X21" i="44"/>
  <c r="Z22" i="46"/>
  <c r="X20" i="47"/>
  <c r="L20" i="50"/>
  <c r="Z16" i="52"/>
  <c r="X13" i="53"/>
  <c r="Z21" i="43"/>
  <c r="X25" i="43"/>
  <c r="X29" i="43"/>
  <c r="X33" i="43"/>
  <c r="X34" i="43"/>
  <c r="Z13" i="44"/>
  <c r="Z16" i="44"/>
  <c r="Z20" i="44"/>
  <c r="X22" i="44"/>
  <c r="X24" i="44"/>
  <c r="Z15" i="47"/>
  <c r="N25" i="49"/>
  <c r="N33" i="49"/>
  <c r="N13" i="50"/>
  <c r="X20" i="52"/>
  <c r="Z22" i="43"/>
  <c r="Z24" i="43"/>
  <c r="Z21" i="44"/>
  <c r="X25" i="44"/>
  <c r="X29" i="44"/>
  <c r="X33" i="44"/>
  <c r="X34" i="44"/>
  <c r="L24" i="46"/>
  <c r="Z29" i="47"/>
  <c r="Z34" i="47"/>
  <c r="L15" i="50"/>
  <c r="Z25" i="50"/>
  <c r="Z33" i="50"/>
  <c r="Z20" i="52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4" i="44"/>
  <c r="R22" i="44"/>
  <c r="R21" i="44"/>
  <c r="R20" i="44"/>
  <c r="R18" i="44"/>
  <c r="R16" i="44"/>
  <c r="P18" i="44"/>
  <c r="R15" i="44"/>
  <c r="Z22" i="44"/>
  <c r="Z24" i="44"/>
  <c r="N24" i="46"/>
  <c r="F36" i="47"/>
  <c r="F34" i="47"/>
  <c r="F33" i="47"/>
  <c r="F31" i="47"/>
  <c r="F29" i="47"/>
  <c r="F27" i="47"/>
  <c r="F25" i="47"/>
  <c r="F24" i="47"/>
  <c r="F22" i="47"/>
  <c r="F21" i="47"/>
  <c r="D18" i="47"/>
  <c r="F15" i="47"/>
  <c r="L12" i="47"/>
  <c r="F16" i="47"/>
  <c r="F20" i="47"/>
  <c r="F18" i="47"/>
  <c r="L21" i="47"/>
  <c r="N15" i="49"/>
  <c r="L21" i="49"/>
  <c r="Z22" i="52"/>
  <c r="N21" i="53"/>
  <c r="L15" i="41"/>
  <c r="Z25" i="41"/>
  <c r="Z29" i="41"/>
  <c r="Z33" i="41"/>
  <c r="Z34" i="41"/>
  <c r="L16" i="43"/>
  <c r="L20" i="43"/>
  <c r="Z12" i="44"/>
  <c r="V36" i="44"/>
  <c r="V34" i="44"/>
  <c r="V33" i="44"/>
  <c r="V31" i="44"/>
  <c r="V29" i="44"/>
  <c r="V27" i="44"/>
  <c r="V25" i="44"/>
  <c r="V24" i="44"/>
  <c r="V22" i="44"/>
  <c r="V21" i="44"/>
  <c r="V20" i="44"/>
  <c r="V18" i="44"/>
  <c r="V16" i="44"/>
  <c r="T18" i="44"/>
  <c r="V15" i="44"/>
  <c r="L15" i="44"/>
  <c r="Z25" i="44"/>
  <c r="Z29" i="44"/>
  <c r="Z33" i="44"/>
  <c r="Z34" i="44"/>
  <c r="J36" i="46"/>
  <c r="J34" i="46"/>
  <c r="J33" i="46"/>
  <c r="J31" i="46"/>
  <c r="J29" i="46"/>
  <c r="J27" i="46"/>
  <c r="J25" i="46"/>
  <c r="J24" i="46"/>
  <c r="J22" i="46"/>
  <c r="J20" i="46"/>
  <c r="J18" i="46"/>
  <c r="J16" i="46"/>
  <c r="N12" i="46"/>
  <c r="J21" i="46"/>
  <c r="H18" i="46"/>
  <c r="J15" i="46"/>
  <c r="Z15" i="46"/>
  <c r="X21" i="46"/>
  <c r="J24" i="47"/>
  <c r="J22" i="47"/>
  <c r="J21" i="47"/>
  <c r="J20" i="47"/>
  <c r="J18" i="47"/>
  <c r="J16" i="47"/>
  <c r="H18" i="47"/>
  <c r="J15" i="47"/>
  <c r="N12" i="47"/>
  <c r="J36" i="47"/>
  <c r="J31" i="47"/>
  <c r="J25" i="47"/>
  <c r="J34" i="47"/>
  <c r="J29" i="47"/>
  <c r="J33" i="47"/>
  <c r="J27" i="47"/>
  <c r="X16" i="47"/>
  <c r="X15" i="49"/>
  <c r="N34" i="49"/>
  <c r="Z21" i="53"/>
  <c r="N15" i="43"/>
  <c r="L21" i="43"/>
  <c r="L16" i="44"/>
  <c r="L20" i="44"/>
  <c r="X24" i="46"/>
  <c r="V36" i="47"/>
  <c r="V34" i="47"/>
  <c r="V33" i="47"/>
  <c r="V31" i="47"/>
  <c r="V29" i="47"/>
  <c r="V27" i="47"/>
  <c r="V25" i="47"/>
  <c r="V21" i="47"/>
  <c r="V20" i="47"/>
  <c r="V18" i="47"/>
  <c r="V16" i="47"/>
  <c r="T18" i="47"/>
  <c r="V15" i="47"/>
  <c r="Z12" i="47"/>
  <c r="V24" i="47"/>
  <c r="V22" i="47"/>
  <c r="X21" i="47"/>
  <c r="L16" i="49"/>
  <c r="Z34" i="50"/>
  <c r="L25" i="53"/>
  <c r="N16" i="43"/>
  <c r="N20" i="43"/>
  <c r="L22" i="43"/>
  <c r="L24" i="43"/>
  <c r="N15" i="44"/>
  <c r="L21" i="44"/>
  <c r="P18" i="46"/>
  <c r="R15" i="46"/>
  <c r="R36" i="46"/>
  <c r="R24" i="46"/>
  <c r="R22" i="46"/>
  <c r="R34" i="46"/>
  <c r="R31" i="46"/>
  <c r="R27" i="46"/>
  <c r="R21" i="46"/>
  <c r="R18" i="46"/>
  <c r="R33" i="46"/>
  <c r="R29" i="46"/>
  <c r="R25" i="46"/>
  <c r="X12" i="46"/>
  <c r="R20" i="46"/>
  <c r="R16" i="46"/>
  <c r="Z24" i="46"/>
  <c r="Z25" i="47"/>
  <c r="L16" i="50"/>
  <c r="X25" i="53"/>
  <c r="Z21" i="46"/>
  <c r="X25" i="46"/>
  <c r="X29" i="46"/>
  <c r="X33" i="46"/>
  <c r="X34" i="46"/>
  <c r="Z13" i="47"/>
  <c r="Z16" i="47"/>
  <c r="Z20" i="47"/>
  <c r="X22" i="47"/>
  <c r="X24" i="47"/>
  <c r="N16" i="49"/>
  <c r="N20" i="49"/>
  <c r="L22" i="49"/>
  <c r="L24" i="49"/>
  <c r="N15" i="50"/>
  <c r="L21" i="50"/>
  <c r="F21" i="52"/>
  <c r="F20" i="52"/>
  <c r="F18" i="52"/>
  <c r="F16" i="52"/>
  <c r="D18" i="52"/>
  <c r="F31" i="52"/>
  <c r="F34" i="52"/>
  <c r="F22" i="52"/>
  <c r="F25" i="52"/>
  <c r="F29" i="52"/>
  <c r="F33" i="52"/>
  <c r="L12" i="52"/>
  <c r="F36" i="52"/>
  <c r="F24" i="52"/>
  <c r="F15" i="52"/>
  <c r="F27" i="52"/>
  <c r="Z21" i="47"/>
  <c r="X25" i="47"/>
  <c r="X29" i="47"/>
  <c r="X33" i="47"/>
  <c r="X34" i="47"/>
  <c r="L13" i="49"/>
  <c r="N21" i="49"/>
  <c r="L25" i="49"/>
  <c r="L29" i="49"/>
  <c r="L33" i="49"/>
  <c r="L34" i="49"/>
  <c r="N16" i="50"/>
  <c r="N20" i="50"/>
  <c r="L22" i="50"/>
  <c r="L24" i="50"/>
  <c r="N24" i="52"/>
  <c r="L33" i="52"/>
  <c r="L22" i="53"/>
  <c r="Z12" i="46"/>
  <c r="V24" i="46"/>
  <c r="V22" i="46"/>
  <c r="V20" i="46"/>
  <c r="V18" i="46"/>
  <c r="V16" i="46"/>
  <c r="V21" i="46"/>
  <c r="T18" i="46"/>
  <c r="V15" i="46"/>
  <c r="V33" i="46"/>
  <c r="V29" i="46"/>
  <c r="V25" i="46"/>
  <c r="V36" i="46"/>
  <c r="V34" i="46"/>
  <c r="V31" i="46"/>
  <c r="V27" i="46"/>
  <c r="L15" i="46"/>
  <c r="Z25" i="46"/>
  <c r="Z29" i="46"/>
  <c r="Z33" i="46"/>
  <c r="Z34" i="46"/>
  <c r="X12" i="47"/>
  <c r="R36" i="47"/>
  <c r="R34" i="47"/>
  <c r="R33" i="47"/>
  <c r="R31" i="47"/>
  <c r="R29" i="47"/>
  <c r="R27" i="47"/>
  <c r="R25" i="47"/>
  <c r="R24" i="47"/>
  <c r="R22" i="47"/>
  <c r="R21" i="47"/>
  <c r="R16" i="47"/>
  <c r="R20" i="47"/>
  <c r="R15" i="47"/>
  <c r="P18" i="47"/>
  <c r="R18" i="47"/>
  <c r="Z22" i="47"/>
  <c r="Z24" i="47"/>
  <c r="N13" i="49"/>
  <c r="N22" i="49"/>
  <c r="N24" i="49"/>
  <c r="L13" i="50"/>
  <c r="N21" i="50"/>
  <c r="L25" i="50"/>
  <c r="L29" i="50"/>
  <c r="L33" i="50"/>
  <c r="L34" i="50"/>
  <c r="R24" i="52"/>
  <c r="R22" i="52"/>
  <c r="R20" i="52"/>
  <c r="R18" i="52"/>
  <c r="R16" i="52"/>
  <c r="R34" i="52"/>
  <c r="R25" i="52"/>
  <c r="R29" i="52"/>
  <c r="R33" i="52"/>
  <c r="R21" i="52"/>
  <c r="P18" i="52"/>
  <c r="X12" i="52"/>
  <c r="R15" i="52"/>
  <c r="R36" i="52"/>
  <c r="R27" i="52"/>
  <c r="R31" i="52"/>
  <c r="N21" i="52"/>
  <c r="X24" i="52"/>
  <c r="L33" i="53"/>
  <c r="Z12" i="52"/>
  <c r="V36" i="52"/>
  <c r="V34" i="52"/>
  <c r="V33" i="52"/>
  <c r="V31" i="52"/>
  <c r="V29" i="52"/>
  <c r="V27" i="52"/>
  <c r="V25" i="52"/>
  <c r="V20" i="52"/>
  <c r="V18" i="52"/>
  <c r="V16" i="52"/>
  <c r="V21" i="52"/>
  <c r="T18" i="52"/>
  <c r="V24" i="52"/>
  <c r="V15" i="52"/>
  <c r="V22" i="52"/>
  <c r="Z24" i="52"/>
  <c r="L29" i="52"/>
  <c r="X33" i="53"/>
  <c r="N15" i="46"/>
  <c r="L21" i="46"/>
  <c r="L16" i="47"/>
  <c r="L20" i="47"/>
  <c r="L12" i="49"/>
  <c r="F36" i="49"/>
  <c r="F34" i="49"/>
  <c r="F33" i="49"/>
  <c r="F31" i="49"/>
  <c r="F29" i="49"/>
  <c r="F27" i="49"/>
  <c r="F25" i="49"/>
  <c r="F24" i="49"/>
  <c r="F22" i="49"/>
  <c r="F21" i="49"/>
  <c r="F16" i="49"/>
  <c r="F15" i="49"/>
  <c r="F20" i="49"/>
  <c r="D18" i="49"/>
  <c r="F18" i="49"/>
  <c r="X16" i="49"/>
  <c r="X20" i="49"/>
  <c r="X15" i="50"/>
  <c r="N25" i="50"/>
  <c r="N29" i="50"/>
  <c r="N33" i="50"/>
  <c r="N34" i="50"/>
  <c r="Z15" i="53"/>
  <c r="Z22" i="53"/>
  <c r="N12" i="49"/>
  <c r="J36" i="49"/>
  <c r="J34" i="49"/>
  <c r="J33" i="49"/>
  <c r="J31" i="49"/>
  <c r="J29" i="49"/>
  <c r="J27" i="49"/>
  <c r="J25" i="49"/>
  <c r="J21" i="49"/>
  <c r="J20" i="49"/>
  <c r="J18" i="49"/>
  <c r="J16" i="49"/>
  <c r="H18" i="49"/>
  <c r="J15" i="49"/>
  <c r="J22" i="49"/>
  <c r="J24" i="49"/>
  <c r="X13" i="49"/>
  <c r="Z15" i="49"/>
  <c r="X21" i="49"/>
  <c r="L12" i="50"/>
  <c r="F24" i="50"/>
  <c r="F22" i="50"/>
  <c r="F21" i="50"/>
  <c r="F20" i="50"/>
  <c r="F18" i="50"/>
  <c r="F16" i="50"/>
  <c r="F34" i="50"/>
  <c r="F27" i="50"/>
  <c r="F15" i="50"/>
  <c r="F33" i="50"/>
  <c r="F25" i="50"/>
  <c r="F36" i="50"/>
  <c r="F29" i="50"/>
  <c r="D18" i="50"/>
  <c r="F31" i="50"/>
  <c r="X16" i="50"/>
  <c r="X20" i="50"/>
  <c r="L25" i="52"/>
  <c r="Z33" i="52"/>
  <c r="N20" i="53"/>
  <c r="L24" i="53"/>
  <c r="L13" i="46"/>
  <c r="N21" i="46"/>
  <c r="L25" i="46"/>
  <c r="L29" i="46"/>
  <c r="L33" i="46"/>
  <c r="L34" i="46"/>
  <c r="N16" i="47"/>
  <c r="N20" i="47"/>
  <c r="L22" i="47"/>
  <c r="L24" i="47"/>
  <c r="Z13" i="49"/>
  <c r="Z16" i="49"/>
  <c r="Z20" i="49"/>
  <c r="X22" i="49"/>
  <c r="X24" i="49"/>
  <c r="N12" i="50"/>
  <c r="J36" i="50"/>
  <c r="J34" i="50"/>
  <c r="J33" i="50"/>
  <c r="J31" i="50"/>
  <c r="J29" i="50"/>
  <c r="J27" i="50"/>
  <c r="J25" i="50"/>
  <c r="J24" i="50"/>
  <c r="J22" i="50"/>
  <c r="J20" i="50"/>
  <c r="J18" i="50"/>
  <c r="J16" i="50"/>
  <c r="H18" i="50"/>
  <c r="J15" i="50"/>
  <c r="J21" i="50"/>
  <c r="X13" i="50"/>
  <c r="Z15" i="50"/>
  <c r="X21" i="50"/>
  <c r="L13" i="52"/>
  <c r="L34" i="52"/>
  <c r="J36" i="53"/>
  <c r="J34" i="53"/>
  <c r="J33" i="53"/>
  <c r="J31" i="53"/>
  <c r="J29" i="53"/>
  <c r="J27" i="53"/>
  <c r="J25" i="53"/>
  <c r="J24" i="53"/>
  <c r="J22" i="53"/>
  <c r="J21" i="53"/>
  <c r="J16" i="53"/>
  <c r="N12" i="53"/>
  <c r="J20" i="53"/>
  <c r="J15" i="53"/>
  <c r="J18" i="53"/>
  <c r="H18" i="53"/>
  <c r="L29" i="53"/>
  <c r="L34" i="53"/>
  <c r="N21" i="47"/>
  <c r="L25" i="47"/>
  <c r="L29" i="47"/>
  <c r="L33" i="47"/>
  <c r="L34" i="47"/>
  <c r="Z21" i="49"/>
  <c r="X25" i="49"/>
  <c r="X29" i="49"/>
  <c r="X33" i="49"/>
  <c r="X34" i="49"/>
  <c r="Z13" i="50"/>
  <c r="Z16" i="50"/>
  <c r="Z20" i="50"/>
  <c r="X22" i="50"/>
  <c r="X24" i="50"/>
  <c r="N13" i="52"/>
  <c r="L16" i="52"/>
  <c r="Z29" i="52"/>
  <c r="N16" i="53"/>
  <c r="X29" i="53"/>
  <c r="X34" i="53"/>
  <c r="X15" i="46"/>
  <c r="N25" i="46"/>
  <c r="N29" i="46"/>
  <c r="N33" i="46"/>
  <c r="N34" i="46"/>
  <c r="N13" i="47"/>
  <c r="N22" i="47"/>
  <c r="N24" i="47"/>
  <c r="R36" i="49"/>
  <c r="R34" i="49"/>
  <c r="R33" i="49"/>
  <c r="R31" i="49"/>
  <c r="R29" i="49"/>
  <c r="R27" i="49"/>
  <c r="R25" i="49"/>
  <c r="R24" i="49"/>
  <c r="R22" i="49"/>
  <c r="R21" i="49"/>
  <c r="R20" i="49"/>
  <c r="R18" i="49"/>
  <c r="R16" i="49"/>
  <c r="P18" i="49"/>
  <c r="R15" i="49"/>
  <c r="X12" i="49"/>
  <c r="Z22" i="49"/>
  <c r="Z24" i="49"/>
  <c r="Z21" i="50"/>
  <c r="X25" i="50"/>
  <c r="X29" i="50"/>
  <c r="X33" i="50"/>
  <c r="X34" i="50"/>
  <c r="N22" i="52"/>
  <c r="X12" i="53"/>
  <c r="R21" i="53"/>
  <c r="R20" i="53"/>
  <c r="P18" i="53"/>
  <c r="R15" i="53"/>
  <c r="R16" i="53"/>
  <c r="R34" i="53"/>
  <c r="R29" i="53"/>
  <c r="R24" i="53"/>
  <c r="R33" i="53"/>
  <c r="R27" i="53"/>
  <c r="R22" i="53"/>
  <c r="R18" i="53"/>
  <c r="R36" i="53"/>
  <c r="R31" i="53"/>
  <c r="R25" i="53"/>
  <c r="Z24" i="53"/>
  <c r="F24" i="46"/>
  <c r="F22" i="46"/>
  <c r="F20" i="46"/>
  <c r="F18" i="46"/>
  <c r="F16" i="46"/>
  <c r="L12" i="46"/>
  <c r="F34" i="46"/>
  <c r="F31" i="46"/>
  <c r="F27" i="46"/>
  <c r="F21" i="46"/>
  <c r="D18" i="46"/>
  <c r="F15" i="46"/>
  <c r="F36" i="46"/>
  <c r="F33" i="46"/>
  <c r="F29" i="46"/>
  <c r="F25" i="46"/>
  <c r="X16" i="46"/>
  <c r="X20" i="46"/>
  <c r="X15" i="47"/>
  <c r="N25" i="47"/>
  <c r="N29" i="47"/>
  <c r="N33" i="47"/>
  <c r="N34" i="47"/>
  <c r="V24" i="49"/>
  <c r="V22" i="49"/>
  <c r="V21" i="49"/>
  <c r="V20" i="49"/>
  <c r="V18" i="49"/>
  <c r="V16" i="49"/>
  <c r="T18" i="49"/>
  <c r="V15" i="49"/>
  <c r="V34" i="49"/>
  <c r="V27" i="49"/>
  <c r="V33" i="49"/>
  <c r="V25" i="49"/>
  <c r="Z12" i="49"/>
  <c r="V31" i="49"/>
  <c r="V36" i="49"/>
  <c r="V29" i="49"/>
  <c r="L15" i="49"/>
  <c r="Z25" i="49"/>
  <c r="Z29" i="49"/>
  <c r="Z33" i="49"/>
  <c r="Z34" i="49"/>
  <c r="R36" i="50"/>
  <c r="R34" i="50"/>
  <c r="R33" i="50"/>
  <c r="R31" i="50"/>
  <c r="R29" i="50"/>
  <c r="R27" i="50"/>
  <c r="R25" i="50"/>
  <c r="R24" i="50"/>
  <c r="R22" i="50"/>
  <c r="R21" i="50"/>
  <c r="R20" i="50"/>
  <c r="R18" i="50"/>
  <c r="R16" i="50"/>
  <c r="P18" i="50"/>
  <c r="R15" i="50"/>
  <c r="X12" i="50"/>
  <c r="Z22" i="50"/>
  <c r="Z24" i="50"/>
  <c r="Z13" i="52"/>
  <c r="X22" i="52"/>
  <c r="Z25" i="52"/>
  <c r="X15" i="52"/>
  <c r="N25" i="52"/>
  <c r="N29" i="52"/>
  <c r="N33" i="52"/>
  <c r="N34" i="52"/>
  <c r="N13" i="53"/>
  <c r="N22" i="53"/>
  <c r="N24" i="53"/>
  <c r="X15" i="53"/>
  <c r="N25" i="53"/>
  <c r="N29" i="53"/>
  <c r="N33" i="53"/>
  <c r="N34" i="53"/>
  <c r="H18" i="52"/>
  <c r="J15" i="52"/>
  <c r="N12" i="52"/>
  <c r="J36" i="52"/>
  <c r="J34" i="52"/>
  <c r="J33" i="52"/>
  <c r="J31" i="52"/>
  <c r="J29" i="52"/>
  <c r="J27" i="52"/>
  <c r="J25" i="52"/>
  <c r="J24" i="52"/>
  <c r="J22" i="52"/>
  <c r="J20" i="52"/>
  <c r="J16" i="52"/>
  <c r="J21" i="52"/>
  <c r="J18" i="52"/>
  <c r="X13" i="52"/>
  <c r="Z15" i="52"/>
  <c r="X21" i="52"/>
  <c r="F20" i="53"/>
  <c r="F18" i="53"/>
  <c r="F16" i="53"/>
  <c r="D18" i="53"/>
  <c r="F15" i="53"/>
  <c r="L12" i="53"/>
  <c r="F36" i="53"/>
  <c r="F34" i="53"/>
  <c r="F33" i="53"/>
  <c r="F31" i="53"/>
  <c r="F29" i="53"/>
  <c r="F27" i="53"/>
  <c r="F25" i="53"/>
  <c r="F21" i="53"/>
  <c r="F24" i="53"/>
  <c r="F22" i="53"/>
  <c r="X16" i="53"/>
  <c r="X20" i="53"/>
  <c r="X21" i="53"/>
  <c r="Z21" i="52"/>
  <c r="X25" i="52"/>
  <c r="X29" i="52"/>
  <c r="X33" i="52"/>
  <c r="X34" i="52"/>
  <c r="Z13" i="53"/>
  <c r="Z16" i="53"/>
  <c r="Z20" i="53"/>
  <c r="X22" i="53"/>
  <c r="X24" i="53"/>
  <c r="L20" i="52"/>
  <c r="Z12" i="53"/>
  <c r="V36" i="53"/>
  <c r="V34" i="53"/>
  <c r="V33" i="53"/>
  <c r="V31" i="53"/>
  <c r="V29" i="53"/>
  <c r="V27" i="53"/>
  <c r="V25" i="53"/>
  <c r="V24" i="53"/>
  <c r="V22" i="53"/>
  <c r="T18" i="53"/>
  <c r="V15" i="53"/>
  <c r="V20" i="53"/>
  <c r="V18" i="53"/>
  <c r="V21" i="53"/>
  <c r="V16" i="53"/>
  <c r="L15" i="53"/>
  <c r="Z25" i="53"/>
  <c r="Z29" i="53"/>
  <c r="Z33" i="53"/>
  <c r="Z34" i="53"/>
  <c r="N15" i="52"/>
  <c r="L21" i="52"/>
  <c r="L16" i="53"/>
  <c r="L20" i="53"/>
  <c r="N16" i="52"/>
  <c r="N20" i="52"/>
  <c r="L22" i="52"/>
  <c r="L24" i="52"/>
  <c r="N15" i="53"/>
  <c r="L21" i="53"/>
  <c r="X33" i="110"/>
  <c r="Z15" i="111"/>
  <c r="Z21" i="110"/>
  <c r="N29" i="112"/>
  <c r="T18" i="110"/>
  <c r="V15" i="110"/>
  <c r="Z12" i="110"/>
  <c r="V36" i="110"/>
  <c r="V34" i="110"/>
  <c r="V33" i="110"/>
  <c r="V31" i="110"/>
  <c r="V29" i="110"/>
  <c r="V27" i="110"/>
  <c r="V25" i="110"/>
  <c r="V21" i="110"/>
  <c r="V20" i="110"/>
  <c r="V18" i="110"/>
  <c r="V16" i="110"/>
  <c r="V24" i="110"/>
  <c r="V22" i="110"/>
  <c r="X34" i="111"/>
  <c r="L15" i="110"/>
  <c r="Z33" i="110"/>
  <c r="X25" i="111"/>
  <c r="X34" i="110"/>
  <c r="Z34" i="110"/>
  <c r="J21" i="112"/>
  <c r="J20" i="112"/>
  <c r="J18" i="112"/>
  <c r="J16" i="112"/>
  <c r="H18" i="112"/>
  <c r="J15" i="112"/>
  <c r="N12" i="112"/>
  <c r="J36" i="112"/>
  <c r="J34" i="112"/>
  <c r="J33" i="112"/>
  <c r="J31" i="112"/>
  <c r="J29" i="112"/>
  <c r="J27" i="112"/>
  <c r="J25" i="112"/>
  <c r="J24" i="112"/>
  <c r="J22" i="112"/>
  <c r="X21" i="112"/>
  <c r="X25" i="110"/>
  <c r="N33" i="112"/>
  <c r="Z25" i="110"/>
  <c r="X29" i="111"/>
  <c r="X13" i="112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X21" i="111"/>
  <c r="X15" i="112"/>
  <c r="N34" i="112"/>
  <c r="Z21" i="111"/>
  <c r="Z15" i="112"/>
  <c r="X29" i="110"/>
  <c r="X13" i="111"/>
  <c r="N25" i="112"/>
  <c r="Z29" i="110"/>
  <c r="X33" i="111"/>
  <c r="R21" i="110"/>
  <c r="R20" i="110"/>
  <c r="R18" i="110"/>
  <c r="R16" i="110"/>
  <c r="P18" i="110"/>
  <c r="R15" i="110"/>
  <c r="X12" i="110"/>
  <c r="R36" i="110"/>
  <c r="R34" i="110"/>
  <c r="R33" i="110"/>
  <c r="R31" i="110"/>
  <c r="R29" i="110"/>
  <c r="R27" i="110"/>
  <c r="R25" i="110"/>
  <c r="R24" i="110"/>
  <c r="R22" i="110"/>
  <c r="Z22" i="110"/>
  <c r="Z24" i="110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1" i="111"/>
  <c r="R22" i="111"/>
  <c r="R20" i="111"/>
  <c r="R18" i="111"/>
  <c r="R24" i="111"/>
  <c r="R16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T18" i="111"/>
  <c r="V15" i="111"/>
  <c r="V20" i="111"/>
  <c r="V18" i="111"/>
  <c r="V16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P18" i="112"/>
  <c r="R15" i="112"/>
  <c r="R16" i="112"/>
  <c r="R20" i="112"/>
  <c r="R18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N94" i="3"/>
  <c r="T252" i="3"/>
  <c r="R236" i="3"/>
  <c r="R235" i="3"/>
  <c r="R223" i="3"/>
  <c r="R219" i="3"/>
  <c r="R203" i="3"/>
  <c r="R188" i="3"/>
  <c r="R187" i="3"/>
  <c r="R180" i="3"/>
  <c r="R179" i="3"/>
  <c r="R171" i="3"/>
  <c r="R164" i="3"/>
  <c r="R163" i="3"/>
  <c r="R155" i="3"/>
  <c r="R151" i="3"/>
  <c r="R147" i="3"/>
  <c r="R250" i="3"/>
  <c r="R215" i="3"/>
  <c r="R214" i="3"/>
  <c r="R198" i="3"/>
  <c r="R142" i="3"/>
  <c r="R138" i="3"/>
  <c r="R255" i="3"/>
  <c r="R254" i="3"/>
  <c r="R237" i="3"/>
  <c r="R230" i="3"/>
  <c r="R229" i="3"/>
  <c r="R209" i="3"/>
  <c r="R190" i="3"/>
  <c r="R189" i="3"/>
  <c r="R181" i="3"/>
  <c r="R165" i="3"/>
  <c r="R240" i="3"/>
  <c r="R224" i="3"/>
  <c r="R220" i="3"/>
  <c r="R216" i="3"/>
  <c r="R204" i="3"/>
  <c r="R173" i="3"/>
  <c r="R172" i="3"/>
  <c r="R157" i="3"/>
  <c r="R156" i="3"/>
  <c r="R152" i="3"/>
  <c r="R148" i="3"/>
  <c r="R241" i="3"/>
  <c r="R232" i="3"/>
  <c r="R231" i="3"/>
  <c r="R199" i="3"/>
  <c r="R192" i="3"/>
  <c r="R191" i="3"/>
  <c r="R143" i="3"/>
  <c r="R139" i="3"/>
  <c r="R244" i="3"/>
  <c r="R201" i="3"/>
  <c r="R200" i="3"/>
  <c r="R177" i="3"/>
  <c r="R176" i="3"/>
  <c r="R160" i="3"/>
  <c r="R144" i="3"/>
  <c r="R140" i="3"/>
  <c r="R136" i="3"/>
  <c r="P132" i="3"/>
  <c r="R213" i="3"/>
  <c r="R197" i="3"/>
  <c r="R186" i="3"/>
  <c r="R185" i="3"/>
  <c r="R170" i="3"/>
  <c r="R169" i="3"/>
  <c r="R162" i="3"/>
  <c r="R161" i="3"/>
  <c r="R146" i="3"/>
  <c r="R145" i="3"/>
  <c r="R141" i="3"/>
  <c r="R137" i="3"/>
  <c r="R225" i="3"/>
  <c r="R221" i="3"/>
  <c r="R129" i="3"/>
  <c r="R121" i="3"/>
  <c r="R113" i="3"/>
  <c r="R105" i="3"/>
  <c r="R94" i="3"/>
  <c r="R114" i="3"/>
  <c r="R106" i="3"/>
  <c r="R95" i="3"/>
  <c r="R205" i="3"/>
  <c r="R246" i="3"/>
  <c r="R211" i="3"/>
  <c r="R196" i="3"/>
  <c r="R193" i="3"/>
  <c r="R184" i="3"/>
  <c r="R174" i="3"/>
  <c r="R97" i="3"/>
  <c r="R120" i="3"/>
  <c r="R112" i="3"/>
  <c r="R166" i="3"/>
  <c r="R243" i="3"/>
  <c r="R228" i="3"/>
  <c r="R202" i="3"/>
  <c r="R167" i="3"/>
  <c r="R134" i="3"/>
  <c r="R124" i="3"/>
  <c r="R116" i="3"/>
  <c r="R108" i="3"/>
  <c r="R100" i="3"/>
  <c r="R245" i="3"/>
  <c r="R115" i="3"/>
  <c r="R96" i="3"/>
  <c r="R194" i="3"/>
  <c r="R175" i="3"/>
  <c r="R127" i="3"/>
  <c r="R119" i="3"/>
  <c r="R111" i="3"/>
  <c r="R103" i="3"/>
  <c r="R233" i="3"/>
  <c r="R153" i="3"/>
  <c r="R130" i="3"/>
  <c r="R122" i="3"/>
  <c r="X12" i="3"/>
  <c r="R178" i="3"/>
  <c r="R107" i="3"/>
  <c r="R182" i="3"/>
  <c r="R158" i="3"/>
  <c r="R135" i="3"/>
  <c r="R218" i="3"/>
  <c r="R212" i="3"/>
  <c r="R207" i="3"/>
  <c r="R149" i="3"/>
  <c r="R98" i="3"/>
  <c r="R101" i="3"/>
  <c r="R210" i="3"/>
  <c r="R227" i="3"/>
  <c r="R226" i="3"/>
  <c r="R222" i="3"/>
  <c r="R168" i="3"/>
  <c r="R159" i="3"/>
  <c r="R125" i="3"/>
  <c r="R117" i="3"/>
  <c r="R109" i="3"/>
  <c r="R128" i="3"/>
  <c r="R104" i="3"/>
  <c r="R242" i="3"/>
  <c r="R195" i="3"/>
  <c r="R234" i="3"/>
  <c r="R154" i="3"/>
  <c r="R132" i="3"/>
  <c r="R126" i="3"/>
  <c r="R118" i="3"/>
  <c r="R110" i="3"/>
  <c r="R102" i="3"/>
  <c r="R217" i="3"/>
  <c r="R208" i="3"/>
  <c r="R206" i="3"/>
  <c r="R150" i="3"/>
  <c r="R183" i="3"/>
  <c r="R123" i="3"/>
  <c r="R99" i="3"/>
  <c r="F203" i="12"/>
  <c r="F195" i="12"/>
  <c r="F191" i="12"/>
  <c r="F187" i="12"/>
  <c r="F186" i="12"/>
  <c r="F175" i="12"/>
  <c r="F216" i="12"/>
  <c r="F170" i="12"/>
  <c r="F162" i="12"/>
  <c r="F161" i="12"/>
  <c r="F154" i="12"/>
  <c r="F153" i="12"/>
  <c r="F102" i="12"/>
  <c r="F98" i="12"/>
  <c r="F94" i="12"/>
  <c r="F90" i="12"/>
  <c r="F86" i="12"/>
  <c r="F82" i="12"/>
  <c r="F78" i="12"/>
  <c r="F197" i="12"/>
  <c r="F196" i="12"/>
  <c r="F181" i="12"/>
  <c r="F145" i="12"/>
  <c r="F137" i="12"/>
  <c r="F136" i="12"/>
  <c r="F129" i="12"/>
  <c r="F125" i="12"/>
  <c r="F121" i="12"/>
  <c r="F120" i="12"/>
  <c r="F204" i="12"/>
  <c r="F192" i="12"/>
  <c r="F188" i="12"/>
  <c r="F176" i="12"/>
  <c r="F164" i="12"/>
  <c r="F163" i="12"/>
  <c r="F116" i="12"/>
  <c r="F112" i="12"/>
  <c r="F171" i="12"/>
  <c r="F155" i="12"/>
  <c r="F147" i="12"/>
  <c r="F146" i="12"/>
  <c r="F139" i="12"/>
  <c r="F138" i="12"/>
  <c r="F209" i="12"/>
  <c r="F200" i="12"/>
  <c r="F199" i="12"/>
  <c r="F184" i="12"/>
  <c r="F183" i="12"/>
  <c r="F168" i="12"/>
  <c r="F167" i="12"/>
  <c r="F156" i="12"/>
  <c r="F140" i="12"/>
  <c r="F132" i="12"/>
  <c r="F131" i="12"/>
  <c r="F104" i="12"/>
  <c r="F100" i="12"/>
  <c r="F96" i="12"/>
  <c r="F92" i="12"/>
  <c r="F88" i="12"/>
  <c r="F84" i="12"/>
  <c r="F80" i="12"/>
  <c r="L12" i="12"/>
  <c r="N12" i="12" s="1"/>
  <c r="F210" i="12"/>
  <c r="F208" i="12"/>
  <c r="F179" i="12"/>
  <c r="F151" i="12"/>
  <c r="F150" i="12"/>
  <c r="F127" i="12"/>
  <c r="F123" i="12"/>
  <c r="F182" i="12"/>
  <c r="F180" i="12"/>
  <c r="F174" i="12"/>
  <c r="F160" i="12"/>
  <c r="F212" i="12"/>
  <c r="F172" i="12"/>
  <c r="F133" i="12"/>
  <c r="F128" i="12"/>
  <c r="F109" i="12"/>
  <c r="F77" i="12"/>
  <c r="F193" i="12"/>
  <c r="F189" i="12"/>
  <c r="F158" i="12"/>
  <c r="F141" i="12"/>
  <c r="F126" i="12"/>
  <c r="F114" i="12"/>
  <c r="F101" i="12"/>
  <c r="F95" i="12"/>
  <c r="F89" i="12"/>
  <c r="F83" i="12"/>
  <c r="F205" i="12"/>
  <c r="F166" i="12"/>
  <c r="F149" i="12"/>
  <c r="F144" i="12"/>
  <c r="F124" i="12"/>
  <c r="F134" i="12"/>
  <c r="F122" i="12"/>
  <c r="F119" i="12"/>
  <c r="F110" i="12"/>
  <c r="F198" i="12"/>
  <c r="F185" i="12"/>
  <c r="F177" i="12"/>
  <c r="F142" i="12"/>
  <c r="F117" i="12"/>
  <c r="F173" i="12"/>
  <c r="F106" i="12"/>
  <c r="F99" i="12"/>
  <c r="F93" i="12"/>
  <c r="F87" i="12"/>
  <c r="F81" i="12"/>
  <c r="F211" i="12"/>
  <c r="F159" i="12"/>
  <c r="F115" i="12"/>
  <c r="D106" i="12"/>
  <c r="F206" i="12"/>
  <c r="F201" i="12"/>
  <c r="F194" i="12"/>
  <c r="F190" i="12"/>
  <c r="F169" i="12"/>
  <c r="F152" i="12"/>
  <c r="F178" i="12"/>
  <c r="F165" i="12"/>
  <c r="F148" i="12"/>
  <c r="F143" i="12"/>
  <c r="F135" i="12"/>
  <c r="F108" i="12"/>
  <c r="F103" i="12"/>
  <c r="F97" i="12"/>
  <c r="F91" i="12"/>
  <c r="F85" i="12"/>
  <c r="F79" i="12"/>
  <c r="J143" i="12"/>
  <c r="J224" i="3"/>
  <c r="J104" i="3"/>
  <c r="J112" i="3"/>
  <c r="J120" i="3"/>
  <c r="J128" i="3"/>
  <c r="J156" i="3"/>
  <c r="J205" i="3"/>
  <c r="J210" i="3"/>
  <c r="J232" i="3"/>
  <c r="F111" i="12"/>
  <c r="F157" i="12"/>
  <c r="N186" i="12"/>
  <c r="L186" i="12"/>
  <c r="J186" i="12"/>
  <c r="D12" i="3"/>
  <c r="V150" i="3"/>
  <c r="N159" i="3"/>
  <c r="L192" i="3"/>
  <c r="N192" i="3" s="1"/>
  <c r="X206" i="3"/>
  <c r="Z206" i="3" s="1"/>
  <c r="V213" i="3"/>
  <c r="V217" i="3"/>
  <c r="N236" i="3"/>
  <c r="L236" i="3"/>
  <c r="N255" i="3"/>
  <c r="F14" i="6"/>
  <c r="V94" i="9"/>
  <c r="V86" i="9"/>
  <c r="V82" i="9"/>
  <c r="V74" i="9"/>
  <c r="V62" i="9"/>
  <c r="V54" i="9"/>
  <c r="V42" i="9"/>
  <c r="V38" i="9"/>
  <c r="V34" i="9"/>
  <c r="T17" i="9"/>
  <c r="V81" i="9"/>
  <c r="V69" i="9"/>
  <c r="V53" i="9"/>
  <c r="V45" i="9"/>
  <c r="V29" i="9"/>
  <c r="V25" i="9"/>
  <c r="V21" i="9"/>
  <c r="V88" i="9"/>
  <c r="V76" i="9"/>
  <c r="V64" i="9"/>
  <c r="V56" i="9"/>
  <c r="V44" i="9"/>
  <c r="V97" i="9"/>
  <c r="V95" i="9"/>
  <c r="V87" i="9"/>
  <c r="V83" i="9"/>
  <c r="V75" i="9"/>
  <c r="V71" i="9"/>
  <c r="V55" i="9"/>
  <c r="V47" i="9"/>
  <c r="V39" i="9"/>
  <c r="V35" i="9"/>
  <c r="V98" i="9"/>
  <c r="V70" i="9"/>
  <c r="V66" i="9"/>
  <c r="V58" i="9"/>
  <c r="V46" i="9"/>
  <c r="V30" i="9"/>
  <c r="V26" i="9"/>
  <c r="V22" i="9"/>
  <c r="Z12" i="9"/>
  <c r="V99" i="9"/>
  <c r="V89" i="9"/>
  <c r="V77" i="9"/>
  <c r="V65" i="9"/>
  <c r="V57" i="9"/>
  <c r="V49" i="9"/>
  <c r="V102" i="9"/>
  <c r="V100" i="9"/>
  <c r="V84" i="9"/>
  <c r="V72" i="9"/>
  <c r="V48" i="9"/>
  <c r="V40" i="9"/>
  <c r="V36" i="9"/>
  <c r="V32" i="9"/>
  <c r="V91" i="9"/>
  <c r="V79" i="9"/>
  <c r="V67" i="9"/>
  <c r="V59" i="9"/>
  <c r="V31" i="9"/>
  <c r="V27" i="9"/>
  <c r="V23" i="9"/>
  <c r="V109" i="9"/>
  <c r="V106" i="9"/>
  <c r="V104" i="9"/>
  <c r="V92" i="9"/>
  <c r="V80" i="9"/>
  <c r="V68" i="9"/>
  <c r="V60" i="9"/>
  <c r="V52" i="9"/>
  <c r="V28" i="9"/>
  <c r="V24" i="9"/>
  <c r="V20" i="9"/>
  <c r="F30" i="9"/>
  <c r="F36" i="9"/>
  <c r="V85" i="9"/>
  <c r="L88" i="9"/>
  <c r="N88" i="9" s="1"/>
  <c r="F99" i="9"/>
  <c r="V89" i="12"/>
  <c r="L143" i="12"/>
  <c r="N143" i="12" s="1"/>
  <c r="X194" i="15"/>
  <c r="J101" i="3"/>
  <c r="J201" i="3"/>
  <c r="D102" i="9"/>
  <c r="L17" i="9"/>
  <c r="X15" i="3"/>
  <c r="J95" i="3"/>
  <c r="J106" i="3"/>
  <c r="J114" i="3"/>
  <c r="J122" i="3"/>
  <c r="J130" i="3"/>
  <c r="J135" i="3"/>
  <c r="J153" i="3"/>
  <c r="J158" i="3"/>
  <c r="V161" i="3"/>
  <c r="J165" i="3"/>
  <c r="J172" i="3"/>
  <c r="J182" i="3"/>
  <c r="V187" i="3"/>
  <c r="X201" i="3"/>
  <c r="J220" i="3"/>
  <c r="X227" i="3"/>
  <c r="Z227" i="3" s="1"/>
  <c r="X236" i="3"/>
  <c r="Z236" i="3" s="1"/>
  <c r="V248" i="3"/>
  <c r="X29" i="6"/>
  <c r="F20" i="9"/>
  <c r="F39" i="9"/>
  <c r="L45" i="9"/>
  <c r="N45" i="9" s="1"/>
  <c r="N54" i="9"/>
  <c r="N58" i="9"/>
  <c r="Z79" i="9"/>
  <c r="X79" i="9"/>
  <c r="V77" i="12"/>
  <c r="V116" i="12"/>
  <c r="V176" i="12"/>
  <c r="L180" i="3"/>
  <c r="N180" i="3" s="1"/>
  <c r="J229" i="3"/>
  <c r="J207" i="3"/>
  <c r="H102" i="9"/>
  <c r="N17" i="9"/>
  <c r="N148" i="12"/>
  <c r="L148" i="12"/>
  <c r="J119" i="3"/>
  <c r="J127" i="3"/>
  <c r="J175" i="3"/>
  <c r="V185" i="3"/>
  <c r="J189" i="3"/>
  <c r="Z201" i="3"/>
  <c r="J209" i="3"/>
  <c r="J216" i="3"/>
  <c r="J233" i="3"/>
  <c r="N254" i="3"/>
  <c r="Z29" i="6"/>
  <c r="P12" i="9"/>
  <c r="X13" i="9"/>
  <c r="V161" i="12"/>
  <c r="F202" i="12"/>
  <c r="J149" i="3"/>
  <c r="J244" i="3"/>
  <c r="N56" i="9"/>
  <c r="J103" i="3"/>
  <c r="J111" i="3"/>
  <c r="V255" i="3"/>
  <c r="V254" i="3"/>
  <c r="V252" i="3"/>
  <c r="V250" i="3"/>
  <c r="V230" i="3"/>
  <c r="V214" i="3"/>
  <c r="V198" i="3"/>
  <c r="V190" i="3"/>
  <c r="V142" i="3"/>
  <c r="V138" i="3"/>
  <c r="V239" i="3"/>
  <c r="V237" i="3"/>
  <c r="V229" i="3"/>
  <c r="V209" i="3"/>
  <c r="V189" i="3"/>
  <c r="V181" i="3"/>
  <c r="V173" i="3"/>
  <c r="V165" i="3"/>
  <c r="V157" i="3"/>
  <c r="V129" i="3"/>
  <c r="V125" i="3"/>
  <c r="V121" i="3"/>
  <c r="V117" i="3"/>
  <c r="V113" i="3"/>
  <c r="V109" i="3"/>
  <c r="V105" i="3"/>
  <c r="V101" i="3"/>
  <c r="V97" i="3"/>
  <c r="V240" i="3"/>
  <c r="V232" i="3"/>
  <c r="V224" i="3"/>
  <c r="V220" i="3"/>
  <c r="V216" i="3"/>
  <c r="V204" i="3"/>
  <c r="V192" i="3"/>
  <c r="V172" i="3"/>
  <c r="V156" i="3"/>
  <c r="V152" i="3"/>
  <c r="V148" i="3"/>
  <c r="V241" i="3"/>
  <c r="V231" i="3"/>
  <c r="V199" i="3"/>
  <c r="V191" i="3"/>
  <c r="V175" i="3"/>
  <c r="V159" i="3"/>
  <c r="V143" i="3"/>
  <c r="V139" i="3"/>
  <c r="V135" i="3"/>
  <c r="V242" i="3"/>
  <c r="V210" i="3"/>
  <c r="V206" i="3"/>
  <c r="V194" i="3"/>
  <c r="V182" i="3"/>
  <c r="V174" i="3"/>
  <c r="V166" i="3"/>
  <c r="V158" i="3"/>
  <c r="V134" i="3"/>
  <c r="V132" i="3"/>
  <c r="V130" i="3"/>
  <c r="V126" i="3"/>
  <c r="V122" i="3"/>
  <c r="V118" i="3"/>
  <c r="V114" i="3"/>
  <c r="V110" i="3"/>
  <c r="V106" i="3"/>
  <c r="V102" i="3"/>
  <c r="V98" i="3"/>
  <c r="V94" i="3"/>
  <c r="V245" i="3"/>
  <c r="V227" i="3"/>
  <c r="V211" i="3"/>
  <c r="V207" i="3"/>
  <c r="V195" i="3"/>
  <c r="V183" i="3"/>
  <c r="V167" i="3"/>
  <c r="V127" i="3"/>
  <c r="V123" i="3"/>
  <c r="V119" i="3"/>
  <c r="V115" i="3"/>
  <c r="V111" i="3"/>
  <c r="V107" i="3"/>
  <c r="V103" i="3"/>
  <c r="V99" i="3"/>
  <c r="V95" i="3"/>
  <c r="V236" i="3"/>
  <c r="V228" i="3"/>
  <c r="V208" i="3"/>
  <c r="V188" i="3"/>
  <c r="V180" i="3"/>
  <c r="V164" i="3"/>
  <c r="V128" i="3"/>
  <c r="V124" i="3"/>
  <c r="V120" i="3"/>
  <c r="V116" i="3"/>
  <c r="V112" i="3"/>
  <c r="V108" i="3"/>
  <c r="V104" i="3"/>
  <c r="V100" i="3"/>
  <c r="V96" i="3"/>
  <c r="J100" i="3"/>
  <c r="J108" i="3"/>
  <c r="J116" i="3"/>
  <c r="J124" i="3"/>
  <c r="V141" i="3"/>
  <c r="V145" i="3"/>
  <c r="V147" i="3"/>
  <c r="V151" i="3"/>
  <c r="J167" i="3"/>
  <c r="Z168" i="3"/>
  <c r="V201" i="3"/>
  <c r="V222" i="3"/>
  <c r="V226" i="3"/>
  <c r="J241" i="3"/>
  <c r="V244" i="3"/>
  <c r="J254" i="3"/>
  <c r="L76" i="9"/>
  <c r="F84" i="9"/>
  <c r="Z201" i="15"/>
  <c r="J204" i="3"/>
  <c r="Z212" i="3"/>
  <c r="N76" i="9"/>
  <c r="L167" i="12"/>
  <c r="N167" i="12" s="1"/>
  <c r="J167" i="12"/>
  <c r="R118" i="30"/>
  <c r="R117" i="30"/>
  <c r="R98" i="30"/>
  <c r="R97" i="30"/>
  <c r="R89" i="30"/>
  <c r="R85" i="30"/>
  <c r="R70" i="30"/>
  <c r="R50" i="30"/>
  <c r="R149" i="30"/>
  <c r="R148" i="30"/>
  <c r="R141" i="30"/>
  <c r="R140" i="30"/>
  <c r="R136" i="30"/>
  <c r="R125" i="30"/>
  <c r="R124" i="30"/>
  <c r="R108" i="30"/>
  <c r="R81" i="30"/>
  <c r="R80" i="30"/>
  <c r="R76" i="30"/>
  <c r="R72" i="30"/>
  <c r="P68" i="30"/>
  <c r="R132" i="30"/>
  <c r="R131" i="30"/>
  <c r="R119" i="30"/>
  <c r="R100" i="30"/>
  <c r="R99" i="30"/>
  <c r="R63" i="30"/>
  <c r="R59" i="30"/>
  <c r="R55" i="30"/>
  <c r="R51" i="30"/>
  <c r="R150" i="30"/>
  <c r="R142" i="30"/>
  <c r="R126" i="30"/>
  <c r="R90" i="30"/>
  <c r="R86" i="30"/>
  <c r="R82" i="30"/>
  <c r="R153" i="30"/>
  <c r="R137" i="30"/>
  <c r="R133" i="30"/>
  <c r="R110" i="30"/>
  <c r="R109" i="30"/>
  <c r="R102" i="30"/>
  <c r="R101" i="30"/>
  <c r="R77" i="30"/>
  <c r="R73" i="30"/>
  <c r="R155" i="30"/>
  <c r="R144" i="30"/>
  <c r="R143" i="30"/>
  <c r="R127" i="30"/>
  <c r="R138" i="30"/>
  <c r="R134" i="30"/>
  <c r="R122" i="30"/>
  <c r="R78" i="30"/>
  <c r="R74" i="30"/>
  <c r="R146" i="30"/>
  <c r="R145" i="30"/>
  <c r="R114" i="30"/>
  <c r="R113" i="30"/>
  <c r="R105" i="30"/>
  <c r="R94" i="30"/>
  <c r="R93" i="30"/>
  <c r="R65" i="30"/>
  <c r="R61" i="30"/>
  <c r="R57" i="30"/>
  <c r="R53" i="30"/>
  <c r="R64" i="30"/>
  <c r="R52" i="30"/>
  <c r="X12" i="30"/>
  <c r="R154" i="30"/>
  <c r="R147" i="30"/>
  <c r="R128" i="30"/>
  <c r="R71" i="30"/>
  <c r="R95" i="30"/>
  <c r="R83" i="30"/>
  <c r="R135" i="30"/>
  <c r="R115" i="30"/>
  <c r="R103" i="30"/>
  <c r="R62" i="30"/>
  <c r="R129" i="30"/>
  <c r="R120" i="30"/>
  <c r="R88" i="30"/>
  <c r="R75" i="30"/>
  <c r="R60" i="30"/>
  <c r="R139" i="30"/>
  <c r="R104" i="30"/>
  <c r="R106" i="30"/>
  <c r="R96" i="30"/>
  <c r="R79" i="30"/>
  <c r="R159" i="30"/>
  <c r="R84" i="30"/>
  <c r="R58" i="30"/>
  <c r="R121" i="30"/>
  <c r="R116" i="30"/>
  <c r="R91" i="30"/>
  <c r="R56" i="30"/>
  <c r="R107" i="30"/>
  <c r="R92" i="30"/>
  <c r="R111" i="30"/>
  <c r="R130" i="30"/>
  <c r="R54" i="30"/>
  <c r="R87" i="30"/>
  <c r="R112" i="30"/>
  <c r="R123" i="30"/>
  <c r="R66" i="30"/>
  <c r="J117" i="3"/>
  <c r="J159" i="3"/>
  <c r="Z194" i="15"/>
  <c r="V194" i="15"/>
  <c r="L14" i="6"/>
  <c r="J211" i="3"/>
  <c r="F31" i="6"/>
  <c r="F29" i="6"/>
  <c r="F28" i="6"/>
  <c r="F26" i="6"/>
  <c r="L12" i="6"/>
  <c r="F24" i="6"/>
  <c r="D16" i="6"/>
  <c r="F16" i="6"/>
  <c r="F20" i="6"/>
  <c r="Z12" i="3"/>
  <c r="J105" i="3"/>
  <c r="J113" i="3"/>
  <c r="J121" i="3"/>
  <c r="J129" i="3"/>
  <c r="X134" i="3"/>
  <c r="Z134" i="3" s="1"/>
  <c r="Z135" i="3"/>
  <c r="V137" i="3"/>
  <c r="V153" i="3"/>
  <c r="V155" i="3"/>
  <c r="V179" i="3"/>
  <c r="J193" i="3"/>
  <c r="V212" i="3"/>
  <c r="V233" i="3"/>
  <c r="J237" i="3"/>
  <c r="D239" i="3"/>
  <c r="L239" i="3" s="1"/>
  <c r="N239" i="3" s="1"/>
  <c r="X241" i="3"/>
  <c r="Z241" i="3" s="1"/>
  <c r="P239" i="3"/>
  <c r="X239" i="3" s="1"/>
  <c r="Z239" i="3" s="1"/>
  <c r="H16" i="6"/>
  <c r="N19" i="9"/>
  <c r="Z32" i="9"/>
  <c r="Z71" i="9"/>
  <c r="N82" i="9"/>
  <c r="N93" i="9"/>
  <c r="V112" i="12"/>
  <c r="V144" i="12"/>
  <c r="V160" i="12"/>
  <c r="D12" i="18"/>
  <c r="L39" i="18"/>
  <c r="J125" i="3"/>
  <c r="J190" i="3"/>
  <c r="J174" i="3"/>
  <c r="J177" i="3"/>
  <c r="X162" i="3"/>
  <c r="Z162" i="3" s="1"/>
  <c r="L164" i="3"/>
  <c r="N164" i="3" s="1"/>
  <c r="X177" i="3"/>
  <c r="Z177" i="3" s="1"/>
  <c r="J181" i="3"/>
  <c r="X194" i="3"/>
  <c r="Z194" i="3" s="1"/>
  <c r="V200" i="3"/>
  <c r="L215" i="3"/>
  <c r="J221" i="3"/>
  <c r="J225" i="3"/>
  <c r="X28" i="6"/>
  <c r="F100" i="9"/>
  <c r="F67" i="9"/>
  <c r="F66" i="9"/>
  <c r="F59" i="9"/>
  <c r="F58" i="9"/>
  <c r="F31" i="9"/>
  <c r="F27" i="9"/>
  <c r="F23" i="9"/>
  <c r="F90" i="9"/>
  <c r="F78" i="9"/>
  <c r="F50" i="9"/>
  <c r="F49" i="9"/>
  <c r="F102" i="9"/>
  <c r="F85" i="9"/>
  <c r="F73" i="9"/>
  <c r="F41" i="9"/>
  <c r="F37" i="9"/>
  <c r="F33" i="9"/>
  <c r="F32" i="9"/>
  <c r="F104" i="9"/>
  <c r="F92" i="9"/>
  <c r="F91" i="9"/>
  <c r="F80" i="9"/>
  <c r="F79" i="9"/>
  <c r="F68" i="9"/>
  <c r="F60" i="9"/>
  <c r="F28" i="9"/>
  <c r="F24" i="9"/>
  <c r="F51" i="9"/>
  <c r="F94" i="9"/>
  <c r="F93" i="9"/>
  <c r="F86" i="9"/>
  <c r="F74" i="9"/>
  <c r="F62" i="9"/>
  <c r="F61" i="9"/>
  <c r="F42" i="9"/>
  <c r="F38" i="9"/>
  <c r="F34" i="9"/>
  <c r="F109" i="9"/>
  <c r="F106" i="9"/>
  <c r="F81" i="9"/>
  <c r="F69" i="9"/>
  <c r="F53" i="9"/>
  <c r="F52" i="9"/>
  <c r="F29" i="9"/>
  <c r="F64" i="9"/>
  <c r="F63" i="9"/>
  <c r="F44" i="9"/>
  <c r="F43" i="9"/>
  <c r="F19" i="9"/>
  <c r="F17" i="9"/>
  <c r="F15" i="9"/>
  <c r="F98" i="9"/>
  <c r="F89" i="9"/>
  <c r="F88" i="9"/>
  <c r="F77" i="9"/>
  <c r="F76" i="9"/>
  <c r="F65" i="9"/>
  <c r="F57" i="9"/>
  <c r="F56" i="9"/>
  <c r="F40" i="9"/>
  <c r="F46" i="9"/>
  <c r="Z146" i="12"/>
  <c r="N199" i="12"/>
  <c r="L199" i="12"/>
  <c r="J109" i="3"/>
  <c r="J255" i="3"/>
  <c r="F130" i="12"/>
  <c r="J98" i="3"/>
  <c r="J192" i="3"/>
  <c r="J97" i="3"/>
  <c r="J102" i="3"/>
  <c r="J126" i="3"/>
  <c r="J148" i="3"/>
  <c r="J152" i="3"/>
  <c r="L188" i="3"/>
  <c r="N188" i="3" s="1"/>
  <c r="V202" i="3"/>
  <c r="N215" i="3"/>
  <c r="N230" i="3"/>
  <c r="V243" i="3"/>
  <c r="Z28" i="6"/>
  <c r="Z66" i="9"/>
  <c r="X100" i="9"/>
  <c r="P97" i="9"/>
  <c r="X97" i="9" s="1"/>
  <c r="F76" i="12"/>
  <c r="L61" i="21"/>
  <c r="N61" i="21" s="1"/>
  <c r="F61" i="21"/>
  <c r="J245" i="3"/>
  <c r="J234" i="3"/>
  <c r="J226" i="3"/>
  <c r="J222" i="3"/>
  <c r="J218" i="3"/>
  <c r="J212" i="3"/>
  <c r="J202" i="3"/>
  <c r="J196" i="3"/>
  <c r="J184" i="3"/>
  <c r="J178" i="3"/>
  <c r="J168" i="3"/>
  <c r="J154" i="3"/>
  <c r="J150" i="3"/>
  <c r="J246" i="3"/>
  <c r="J227" i="3"/>
  <c r="J213" i="3"/>
  <c r="J197" i="3"/>
  <c r="J185" i="3"/>
  <c r="J169" i="3"/>
  <c r="J161" i="3"/>
  <c r="J145" i="3"/>
  <c r="J141" i="3"/>
  <c r="J137" i="3"/>
  <c r="J228" i="3"/>
  <c r="J208" i="3"/>
  <c r="J186" i="3"/>
  <c r="J170" i="3"/>
  <c r="J162" i="3"/>
  <c r="J235" i="3"/>
  <c r="J223" i="3"/>
  <c r="J219" i="3"/>
  <c r="J203" i="3"/>
  <c r="J187" i="3"/>
  <c r="J179" i="3"/>
  <c r="J171" i="3"/>
  <c r="J163" i="3"/>
  <c r="J155" i="3"/>
  <c r="J151" i="3"/>
  <c r="J147" i="3"/>
  <c r="J250" i="3"/>
  <c r="J236" i="3"/>
  <c r="J214" i="3"/>
  <c r="J198" i="3"/>
  <c r="J188" i="3"/>
  <c r="J180" i="3"/>
  <c r="J164" i="3"/>
  <c r="J142" i="3"/>
  <c r="J138" i="3"/>
  <c r="J240" i="3"/>
  <c r="J239" i="3"/>
  <c r="J231" i="3"/>
  <c r="J199" i="3"/>
  <c r="J191" i="3"/>
  <c r="J173" i="3"/>
  <c r="J157" i="3"/>
  <c r="J143" i="3"/>
  <c r="J139" i="3"/>
  <c r="J243" i="3"/>
  <c r="J206" i="3"/>
  <c r="J200" i="3"/>
  <c r="J194" i="3"/>
  <c r="J176" i="3"/>
  <c r="J160" i="3"/>
  <c r="J144" i="3"/>
  <c r="J140" i="3"/>
  <c r="J136" i="3"/>
  <c r="J134" i="3"/>
  <c r="J94" i="3"/>
  <c r="H207" i="15"/>
  <c r="J102" i="15"/>
  <c r="X94" i="3"/>
  <c r="Z94" i="3" s="1"/>
  <c r="J110" i="3"/>
  <c r="J118" i="3"/>
  <c r="H132" i="3"/>
  <c r="J96" i="3"/>
  <c r="J99" i="3"/>
  <c r="J107" i="3"/>
  <c r="J115" i="3"/>
  <c r="J123" i="3"/>
  <c r="J146" i="3"/>
  <c r="V160" i="3"/>
  <c r="V162" i="3"/>
  <c r="J166" i="3"/>
  <c r="V177" i="3"/>
  <c r="J183" i="3"/>
  <c r="Z184" i="3"/>
  <c r="V193" i="3"/>
  <c r="J195" i="3"/>
  <c r="Z196" i="3"/>
  <c r="J215" i="3"/>
  <c r="V223" i="3"/>
  <c r="J230" i="3"/>
  <c r="J242" i="3"/>
  <c r="V246" i="3"/>
  <c r="N61" i="9"/>
  <c r="N63" i="9"/>
  <c r="Z82" i="9"/>
  <c r="X91" i="9"/>
  <c r="Z91" i="9" s="1"/>
  <c r="V208" i="12"/>
  <c r="V206" i="12"/>
  <c r="V198" i="12"/>
  <c r="V182" i="12"/>
  <c r="V178" i="12"/>
  <c r="V166" i="12"/>
  <c r="V150" i="12"/>
  <c r="V209" i="12"/>
  <c r="V201" i="12"/>
  <c r="V193" i="12"/>
  <c r="V189" i="12"/>
  <c r="V173" i="12"/>
  <c r="V157" i="12"/>
  <c r="V149" i="12"/>
  <c r="V141" i="12"/>
  <c r="V133" i="12"/>
  <c r="V117" i="12"/>
  <c r="V113" i="12"/>
  <c r="V109" i="12"/>
  <c r="V210" i="12"/>
  <c r="V200" i="12"/>
  <c r="V184" i="12"/>
  <c r="V168" i="12"/>
  <c r="V156" i="12"/>
  <c r="V140" i="12"/>
  <c r="V132" i="12"/>
  <c r="V108" i="12"/>
  <c r="V104" i="12"/>
  <c r="V100" i="12"/>
  <c r="V96" i="12"/>
  <c r="V92" i="12"/>
  <c r="V88" i="12"/>
  <c r="V84" i="12"/>
  <c r="V80" i="12"/>
  <c r="V76" i="12"/>
  <c r="V211" i="12"/>
  <c r="V179" i="12"/>
  <c r="V159" i="12"/>
  <c r="V151" i="12"/>
  <c r="V143" i="12"/>
  <c r="V127" i="12"/>
  <c r="V123" i="12"/>
  <c r="V212" i="12"/>
  <c r="V202" i="12"/>
  <c r="V194" i="12"/>
  <c r="V190" i="12"/>
  <c r="V186" i="12"/>
  <c r="V174" i="12"/>
  <c r="V158" i="12"/>
  <c r="V142" i="12"/>
  <c r="V134" i="12"/>
  <c r="V203" i="12"/>
  <c r="V195" i="12"/>
  <c r="V191" i="12"/>
  <c r="V187" i="12"/>
  <c r="V175" i="12"/>
  <c r="V163" i="12"/>
  <c r="V135" i="12"/>
  <c r="V119" i="12"/>
  <c r="V115" i="12"/>
  <c r="V111" i="12"/>
  <c r="V216" i="12"/>
  <c r="V170" i="12"/>
  <c r="V162" i="12"/>
  <c r="V154" i="12"/>
  <c r="V146" i="12"/>
  <c r="V138" i="12"/>
  <c r="V102" i="12"/>
  <c r="V98" i="12"/>
  <c r="V94" i="12"/>
  <c r="V90" i="12"/>
  <c r="V86" i="12"/>
  <c r="V82" i="12"/>
  <c r="V78" i="12"/>
  <c r="V177" i="12"/>
  <c r="V139" i="12"/>
  <c r="V124" i="12"/>
  <c r="V110" i="12"/>
  <c r="V185" i="12"/>
  <c r="V122" i="12"/>
  <c r="T106" i="12"/>
  <c r="V99" i="12"/>
  <c r="V93" i="12"/>
  <c r="V87" i="12"/>
  <c r="V81" i="12"/>
  <c r="V196" i="12"/>
  <c r="V183" i="12"/>
  <c r="V164" i="12"/>
  <c r="V137" i="12"/>
  <c r="V120" i="12"/>
  <c r="V181" i="12"/>
  <c r="V147" i="12"/>
  <c r="V129" i="12"/>
  <c r="V169" i="12"/>
  <c r="V145" i="12"/>
  <c r="V192" i="12"/>
  <c r="V188" i="12"/>
  <c r="V167" i="12"/>
  <c r="V165" i="12"/>
  <c r="V152" i="12"/>
  <c r="V125" i="12"/>
  <c r="V103" i="12"/>
  <c r="V97" i="12"/>
  <c r="V91" i="12"/>
  <c r="V85" i="12"/>
  <c r="V79" i="12"/>
  <c r="V171" i="12"/>
  <c r="V148" i="12"/>
  <c r="V204" i="12"/>
  <c r="V199" i="12"/>
  <c r="V153" i="12"/>
  <c r="V121" i="12"/>
  <c r="V118" i="12"/>
  <c r="V197" i="12"/>
  <c r="V136" i="12"/>
  <c r="V130" i="12"/>
  <c r="V205" i="12"/>
  <c r="V128" i="12"/>
  <c r="V126" i="12"/>
  <c r="V114" i="12"/>
  <c r="H106" i="12"/>
  <c r="V101" i="12"/>
  <c r="F113" i="12"/>
  <c r="F118" i="12"/>
  <c r="N165" i="12"/>
  <c r="J36" i="9"/>
  <c r="J40" i="9"/>
  <c r="J48" i="9"/>
  <c r="J58" i="9"/>
  <c r="J66" i="9"/>
  <c r="J72" i="9"/>
  <c r="J84" i="9"/>
  <c r="J99" i="9"/>
  <c r="P12" i="12"/>
  <c r="L76" i="12"/>
  <c r="N76" i="12" s="1"/>
  <c r="X146" i="12"/>
  <c r="Z172" i="12"/>
  <c r="J184" i="12"/>
  <c r="J199" i="12"/>
  <c r="V74" i="15"/>
  <c r="L105" i="15"/>
  <c r="L129" i="15"/>
  <c r="Z134" i="15"/>
  <c r="L137" i="15"/>
  <c r="N137" i="15" s="1"/>
  <c r="N139" i="15"/>
  <c r="V150" i="15"/>
  <c r="L153" i="15"/>
  <c r="N153" i="15" s="1"/>
  <c r="N155" i="15"/>
  <c r="V166" i="15"/>
  <c r="X171" i="15"/>
  <c r="Z198" i="15"/>
  <c r="P12" i="18"/>
  <c r="J169" i="18"/>
  <c r="N65" i="21"/>
  <c r="L65" i="21"/>
  <c r="Z153" i="12"/>
  <c r="X153" i="12"/>
  <c r="N105" i="15"/>
  <c r="N129" i="15"/>
  <c r="Z171" i="15"/>
  <c r="J14" i="6"/>
  <c r="J16" i="6"/>
  <c r="J18" i="6"/>
  <c r="J20" i="6"/>
  <c r="J22" i="6"/>
  <c r="R26" i="6"/>
  <c r="R28" i="6"/>
  <c r="R29" i="6"/>
  <c r="R31" i="6"/>
  <c r="J35" i="9"/>
  <c r="J39" i="9"/>
  <c r="J45" i="9"/>
  <c r="J55" i="9"/>
  <c r="J75" i="9"/>
  <c r="J83" i="9"/>
  <c r="J87" i="9"/>
  <c r="J95" i="9"/>
  <c r="J113" i="12"/>
  <c r="J120" i="12"/>
  <c r="J132" i="12"/>
  <c r="Z148" i="12"/>
  <c r="J150" i="12"/>
  <c r="J152" i="12"/>
  <c r="J169" i="12"/>
  <c r="J209" i="12"/>
  <c r="V86" i="15"/>
  <c r="V121" i="15"/>
  <c r="V141" i="15"/>
  <c r="X159" i="15"/>
  <c r="Z161" i="15"/>
  <c r="V186" i="15"/>
  <c r="L189" i="15"/>
  <c r="N189" i="15" s="1"/>
  <c r="V204" i="15"/>
  <c r="T230" i="18"/>
  <c r="N59" i="21"/>
  <c r="L59" i="21"/>
  <c r="T157" i="30"/>
  <c r="N159" i="12"/>
  <c r="Z165" i="12"/>
  <c r="N183" i="12"/>
  <c r="L183" i="12"/>
  <c r="Z139" i="15"/>
  <c r="Z127" i="18"/>
  <c r="V93" i="21"/>
  <c r="V69" i="21"/>
  <c r="V61" i="21"/>
  <c r="V49" i="21"/>
  <c r="V21" i="21"/>
  <c r="V76" i="21"/>
  <c r="V60" i="21"/>
  <c r="V52" i="21"/>
  <c r="V44" i="21"/>
  <c r="V40" i="21"/>
  <c r="V97" i="21"/>
  <c r="V95" i="21"/>
  <c r="V87" i="21"/>
  <c r="V83" i="21"/>
  <c r="V63" i="21"/>
  <c r="V51" i="21"/>
  <c r="V35" i="21"/>
  <c r="V31" i="21"/>
  <c r="V27" i="21"/>
  <c r="V70" i="21"/>
  <c r="V62" i="21"/>
  <c r="V54" i="21"/>
  <c r="V26" i="21"/>
  <c r="V24" i="21"/>
  <c r="V22" i="21"/>
  <c r="V89" i="21"/>
  <c r="V77" i="21"/>
  <c r="V65" i="21"/>
  <c r="V53" i="21"/>
  <c r="V45" i="21"/>
  <c r="V41" i="21"/>
  <c r="V37" i="21"/>
  <c r="T24" i="21"/>
  <c r="V88" i="21"/>
  <c r="V84" i="21"/>
  <c r="V72" i="21"/>
  <c r="V64" i="21"/>
  <c r="V101" i="21"/>
  <c r="V79" i="21"/>
  <c r="V71" i="21"/>
  <c r="V67" i="21"/>
  <c r="V55" i="21"/>
  <c r="V19" i="21"/>
  <c r="V90" i="21"/>
  <c r="V78" i="21"/>
  <c r="V74" i="21"/>
  <c r="V66" i="21"/>
  <c r="V46" i="21"/>
  <c r="V42" i="21"/>
  <c r="V38" i="21"/>
  <c r="V91" i="21"/>
  <c r="V75" i="21"/>
  <c r="V59" i="21"/>
  <c r="V47" i="21"/>
  <c r="V43" i="21"/>
  <c r="V39" i="21"/>
  <c r="V94" i="21"/>
  <c r="V34" i="21"/>
  <c r="V32" i="21"/>
  <c r="V80" i="21"/>
  <c r="V82" i="21"/>
  <c r="V29" i="21"/>
  <c r="V86" i="21"/>
  <c r="V56" i="21"/>
  <c r="V36" i="21"/>
  <c r="V58" i="21"/>
  <c r="V81" i="21"/>
  <c r="V33" i="21"/>
  <c r="V20" i="21"/>
  <c r="V50" i="21"/>
  <c r="V48" i="21"/>
  <c r="V28" i="21"/>
  <c r="V57" i="21"/>
  <c r="V30" i="21"/>
  <c r="J159" i="12"/>
  <c r="J183" i="12"/>
  <c r="Z159" i="15"/>
  <c r="N156" i="18"/>
  <c r="L164" i="18"/>
  <c r="N164" i="18" s="1"/>
  <c r="X59" i="21"/>
  <c r="Z59" i="21" s="1"/>
  <c r="D12" i="24"/>
  <c r="L14" i="24"/>
  <c r="P16" i="6"/>
  <c r="J34" i="9"/>
  <c r="J38" i="9"/>
  <c r="J42" i="9"/>
  <c r="J52" i="9"/>
  <c r="J62" i="9"/>
  <c r="J74" i="9"/>
  <c r="J86" i="9"/>
  <c r="J94" i="9"/>
  <c r="J106" i="9"/>
  <c r="J109" i="9"/>
  <c r="L13" i="12"/>
  <c r="N13" i="12" s="1"/>
  <c r="J117" i="12"/>
  <c r="J161" i="12"/>
  <c r="N177" i="12"/>
  <c r="J185" i="12"/>
  <c r="Z186" i="12"/>
  <c r="X186" i="12"/>
  <c r="J203" i="12"/>
  <c r="N104" i="15"/>
  <c r="N144" i="15"/>
  <c r="V182" i="15"/>
  <c r="V193" i="15"/>
  <c r="J214" i="18"/>
  <c r="J208" i="18"/>
  <c r="J204" i="18"/>
  <c r="J198" i="18"/>
  <c r="J224" i="18"/>
  <c r="J223" i="18"/>
  <c r="J215" i="18"/>
  <c r="J199" i="18"/>
  <c r="J193" i="18"/>
  <c r="J187" i="18"/>
  <c r="J181" i="18"/>
  <c r="J225" i="18"/>
  <c r="J216" i="18"/>
  <c r="J194" i="18"/>
  <c r="J188" i="18"/>
  <c r="J182" i="18"/>
  <c r="J164" i="18"/>
  <c r="J156" i="18"/>
  <c r="J226" i="18"/>
  <c r="J217" i="18"/>
  <c r="J209" i="18"/>
  <c r="J205" i="18"/>
  <c r="J189" i="18"/>
  <c r="J227" i="18"/>
  <c r="J200" i="18"/>
  <c r="J218" i="18"/>
  <c r="J210" i="18"/>
  <c r="J206" i="18"/>
  <c r="J202" i="18"/>
  <c r="J190" i="18"/>
  <c r="J211" i="18"/>
  <c r="J185" i="18"/>
  <c r="J175" i="18"/>
  <c r="J220" i="18"/>
  <c r="J186" i="18"/>
  <c r="J178" i="18"/>
  <c r="J170" i="18"/>
  <c r="J162" i="18"/>
  <c r="J203" i="18"/>
  <c r="J155" i="18"/>
  <c r="J149" i="18"/>
  <c r="J135" i="18"/>
  <c r="J131" i="18"/>
  <c r="J165" i="18"/>
  <c r="J161" i="18"/>
  <c r="J150" i="18"/>
  <c r="J122" i="18"/>
  <c r="J118" i="18"/>
  <c r="J114" i="18"/>
  <c r="J110" i="18"/>
  <c r="J106" i="18"/>
  <c r="J102" i="18"/>
  <c r="J98" i="18"/>
  <c r="J94" i="18"/>
  <c r="J90" i="18"/>
  <c r="J221" i="18"/>
  <c r="J219" i="18"/>
  <c r="J213" i="18"/>
  <c r="J197" i="18"/>
  <c r="J192" i="18"/>
  <c r="J174" i="18"/>
  <c r="J166" i="18"/>
  <c r="J151" i="18"/>
  <c r="J145" i="18"/>
  <c r="J141" i="18"/>
  <c r="J127" i="18"/>
  <c r="J207" i="18"/>
  <c r="J183" i="18"/>
  <c r="J152" i="18"/>
  <c r="J136" i="18"/>
  <c r="J132" i="18"/>
  <c r="J128" i="18"/>
  <c r="J126" i="18"/>
  <c r="J195" i="18"/>
  <c r="J179" i="18"/>
  <c r="J171" i="18"/>
  <c r="H124" i="18"/>
  <c r="J119" i="18"/>
  <c r="J115" i="18"/>
  <c r="J111" i="18"/>
  <c r="J107" i="18"/>
  <c r="J103" i="18"/>
  <c r="J99" i="18"/>
  <c r="J95" i="18"/>
  <c r="J91" i="18"/>
  <c r="J167" i="18"/>
  <c r="J157" i="18"/>
  <c r="J146" i="18"/>
  <c r="J142" i="18"/>
  <c r="J176" i="18"/>
  <c r="J137" i="18"/>
  <c r="J133" i="18"/>
  <c r="J129" i="18"/>
  <c r="J191" i="18"/>
  <c r="J184" i="18"/>
  <c r="J172" i="18"/>
  <c r="J168" i="18"/>
  <c r="J153" i="18"/>
  <c r="J138" i="18"/>
  <c r="J120" i="18"/>
  <c r="J116" i="18"/>
  <c r="J112" i="18"/>
  <c r="J108" i="18"/>
  <c r="J104" i="18"/>
  <c r="J100" i="18"/>
  <c r="J96" i="18"/>
  <c r="J92" i="18"/>
  <c r="J212" i="18"/>
  <c r="J180" i="18"/>
  <c r="J177" i="18"/>
  <c r="J163" i="18"/>
  <c r="J158" i="18"/>
  <c r="J147" i="18"/>
  <c r="J143" i="18"/>
  <c r="J139" i="18"/>
  <c r="N126" i="18"/>
  <c r="N154" i="18"/>
  <c r="J160" i="18"/>
  <c r="F90" i="21"/>
  <c r="F89" i="21"/>
  <c r="F78" i="21"/>
  <c r="F66" i="21"/>
  <c r="F65" i="21"/>
  <c r="F46" i="21"/>
  <c r="F42" i="21"/>
  <c r="F38" i="21"/>
  <c r="F37" i="21"/>
  <c r="D24" i="21"/>
  <c r="F85" i="21"/>
  <c r="F73" i="21"/>
  <c r="F72" i="21"/>
  <c r="F33" i="21"/>
  <c r="F29" i="21"/>
  <c r="F80" i="21"/>
  <c r="F79" i="21"/>
  <c r="F68" i="21"/>
  <c r="F67" i="21"/>
  <c r="F56" i="21"/>
  <c r="F20" i="21"/>
  <c r="F19" i="21"/>
  <c r="F91" i="21"/>
  <c r="F75" i="21"/>
  <c r="F74" i="21"/>
  <c r="F47" i="21"/>
  <c r="F43" i="21"/>
  <c r="F39" i="21"/>
  <c r="F86" i="21"/>
  <c r="F82" i="21"/>
  <c r="F81" i="21"/>
  <c r="F58" i="21"/>
  <c r="F57" i="21"/>
  <c r="F34" i="21"/>
  <c r="F30" i="21"/>
  <c r="F93" i="21"/>
  <c r="F92" i="21"/>
  <c r="F69" i="21"/>
  <c r="F76" i="21"/>
  <c r="F60" i="21"/>
  <c r="F59" i="21"/>
  <c r="F44" i="21"/>
  <c r="F40" i="21"/>
  <c r="F95" i="21"/>
  <c r="F94" i="21"/>
  <c r="F87" i="21"/>
  <c r="F83" i="21"/>
  <c r="F51" i="21"/>
  <c r="F50" i="21"/>
  <c r="F35" i="21"/>
  <c r="F31" i="21"/>
  <c r="F97" i="21"/>
  <c r="F88" i="21"/>
  <c r="F84" i="21"/>
  <c r="F64" i="21"/>
  <c r="F63" i="21"/>
  <c r="F36" i="21"/>
  <c r="F32" i="21"/>
  <c r="F28" i="21"/>
  <c r="F27" i="21"/>
  <c r="F48" i="21"/>
  <c r="L12" i="21"/>
  <c r="F62" i="21"/>
  <c r="F53" i="21"/>
  <c r="F21" i="21"/>
  <c r="F49" i="21"/>
  <c r="F24" i="21"/>
  <c r="F70" i="21"/>
  <c r="F54" i="21"/>
  <c r="F45" i="21"/>
  <c r="F55" i="21"/>
  <c r="X57" i="21"/>
  <c r="V68" i="21"/>
  <c r="V73" i="21"/>
  <c r="J80" i="24"/>
  <c r="J74" i="24"/>
  <c r="J66" i="24"/>
  <c r="J81" i="24"/>
  <c r="J75" i="24"/>
  <c r="J67" i="24"/>
  <c r="J55" i="24"/>
  <c r="J41" i="24"/>
  <c r="J37" i="24"/>
  <c r="J76" i="24"/>
  <c r="J68" i="24"/>
  <c r="J69" i="24"/>
  <c r="J57" i="24"/>
  <c r="J51" i="24"/>
  <c r="J47" i="24"/>
  <c r="J82" i="24"/>
  <c r="J70" i="24"/>
  <c r="J58" i="24"/>
  <c r="J42" i="24"/>
  <c r="J71" i="24"/>
  <c r="J61" i="24"/>
  <c r="J43" i="24"/>
  <c r="J39" i="24"/>
  <c r="J25" i="24"/>
  <c r="J86" i="24"/>
  <c r="J78" i="24"/>
  <c r="J72" i="24"/>
  <c r="J62" i="24"/>
  <c r="J84" i="24"/>
  <c r="J79" i="24"/>
  <c r="J53" i="24"/>
  <c r="J48" i="24"/>
  <c r="J77" i="24"/>
  <c r="J29" i="24"/>
  <c r="J65" i="24"/>
  <c r="J46" i="24"/>
  <c r="J36" i="24"/>
  <c r="J26" i="24"/>
  <c r="J63" i="24"/>
  <c r="J60" i="24"/>
  <c r="J54" i="24"/>
  <c r="J44" i="24"/>
  <c r="J49" i="24"/>
  <c r="J30" i="24"/>
  <c r="J27" i="24"/>
  <c r="J90" i="24"/>
  <c r="J83" i="24"/>
  <c r="J73" i="24"/>
  <c r="J52" i="24"/>
  <c r="J35" i="24"/>
  <c r="J34" i="24"/>
  <c r="J28" i="24"/>
  <c r="J50" i="24"/>
  <c r="J38" i="24"/>
  <c r="J64" i="24"/>
  <c r="J45" i="24"/>
  <c r="H32" i="24"/>
  <c r="J32" i="24" s="1"/>
  <c r="J56" i="24"/>
  <c r="J40" i="24"/>
  <c r="J59" i="24"/>
  <c r="R14" i="6"/>
  <c r="R16" i="6"/>
  <c r="R18" i="6"/>
  <c r="R20" i="6"/>
  <c r="R22" i="6"/>
  <c r="L20" i="9"/>
  <c r="N20" i="9" s="1"/>
  <c r="J51" i="9"/>
  <c r="L52" i="9"/>
  <c r="X58" i="9"/>
  <c r="Z58" i="9" s="1"/>
  <c r="J61" i="9"/>
  <c r="X66" i="9"/>
  <c r="J93" i="9"/>
  <c r="J119" i="12"/>
  <c r="J122" i="12"/>
  <c r="N131" i="12"/>
  <c r="L131" i="12"/>
  <c r="X177" i="12"/>
  <c r="J200" i="12"/>
  <c r="P12" i="15"/>
  <c r="V94" i="15"/>
  <c r="X126" i="18"/>
  <c r="J154" i="18"/>
  <c r="J228" i="18"/>
  <c r="F26" i="21"/>
  <c r="F41" i="21"/>
  <c r="T16" i="6"/>
  <c r="J80" i="9"/>
  <c r="J92" i="9"/>
  <c r="J104" i="9"/>
  <c r="J124" i="12"/>
  <c r="J131" i="12"/>
  <c r="J144" i="12"/>
  <c r="J149" i="12"/>
  <c r="J187" i="12"/>
  <c r="J191" i="12"/>
  <c r="J195" i="12"/>
  <c r="J208" i="12"/>
  <c r="V205" i="15"/>
  <c r="V195" i="15"/>
  <c r="V187" i="15"/>
  <c r="V183" i="15"/>
  <c r="V179" i="15"/>
  <c r="V167" i="15"/>
  <c r="V151" i="15"/>
  <c r="V143" i="15"/>
  <c r="V135" i="15"/>
  <c r="V127" i="15"/>
  <c r="V99" i="15"/>
  <c r="V95" i="15"/>
  <c r="V91" i="15"/>
  <c r="V87" i="15"/>
  <c r="V83" i="15"/>
  <c r="V79" i="15"/>
  <c r="V75" i="15"/>
  <c r="V178" i="15"/>
  <c r="V162" i="15"/>
  <c r="V146" i="15"/>
  <c r="V126" i="15"/>
  <c r="V122" i="15"/>
  <c r="V118" i="15"/>
  <c r="V189" i="15"/>
  <c r="V173" i="15"/>
  <c r="V153" i="15"/>
  <c r="V145" i="15"/>
  <c r="V137" i="15"/>
  <c r="V129" i="15"/>
  <c r="V113" i="15"/>
  <c r="V109" i="15"/>
  <c r="V105" i="15"/>
  <c r="V196" i="15"/>
  <c r="V188" i="15"/>
  <c r="V184" i="15"/>
  <c r="V180" i="15"/>
  <c r="V168" i="15"/>
  <c r="V152" i="15"/>
  <c r="V136" i="15"/>
  <c r="V128" i="15"/>
  <c r="V104" i="15"/>
  <c r="V102" i="15"/>
  <c r="V100" i="15"/>
  <c r="V96" i="15"/>
  <c r="V92" i="15"/>
  <c r="V88" i="15"/>
  <c r="V84" i="15"/>
  <c r="V80" i="15"/>
  <c r="V76" i="15"/>
  <c r="V209" i="15"/>
  <c r="V163" i="15"/>
  <c r="V155" i="15"/>
  <c r="V147" i="15"/>
  <c r="V139" i="15"/>
  <c r="V123" i="15"/>
  <c r="V119" i="15"/>
  <c r="T102" i="15"/>
  <c r="V198" i="15"/>
  <c r="V190" i="15"/>
  <c r="V174" i="15"/>
  <c r="V154" i="15"/>
  <c r="V138" i="15"/>
  <c r="V130" i="15"/>
  <c r="V114" i="15"/>
  <c r="V197" i="15"/>
  <c r="V185" i="15"/>
  <c r="V181" i="15"/>
  <c r="V169" i="15"/>
  <c r="V157" i="15"/>
  <c r="V149" i="15"/>
  <c r="V97" i="15"/>
  <c r="V93" i="15"/>
  <c r="V89" i="15"/>
  <c r="V85" i="15"/>
  <c r="V81" i="15"/>
  <c r="V77" i="15"/>
  <c r="V192" i="15"/>
  <c r="V176" i="15"/>
  <c r="V164" i="15"/>
  <c r="V156" i="15"/>
  <c r="V148" i="15"/>
  <c r="V140" i="15"/>
  <c r="V132" i="15"/>
  <c r="V124" i="15"/>
  <c r="V120" i="15"/>
  <c r="V116" i="15"/>
  <c r="V201" i="15"/>
  <c r="V199" i="15"/>
  <c r="V191" i="15"/>
  <c r="V175" i="15"/>
  <c r="V171" i="15"/>
  <c r="V159" i="15"/>
  <c r="V131" i="15"/>
  <c r="V115" i="15"/>
  <c r="V111" i="15"/>
  <c r="V107" i="15"/>
  <c r="V160" i="15"/>
  <c r="J148" i="18"/>
  <c r="J196" i="18"/>
  <c r="V14" i="6"/>
  <c r="V16" i="6"/>
  <c r="V18" i="6"/>
  <c r="V20" i="6"/>
  <c r="J33" i="9"/>
  <c r="J37" i="9"/>
  <c r="J41" i="9"/>
  <c r="J73" i="9"/>
  <c r="J79" i="9"/>
  <c r="J85" i="9"/>
  <c r="J91" i="9"/>
  <c r="J80" i="12"/>
  <c r="J83" i="12"/>
  <c r="J86" i="12"/>
  <c r="J89" i="12"/>
  <c r="J92" i="12"/>
  <c r="J95" i="12"/>
  <c r="J98" i="12"/>
  <c r="J101" i="12"/>
  <c r="J104" i="12"/>
  <c r="J126" i="12"/>
  <c r="J136" i="12"/>
  <c r="J168" i="12"/>
  <c r="Z177" i="12"/>
  <c r="J189" i="12"/>
  <c r="X205" i="12"/>
  <c r="Z205" i="12" s="1"/>
  <c r="X74" i="15"/>
  <c r="Z74" i="15" s="1"/>
  <c r="V98" i="15"/>
  <c r="V106" i="15"/>
  <c r="V108" i="15"/>
  <c r="V110" i="15"/>
  <c r="V112" i="15"/>
  <c r="N134" i="15"/>
  <c r="X166" i="15"/>
  <c r="Z166" i="15" s="1"/>
  <c r="P201" i="15"/>
  <c r="X201" i="15" s="1"/>
  <c r="V203" i="15"/>
  <c r="Z126" i="18"/>
  <c r="X156" i="18"/>
  <c r="Z156" i="18" s="1"/>
  <c r="F52" i="21"/>
  <c r="J78" i="9"/>
  <c r="J90" i="9"/>
  <c r="J216" i="12"/>
  <c r="J196" i="12"/>
  <c r="J170" i="12"/>
  <c r="J162" i="12"/>
  <c r="J154" i="12"/>
  <c r="J197" i="12"/>
  <c r="J181" i="12"/>
  <c r="J163" i="12"/>
  <c r="J145" i="12"/>
  <c r="J137" i="12"/>
  <c r="J129" i="12"/>
  <c r="J125" i="12"/>
  <c r="J121" i="12"/>
  <c r="J204" i="12"/>
  <c r="J192" i="12"/>
  <c r="J188" i="12"/>
  <c r="J176" i="12"/>
  <c r="J164" i="12"/>
  <c r="J146" i="12"/>
  <c r="J138" i="12"/>
  <c r="J116" i="12"/>
  <c r="J112" i="12"/>
  <c r="J205" i="12"/>
  <c r="J177" i="12"/>
  <c r="J171" i="12"/>
  <c r="J165" i="12"/>
  <c r="J155" i="12"/>
  <c r="J147" i="12"/>
  <c r="J139" i="12"/>
  <c r="J206" i="12"/>
  <c r="J198" i="12"/>
  <c r="J182" i="12"/>
  <c r="J178" i="12"/>
  <c r="J172" i="12"/>
  <c r="J166" i="12"/>
  <c r="J148" i="12"/>
  <c r="J130" i="12"/>
  <c r="J210" i="12"/>
  <c r="J201" i="12"/>
  <c r="J179" i="12"/>
  <c r="J157" i="12"/>
  <c r="J151" i="12"/>
  <c r="J141" i="12"/>
  <c r="J133" i="12"/>
  <c r="J127" i="12"/>
  <c r="J123" i="12"/>
  <c r="J109" i="12"/>
  <c r="J211" i="12"/>
  <c r="J202" i="12"/>
  <c r="J194" i="12"/>
  <c r="J190" i="12"/>
  <c r="J174" i="12"/>
  <c r="J158" i="12"/>
  <c r="J142" i="12"/>
  <c r="J134" i="12"/>
  <c r="J118" i="12"/>
  <c r="J114" i="12"/>
  <c r="J110" i="12"/>
  <c r="J108" i="12"/>
  <c r="J106" i="12"/>
  <c r="J76" i="12"/>
  <c r="J77" i="12"/>
  <c r="J128" i="12"/>
  <c r="J153" i="12"/>
  <c r="Z161" i="12"/>
  <c r="X161" i="12"/>
  <c r="N172" i="12"/>
  <c r="L172" i="12"/>
  <c r="J212" i="12"/>
  <c r="D12" i="15"/>
  <c r="L13" i="15"/>
  <c r="N13" i="15" s="1"/>
  <c r="Z104" i="15"/>
  <c r="Z142" i="15"/>
  <c r="V144" i="15"/>
  <c r="V158" i="15"/>
  <c r="N194" i="15"/>
  <c r="N88" i="18"/>
  <c r="V126" i="18"/>
  <c r="J144" i="18"/>
  <c r="N159" i="18"/>
  <c r="Z166" i="18"/>
  <c r="V85" i="21"/>
  <c r="J105" i="15"/>
  <c r="J119" i="15"/>
  <c r="J123" i="15"/>
  <c r="J129" i="15"/>
  <c r="J137" i="15"/>
  <c r="J147" i="15"/>
  <c r="J153" i="15"/>
  <c r="J163" i="15"/>
  <c r="J189" i="15"/>
  <c r="J209" i="15"/>
  <c r="V127" i="18"/>
  <c r="V131" i="18"/>
  <c r="V135" i="18"/>
  <c r="V151" i="18"/>
  <c r="V187" i="18"/>
  <c r="N63" i="21"/>
  <c r="Z89" i="21"/>
  <c r="R83" i="24"/>
  <c r="R82" i="24"/>
  <c r="R70" i="24"/>
  <c r="R59" i="24"/>
  <c r="R58" i="24"/>
  <c r="R42" i="24"/>
  <c r="R38" i="24"/>
  <c r="R77" i="24"/>
  <c r="R84" i="24"/>
  <c r="R61" i="24"/>
  <c r="R60" i="24"/>
  <c r="R52" i="24"/>
  <c r="R48" i="24"/>
  <c r="R86" i="24"/>
  <c r="R72" i="24"/>
  <c r="R71" i="24"/>
  <c r="R44" i="24"/>
  <c r="R43" i="24"/>
  <c r="R90" i="24"/>
  <c r="R65" i="24"/>
  <c r="R64" i="24"/>
  <c r="R40" i="24"/>
  <c r="R36" i="24"/>
  <c r="P32" i="24"/>
  <c r="R80" i="24"/>
  <c r="R79" i="24"/>
  <c r="R57" i="24"/>
  <c r="R51" i="24"/>
  <c r="R41" i="24"/>
  <c r="R75" i="24"/>
  <c r="R68" i="24"/>
  <c r="R63" i="24"/>
  <c r="R54" i="24"/>
  <c r="R39" i="24"/>
  <c r="R49" i="24"/>
  <c r="R30" i="24"/>
  <c r="R27" i="24"/>
  <c r="R78" i="24"/>
  <c r="R73" i="24"/>
  <c r="R55" i="24"/>
  <c r="R37" i="24"/>
  <c r="R69" i="24"/>
  <c r="R66" i="24"/>
  <c r="R47" i="24"/>
  <c r="R76" i="24"/>
  <c r="R50" i="24"/>
  <c r="R45" i="24"/>
  <c r="R34" i="24"/>
  <c r="X12" i="24"/>
  <c r="Z12" i="24" s="1"/>
  <c r="R81" i="24"/>
  <c r="R35" i="24"/>
  <c r="R28" i="24"/>
  <c r="R62" i="24"/>
  <c r="R29" i="24"/>
  <c r="R46" i="24"/>
  <c r="L55" i="24"/>
  <c r="N55" i="24" s="1"/>
  <c r="J76" i="15"/>
  <c r="J80" i="15"/>
  <c r="J84" i="15"/>
  <c r="J88" i="15"/>
  <c r="J92" i="15"/>
  <c r="J96" i="15"/>
  <c r="J100" i="15"/>
  <c r="J128" i="15"/>
  <c r="J136" i="15"/>
  <c r="J146" i="15"/>
  <c r="J152" i="15"/>
  <c r="J168" i="15"/>
  <c r="J180" i="15"/>
  <c r="J184" i="15"/>
  <c r="J188" i="15"/>
  <c r="J196" i="15"/>
  <c r="V140" i="18"/>
  <c r="V144" i="18"/>
  <c r="V148" i="18"/>
  <c r="V160" i="18"/>
  <c r="V161" i="18"/>
  <c r="L171" i="18"/>
  <c r="N171" i="18" s="1"/>
  <c r="V201" i="18"/>
  <c r="V208" i="18"/>
  <c r="Z37" i="21"/>
  <c r="X37" i="21"/>
  <c r="J63" i="21"/>
  <c r="N67" i="21"/>
  <c r="Z81" i="21"/>
  <c r="R25" i="24"/>
  <c r="R53" i="24"/>
  <c r="R74" i="24"/>
  <c r="L83" i="24"/>
  <c r="V89" i="18"/>
  <c r="V93" i="18"/>
  <c r="V97" i="18"/>
  <c r="V101" i="18"/>
  <c r="V105" i="18"/>
  <c r="V109" i="18"/>
  <c r="V113" i="18"/>
  <c r="V117" i="18"/>
  <c r="V121" i="18"/>
  <c r="V149" i="18"/>
  <c r="V164" i="18"/>
  <c r="V169" i="18"/>
  <c r="L179" i="18"/>
  <c r="N198" i="18"/>
  <c r="P12" i="21"/>
  <c r="X15" i="21"/>
  <c r="Z15" i="21" s="1"/>
  <c r="Z61" i="21"/>
  <c r="L97" i="21"/>
  <c r="V230" i="18"/>
  <c r="V228" i="18"/>
  <c r="V200" i="18"/>
  <c r="V211" i="18"/>
  <c r="V195" i="18"/>
  <c r="V218" i="18"/>
  <c r="V210" i="18"/>
  <c r="V206" i="18"/>
  <c r="V202" i="18"/>
  <c r="V190" i="18"/>
  <c r="V174" i="18"/>
  <c r="V158" i="18"/>
  <c r="V232" i="18"/>
  <c r="V220" i="18"/>
  <c r="V212" i="18"/>
  <c r="V214" i="18"/>
  <c r="V198" i="18"/>
  <c r="V223" i="18"/>
  <c r="V221" i="18"/>
  <c r="V213" i="18"/>
  <c r="V197" i="18"/>
  <c r="V193" i="18"/>
  <c r="V181" i="18"/>
  <c r="V226" i="18"/>
  <c r="V194" i="18"/>
  <c r="V182" i="18"/>
  <c r="V166" i="18"/>
  <c r="V130" i="18"/>
  <c r="V134" i="18"/>
  <c r="V163" i="18"/>
  <c r="V191" i="18"/>
  <c r="V196" i="18"/>
  <c r="V204" i="18"/>
  <c r="L51" i="27"/>
  <c r="N51" i="27" s="1"/>
  <c r="J135" i="15"/>
  <c r="J143" i="15"/>
  <c r="L144" i="15"/>
  <c r="J151" i="15"/>
  <c r="J161" i="15"/>
  <c r="J167" i="15"/>
  <c r="J183" i="15"/>
  <c r="J187" i="15"/>
  <c r="J195" i="15"/>
  <c r="X198" i="15"/>
  <c r="J204" i="15"/>
  <c r="V139" i="18"/>
  <c r="V143" i="18"/>
  <c r="V147" i="18"/>
  <c r="V154" i="18"/>
  <c r="V159" i="18"/>
  <c r="L175" i="18"/>
  <c r="N175" i="18" s="1"/>
  <c r="Z177" i="18"/>
  <c r="V180" i="18"/>
  <c r="X181" i="18"/>
  <c r="Z181" i="18" s="1"/>
  <c r="N183" i="18"/>
  <c r="V184" i="18"/>
  <c r="V189" i="18"/>
  <c r="Z220" i="18"/>
  <c r="X220" i="18"/>
  <c r="X223" i="18"/>
  <c r="Z223" i="18" s="1"/>
  <c r="J97" i="21"/>
  <c r="L35" i="24"/>
  <c r="N35" i="24" s="1"/>
  <c r="J91" i="27"/>
  <c r="J83" i="27"/>
  <c r="J45" i="27"/>
  <c r="J41" i="27"/>
  <c r="J37" i="27"/>
  <c r="J92" i="27"/>
  <c r="J84" i="27"/>
  <c r="J72" i="27"/>
  <c r="J68" i="27"/>
  <c r="J64" i="27"/>
  <c r="J99" i="27"/>
  <c r="J93" i="27"/>
  <c r="J73" i="27"/>
  <c r="J59" i="27"/>
  <c r="J55" i="27"/>
  <c r="J100" i="27"/>
  <c r="J94" i="27"/>
  <c r="J74" i="27"/>
  <c r="J46" i="27"/>
  <c r="J42" i="27"/>
  <c r="J38" i="27"/>
  <c r="J101" i="27"/>
  <c r="J85" i="27"/>
  <c r="J75" i="27"/>
  <c r="J69" i="27"/>
  <c r="J65" i="27"/>
  <c r="J51" i="27"/>
  <c r="J104" i="27"/>
  <c r="J103" i="27"/>
  <c r="J95" i="27"/>
  <c r="J87" i="27"/>
  <c r="J77" i="27"/>
  <c r="H48" i="27"/>
  <c r="J43" i="27"/>
  <c r="J39" i="27"/>
  <c r="J35" i="27"/>
  <c r="J105" i="27"/>
  <c r="J88" i="27"/>
  <c r="J78" i="27"/>
  <c r="J70" i="27"/>
  <c r="J66" i="27"/>
  <c r="J106" i="27"/>
  <c r="J89" i="27"/>
  <c r="J79" i="27"/>
  <c r="J61" i="27"/>
  <c r="J57" i="27"/>
  <c r="J53" i="27"/>
  <c r="J82" i="27"/>
  <c r="J80" i="27"/>
  <c r="J76" i="27"/>
  <c r="J34" i="27"/>
  <c r="J62" i="27"/>
  <c r="J52" i="27"/>
  <c r="J60" i="27"/>
  <c r="J58" i="27"/>
  <c r="J56" i="27"/>
  <c r="J54" i="27"/>
  <c r="J98" i="27"/>
  <c r="J96" i="27"/>
  <c r="J50" i="27"/>
  <c r="J90" i="27"/>
  <c r="J81" i="27"/>
  <c r="J44" i="27"/>
  <c r="J110" i="27"/>
  <c r="J86" i="27"/>
  <c r="J67" i="27"/>
  <c r="J63" i="27"/>
  <c r="J48" i="27"/>
  <c r="X112" i="30"/>
  <c r="Z112" i="30" s="1"/>
  <c r="Z29" i="33"/>
  <c r="X29" i="33"/>
  <c r="P208" i="12"/>
  <c r="X208" i="12" s="1"/>
  <c r="Z208" i="12" s="1"/>
  <c r="J74" i="15"/>
  <c r="J112" i="15"/>
  <c r="J134" i="15"/>
  <c r="X139" i="15"/>
  <c r="J142" i="15"/>
  <c r="X155" i="15"/>
  <c r="Z155" i="15" s="1"/>
  <c r="J160" i="15"/>
  <c r="L161" i="15"/>
  <c r="N161" i="15" s="1"/>
  <c r="J166" i="15"/>
  <c r="J172" i="15"/>
  <c r="J194" i="15"/>
  <c r="J203" i="15"/>
  <c r="V88" i="18"/>
  <c r="V92" i="18"/>
  <c r="V96" i="18"/>
  <c r="V100" i="18"/>
  <c r="V104" i="18"/>
  <c r="V108" i="18"/>
  <c r="V112" i="18"/>
  <c r="V116" i="18"/>
  <c r="V120" i="18"/>
  <c r="V153" i="18"/>
  <c r="X154" i="18"/>
  <c r="Z154" i="18" s="1"/>
  <c r="N166" i="18"/>
  <c r="Z168" i="18"/>
  <c r="V172" i="18"/>
  <c r="V177" i="18"/>
  <c r="Z216" i="18"/>
  <c r="V225" i="18"/>
  <c r="N19" i="21"/>
  <c r="L27" i="21"/>
  <c r="N27" i="21" s="1"/>
  <c r="J97" i="27"/>
  <c r="J117" i="15"/>
  <c r="J121" i="15"/>
  <c r="J125" i="15"/>
  <c r="J133" i="15"/>
  <c r="J141" i="15"/>
  <c r="J159" i="15"/>
  <c r="J165" i="15"/>
  <c r="J171" i="15"/>
  <c r="J177" i="15"/>
  <c r="J193" i="15"/>
  <c r="J201" i="15"/>
  <c r="J202" i="15"/>
  <c r="V129" i="18"/>
  <c r="V133" i="18"/>
  <c r="V137" i="18"/>
  <c r="V167" i="18"/>
  <c r="V168" i="18"/>
  <c r="V176" i="18"/>
  <c r="V186" i="18"/>
  <c r="V216" i="18"/>
  <c r="X225" i="18"/>
  <c r="Z225" i="18" s="1"/>
  <c r="V227" i="18"/>
  <c r="R26" i="24"/>
  <c r="J36" i="27"/>
  <c r="J71" i="27"/>
  <c r="L153" i="30"/>
  <c r="N153" i="30" s="1"/>
  <c r="D152" i="30"/>
  <c r="L152" i="30" s="1"/>
  <c r="N152" i="30" s="1"/>
  <c r="J78" i="15"/>
  <c r="J82" i="15"/>
  <c r="J86" i="15"/>
  <c r="J90" i="15"/>
  <c r="J94" i="15"/>
  <c r="J98" i="15"/>
  <c r="J116" i="15"/>
  <c r="J132" i="15"/>
  <c r="J150" i="15"/>
  <c r="J158" i="15"/>
  <c r="J170" i="15"/>
  <c r="J176" i="15"/>
  <c r="J182" i="15"/>
  <c r="J186" i="15"/>
  <c r="J192" i="15"/>
  <c r="V138" i="18"/>
  <c r="V142" i="18"/>
  <c r="V146" i="18"/>
  <c r="V157" i="18"/>
  <c r="X188" i="18"/>
  <c r="Z188" i="18" s="1"/>
  <c r="V209" i="18"/>
  <c r="J85" i="21"/>
  <c r="J79" i="21"/>
  <c r="J73" i="21"/>
  <c r="J67" i="21"/>
  <c r="J33" i="21"/>
  <c r="J29" i="21"/>
  <c r="J19" i="21"/>
  <c r="J80" i="21"/>
  <c r="J74" i="21"/>
  <c r="J68" i="21"/>
  <c r="J56" i="21"/>
  <c r="J20" i="21"/>
  <c r="J91" i="21"/>
  <c r="J81" i="21"/>
  <c r="J75" i="21"/>
  <c r="J57" i="21"/>
  <c r="J47" i="21"/>
  <c r="J43" i="21"/>
  <c r="J39" i="21"/>
  <c r="J92" i="21"/>
  <c r="J86" i="21"/>
  <c r="J82" i="21"/>
  <c r="J58" i="21"/>
  <c r="J48" i="21"/>
  <c r="J34" i="21"/>
  <c r="J30" i="21"/>
  <c r="J93" i="21"/>
  <c r="J69" i="21"/>
  <c r="J59" i="21"/>
  <c r="J49" i="21"/>
  <c r="J21" i="21"/>
  <c r="J94" i="21"/>
  <c r="J76" i="21"/>
  <c r="J95" i="21"/>
  <c r="J87" i="21"/>
  <c r="J83" i="21"/>
  <c r="J61" i="21"/>
  <c r="J51" i="21"/>
  <c r="J35" i="21"/>
  <c r="J31" i="21"/>
  <c r="J70" i="21"/>
  <c r="J62" i="21"/>
  <c r="J52" i="21"/>
  <c r="J22" i="21"/>
  <c r="N12" i="21"/>
  <c r="J101" i="21"/>
  <c r="J89" i="21"/>
  <c r="J71" i="21"/>
  <c r="J65" i="21"/>
  <c r="J55" i="21"/>
  <c r="J37" i="21"/>
  <c r="H24" i="21"/>
  <c r="J27" i="21"/>
  <c r="Z54" i="21"/>
  <c r="R56" i="24"/>
  <c r="J149" i="15"/>
  <c r="J157" i="15"/>
  <c r="J175" i="15"/>
  <c r="J191" i="15"/>
  <c r="V91" i="18"/>
  <c r="V95" i="18"/>
  <c r="V99" i="18"/>
  <c r="V103" i="18"/>
  <c r="V107" i="18"/>
  <c r="V111" i="18"/>
  <c r="V115" i="18"/>
  <c r="V119" i="18"/>
  <c r="V162" i="18"/>
  <c r="V171" i="18"/>
  <c r="V179" i="18"/>
  <c r="V207" i="18"/>
  <c r="V219" i="18"/>
  <c r="L226" i="18"/>
  <c r="N226" i="18" s="1"/>
  <c r="D223" i="18"/>
  <c r="L223" i="18" s="1"/>
  <c r="N223" i="18" s="1"/>
  <c r="X74" i="21"/>
  <c r="Z74" i="21" s="1"/>
  <c r="J40" i="27"/>
  <c r="V26" i="24"/>
  <c r="V48" i="24"/>
  <c r="Z65" i="24"/>
  <c r="D12" i="27"/>
  <c r="T112" i="27"/>
  <c r="Z62" i="27"/>
  <c r="N97" i="27"/>
  <c r="F153" i="30"/>
  <c r="V82" i="24"/>
  <c r="V70" i="24"/>
  <c r="V77" i="24"/>
  <c r="V61" i="24"/>
  <c r="V29" i="24"/>
  <c r="V25" i="24"/>
  <c r="V86" i="24"/>
  <c r="V84" i="24"/>
  <c r="V72" i="24"/>
  <c r="V60" i="24"/>
  <c r="V71" i="24"/>
  <c r="V63" i="24"/>
  <c r="V43" i="24"/>
  <c r="V39" i="24"/>
  <c r="V35" i="24"/>
  <c r="V78" i="24"/>
  <c r="V62" i="24"/>
  <c r="V79" i="24"/>
  <c r="V75" i="24"/>
  <c r="V67" i="24"/>
  <c r="V55" i="24"/>
  <c r="V27" i="24"/>
  <c r="V74" i="24"/>
  <c r="V66" i="24"/>
  <c r="V54" i="24"/>
  <c r="V50" i="24"/>
  <c r="V46" i="24"/>
  <c r="L44" i="24"/>
  <c r="N44" i="24" s="1"/>
  <c r="V56" i="24"/>
  <c r="V64" i="24"/>
  <c r="N69" i="24"/>
  <c r="L86" i="24"/>
  <c r="L79" i="27"/>
  <c r="N79" i="27" s="1"/>
  <c r="F51" i="30"/>
  <c r="L104" i="30"/>
  <c r="N104" i="30" s="1"/>
  <c r="J104" i="30"/>
  <c r="F148" i="30"/>
  <c r="Z56" i="33"/>
  <c r="V28" i="24"/>
  <c r="Z35" i="24"/>
  <c r="V40" i="24"/>
  <c r="V81" i="24"/>
  <c r="Z51" i="27"/>
  <c r="L75" i="27"/>
  <c r="N75" i="27" s="1"/>
  <c r="N81" i="27"/>
  <c r="Z97" i="27"/>
  <c r="F134" i="30"/>
  <c r="V56" i="33"/>
  <c r="F63" i="30"/>
  <c r="T32" i="24"/>
  <c r="V34" i="24"/>
  <c r="V42" i="24"/>
  <c r="V47" i="24"/>
  <c r="N63" i="24"/>
  <c r="Z69" i="24"/>
  <c r="V83" i="24"/>
  <c r="V90" i="24"/>
  <c r="X51" i="27"/>
  <c r="L81" i="27"/>
  <c r="Z93" i="27"/>
  <c r="F72" i="30"/>
  <c r="Z102" i="30"/>
  <c r="L144" i="30"/>
  <c r="X65" i="21"/>
  <c r="X89" i="21"/>
  <c r="V32" i="24"/>
  <c r="Z34" i="24"/>
  <c r="V37" i="24"/>
  <c r="V69" i="24"/>
  <c r="L72" i="24"/>
  <c r="N72" i="24" s="1"/>
  <c r="V73" i="24"/>
  <c r="F118" i="30"/>
  <c r="P12" i="27"/>
  <c r="N62" i="27"/>
  <c r="Z73" i="27"/>
  <c r="X75" i="27"/>
  <c r="Z75" i="27" s="1"/>
  <c r="X81" i="27"/>
  <c r="Z81" i="27" s="1"/>
  <c r="Z92" i="30"/>
  <c r="X92" i="30"/>
  <c r="X107" i="30"/>
  <c r="V30" i="24"/>
  <c r="V49" i="24"/>
  <c r="X57" i="24"/>
  <c r="L59" i="24"/>
  <c r="N59" i="24" s="1"/>
  <c r="V68" i="24"/>
  <c r="V80" i="24"/>
  <c r="Z100" i="27"/>
  <c r="X100" i="27"/>
  <c r="F145" i="30"/>
  <c r="F144" i="30"/>
  <c r="F113" i="30"/>
  <c r="F112" i="30"/>
  <c r="F105" i="30"/>
  <c r="F104" i="30"/>
  <c r="F93" i="30"/>
  <c r="F92" i="30"/>
  <c r="F65" i="30"/>
  <c r="F61" i="30"/>
  <c r="F57" i="30"/>
  <c r="F53" i="30"/>
  <c r="F128" i="30"/>
  <c r="F88" i="30"/>
  <c r="F84" i="30"/>
  <c r="F159" i="30"/>
  <c r="F147" i="30"/>
  <c r="F146" i="30"/>
  <c r="F139" i="30"/>
  <c r="F135" i="30"/>
  <c r="F123" i="30"/>
  <c r="F115" i="30"/>
  <c r="F114" i="30"/>
  <c r="F95" i="30"/>
  <c r="F94" i="30"/>
  <c r="F79" i="30"/>
  <c r="F75" i="30"/>
  <c r="F130" i="30"/>
  <c r="F129" i="30"/>
  <c r="F106" i="30"/>
  <c r="F66" i="30"/>
  <c r="F62" i="30"/>
  <c r="F58" i="30"/>
  <c r="F54" i="30"/>
  <c r="F117" i="30"/>
  <c r="F116" i="30"/>
  <c r="F97" i="30"/>
  <c r="F96" i="30"/>
  <c r="F89" i="30"/>
  <c r="F85" i="30"/>
  <c r="F131" i="30"/>
  <c r="F150" i="30"/>
  <c r="F149" i="30"/>
  <c r="F142" i="30"/>
  <c r="F141" i="30"/>
  <c r="F126" i="30"/>
  <c r="F125" i="30"/>
  <c r="F90" i="30"/>
  <c r="F86" i="30"/>
  <c r="F82" i="30"/>
  <c r="F81" i="30"/>
  <c r="F137" i="30"/>
  <c r="F133" i="30"/>
  <c r="F132" i="30"/>
  <c r="F109" i="30"/>
  <c r="F101" i="30"/>
  <c r="F100" i="30"/>
  <c r="F77" i="30"/>
  <c r="F73" i="30"/>
  <c r="F121" i="30"/>
  <c r="F111" i="30"/>
  <c r="F99" i="30"/>
  <c r="F91" i="30"/>
  <c r="F76" i="30"/>
  <c r="F74" i="30"/>
  <c r="F70" i="30"/>
  <c r="F140" i="30"/>
  <c r="F138" i="30"/>
  <c r="F107" i="30"/>
  <c r="F102" i="30"/>
  <c r="F119" i="30"/>
  <c r="F80" i="30"/>
  <c r="F78" i="30"/>
  <c r="F59" i="30"/>
  <c r="F87" i="30"/>
  <c r="F64" i="30"/>
  <c r="F52" i="30"/>
  <c r="F71" i="30"/>
  <c r="L12" i="30"/>
  <c r="N12" i="30" s="1"/>
  <c r="F154" i="30"/>
  <c r="F122" i="30"/>
  <c r="F50" i="30"/>
  <c r="F124" i="30"/>
  <c r="F110" i="30"/>
  <c r="F108" i="30"/>
  <c r="F83" i="30"/>
  <c r="F68" i="30"/>
  <c r="F55" i="30"/>
  <c r="F143" i="30"/>
  <c r="F120" i="30"/>
  <c r="F103" i="30"/>
  <c r="F98" i="30"/>
  <c r="D68" i="30"/>
  <c r="F60" i="30"/>
  <c r="X70" i="30"/>
  <c r="Z70" i="30" s="1"/>
  <c r="V70" i="30"/>
  <c r="Z107" i="30"/>
  <c r="F155" i="30"/>
  <c r="R77" i="33"/>
  <c r="R76" i="33"/>
  <c r="R50" i="33"/>
  <c r="R49" i="33"/>
  <c r="R45" i="33"/>
  <c r="R41" i="33"/>
  <c r="R68" i="33"/>
  <c r="R61" i="33"/>
  <c r="R60" i="33"/>
  <c r="R52" i="33"/>
  <c r="R51" i="33"/>
  <c r="R63" i="33"/>
  <c r="R62" i="33"/>
  <c r="R46" i="33"/>
  <c r="R42" i="33"/>
  <c r="R56" i="33"/>
  <c r="R55" i="33"/>
  <c r="R47" i="33"/>
  <c r="R43" i="33"/>
  <c r="R73" i="33"/>
  <c r="R72" i="33"/>
  <c r="R48" i="33"/>
  <c r="R44" i="33"/>
  <c r="R40" i="33"/>
  <c r="R67" i="33"/>
  <c r="R64" i="33"/>
  <c r="R59" i="33"/>
  <c r="R31" i="33"/>
  <c r="R70" i="33"/>
  <c r="R65" i="33"/>
  <c r="R54" i="33"/>
  <c r="R81" i="33"/>
  <c r="R38" i="33"/>
  <c r="R35" i="33"/>
  <c r="R71" i="33"/>
  <c r="R32" i="33"/>
  <c r="R24" i="33"/>
  <c r="R57" i="33"/>
  <c r="R39" i="33"/>
  <c r="R66" i="33"/>
  <c r="R29" i="33"/>
  <c r="R28" i="33"/>
  <c r="P26" i="33"/>
  <c r="R58" i="33"/>
  <c r="R36" i="33"/>
  <c r="R74" i="33"/>
  <c r="R33" i="33"/>
  <c r="R30" i="33"/>
  <c r="R37" i="33"/>
  <c r="R53" i="33"/>
  <c r="X12" i="33"/>
  <c r="R34" i="33"/>
  <c r="V73" i="27"/>
  <c r="V93" i="27"/>
  <c r="L81" i="30"/>
  <c r="N81" i="30" s="1"/>
  <c r="N96" i="30"/>
  <c r="V107" i="30"/>
  <c r="V111" i="30"/>
  <c r="V114" i="30"/>
  <c r="N118" i="30"/>
  <c r="L118" i="30"/>
  <c r="V125" i="30"/>
  <c r="V68" i="33"/>
  <c r="V60" i="33"/>
  <c r="V52" i="33"/>
  <c r="V36" i="33"/>
  <c r="V32" i="33"/>
  <c r="V63" i="33"/>
  <c r="V62" i="33"/>
  <c r="V54" i="33"/>
  <c r="V81" i="33"/>
  <c r="V69" i="33"/>
  <c r="V65" i="33"/>
  <c r="V53" i="33"/>
  <c r="V37" i="33"/>
  <c r="V70" i="33"/>
  <c r="V66" i="33"/>
  <c r="V58" i="33"/>
  <c r="V38" i="33"/>
  <c r="V34" i="33"/>
  <c r="V30" i="33"/>
  <c r="V67" i="33"/>
  <c r="V59" i="33"/>
  <c r="V35" i="33"/>
  <c r="V31" i="33"/>
  <c r="V73" i="33"/>
  <c r="V43" i="33"/>
  <c r="V77" i="33"/>
  <c r="V71" i="33"/>
  <c r="V48" i="33"/>
  <c r="V41" i="33"/>
  <c r="V24" i="33"/>
  <c r="V39" i="33"/>
  <c r="V26" i="33"/>
  <c r="V57" i="33"/>
  <c r="V46" i="33"/>
  <c r="V29" i="33"/>
  <c r="V28" i="33"/>
  <c r="T26" i="33"/>
  <c r="V51" i="33"/>
  <c r="V61" i="33"/>
  <c r="V55" i="33"/>
  <c r="V44" i="33"/>
  <c r="V74" i="33"/>
  <c r="V49" i="33"/>
  <c r="V33" i="33"/>
  <c r="V42" i="33"/>
  <c r="Z12" i="33"/>
  <c r="V40" i="33"/>
  <c r="N63" i="33"/>
  <c r="V54" i="27"/>
  <c r="V58" i="27"/>
  <c r="V82" i="27"/>
  <c r="V90" i="27"/>
  <c r="V98" i="27"/>
  <c r="V110" i="27"/>
  <c r="V112" i="27"/>
  <c r="J81" i="30"/>
  <c r="V91" i="30"/>
  <c r="V94" i="30"/>
  <c r="X96" i="30"/>
  <c r="Z96" i="30" s="1"/>
  <c r="L110" i="30"/>
  <c r="N110" i="30" s="1"/>
  <c r="Z121" i="30"/>
  <c r="V127" i="30"/>
  <c r="Z144" i="30"/>
  <c r="X144" i="30"/>
  <c r="F24" i="33"/>
  <c r="J28" i="33"/>
  <c r="L98" i="30"/>
  <c r="N98" i="30" s="1"/>
  <c r="H157" i="30"/>
  <c r="F57" i="33"/>
  <c r="F56" i="33"/>
  <c r="F72" i="33"/>
  <c r="F71" i="33"/>
  <c r="F67" i="33"/>
  <c r="F59" i="33"/>
  <c r="F58" i="33"/>
  <c r="F74" i="33"/>
  <c r="F73" i="33"/>
  <c r="F76" i="33"/>
  <c r="F51" i="33"/>
  <c r="F50" i="33"/>
  <c r="F64" i="33"/>
  <c r="F63" i="33"/>
  <c r="F61" i="33"/>
  <c r="F52" i="33"/>
  <c r="F47" i="33"/>
  <c r="F40" i="33"/>
  <c r="F33" i="33"/>
  <c r="F30" i="33"/>
  <c r="F69" i="33"/>
  <c r="L12" i="33"/>
  <c r="N12" i="33" s="1"/>
  <c r="F45" i="33"/>
  <c r="F62" i="33"/>
  <c r="F53" i="33"/>
  <c r="F37" i="33"/>
  <c r="F34" i="33"/>
  <c r="F43" i="33"/>
  <c r="F31" i="33"/>
  <c r="F70" i="33"/>
  <c r="F48" i="33"/>
  <c r="F41" i="33"/>
  <c r="F81" i="33"/>
  <c r="F65" i="33"/>
  <c r="F54" i="33"/>
  <c r="F77" i="33"/>
  <c r="F46" i="33"/>
  <c r="F38" i="33"/>
  <c r="F35" i="33"/>
  <c r="F68" i="33"/>
  <c r="F60" i="33"/>
  <c r="F32" i="33"/>
  <c r="X28" i="33"/>
  <c r="Z28" i="33" s="1"/>
  <c r="F55" i="33"/>
  <c r="Z65" i="36"/>
  <c r="V53" i="27"/>
  <c r="V57" i="27"/>
  <c r="V61" i="27"/>
  <c r="V81" i="27"/>
  <c r="L86" i="27"/>
  <c r="N86" i="27" s="1"/>
  <c r="V89" i="27"/>
  <c r="V97" i="27"/>
  <c r="N50" i="30"/>
  <c r="J50" i="30"/>
  <c r="X104" i="30"/>
  <c r="Z104" i="30" s="1"/>
  <c r="X118" i="30"/>
  <c r="Z118" i="30" s="1"/>
  <c r="V139" i="30"/>
  <c r="V143" i="30"/>
  <c r="V155" i="30"/>
  <c r="N77" i="36"/>
  <c r="X113" i="42"/>
  <c r="Z113" i="42" s="1"/>
  <c r="P111" i="42"/>
  <c r="X111" i="42" s="1"/>
  <c r="Z111" i="42" s="1"/>
  <c r="V62" i="27"/>
  <c r="V66" i="27"/>
  <c r="V70" i="27"/>
  <c r="V78" i="27"/>
  <c r="X97" i="27"/>
  <c r="P103" i="27"/>
  <c r="X103" i="27" s="1"/>
  <c r="Z103" i="27" s="1"/>
  <c r="V106" i="27"/>
  <c r="V108" i="27"/>
  <c r="V68" i="30"/>
  <c r="N71" i="30"/>
  <c r="V75" i="30"/>
  <c r="V98" i="30"/>
  <c r="V141" i="30"/>
  <c r="F39" i="33"/>
  <c r="V64" i="33"/>
  <c r="L77" i="36"/>
  <c r="N95" i="36"/>
  <c r="V79" i="27"/>
  <c r="V87" i="27"/>
  <c r="V95" i="27"/>
  <c r="V105" i="27"/>
  <c r="X98" i="30"/>
  <c r="Z98" i="30" s="1"/>
  <c r="V103" i="30"/>
  <c r="V115" i="30"/>
  <c r="V117" i="30"/>
  <c r="D26" i="33"/>
  <c r="F29" i="33"/>
  <c r="N39" i="33"/>
  <c r="L52" i="33"/>
  <c r="N52" i="33" s="1"/>
  <c r="F73" i="36"/>
  <c r="N75" i="36"/>
  <c r="F93" i="36"/>
  <c r="V52" i="27"/>
  <c r="V56" i="27"/>
  <c r="V60" i="27"/>
  <c r="V76" i="27"/>
  <c r="V88" i="27"/>
  <c r="V104" i="27"/>
  <c r="V148" i="30"/>
  <c r="V140" i="30"/>
  <c r="V136" i="30"/>
  <c r="V132" i="30"/>
  <c r="V124" i="30"/>
  <c r="V108" i="30"/>
  <c r="V100" i="30"/>
  <c r="V80" i="30"/>
  <c r="V76" i="30"/>
  <c r="V72" i="30"/>
  <c r="V131" i="30"/>
  <c r="V119" i="30"/>
  <c r="V99" i="30"/>
  <c r="V63" i="30"/>
  <c r="V59" i="30"/>
  <c r="V55" i="30"/>
  <c r="V51" i="30"/>
  <c r="V152" i="30"/>
  <c r="V150" i="30"/>
  <c r="V142" i="30"/>
  <c r="V126" i="30"/>
  <c r="V110" i="30"/>
  <c r="V102" i="30"/>
  <c r="V90" i="30"/>
  <c r="V86" i="30"/>
  <c r="V82" i="30"/>
  <c r="V153" i="30"/>
  <c r="V137" i="30"/>
  <c r="V133" i="30"/>
  <c r="V121" i="30"/>
  <c r="V109" i="30"/>
  <c r="V101" i="30"/>
  <c r="V77" i="30"/>
  <c r="V73" i="30"/>
  <c r="V154" i="30"/>
  <c r="V144" i="30"/>
  <c r="V120" i="30"/>
  <c r="V112" i="30"/>
  <c r="V104" i="30"/>
  <c r="V92" i="30"/>
  <c r="V64" i="30"/>
  <c r="V60" i="30"/>
  <c r="V56" i="30"/>
  <c r="V52" i="30"/>
  <c r="V146" i="30"/>
  <c r="V138" i="30"/>
  <c r="V134" i="30"/>
  <c r="V122" i="30"/>
  <c r="V145" i="30"/>
  <c r="V129" i="30"/>
  <c r="V113" i="30"/>
  <c r="V105" i="30"/>
  <c r="V93" i="30"/>
  <c r="V128" i="30"/>
  <c r="V116" i="30"/>
  <c r="V96" i="30"/>
  <c r="V88" i="30"/>
  <c r="V84" i="30"/>
  <c r="Z12" i="30"/>
  <c r="V50" i="30"/>
  <c r="V57" i="30"/>
  <c r="L70" i="30"/>
  <c r="N70" i="30" s="1"/>
  <c r="V83" i="30"/>
  <c r="V85" i="30"/>
  <c r="J92" i="30"/>
  <c r="V95" i="30"/>
  <c r="L112" i="30"/>
  <c r="N112" i="30" s="1"/>
  <c r="L121" i="30"/>
  <c r="N121" i="30" s="1"/>
  <c r="P152" i="30"/>
  <c r="X152" i="30" s="1"/>
  <c r="Z152" i="30" s="1"/>
  <c r="F26" i="33"/>
  <c r="N29" i="33"/>
  <c r="F44" i="33"/>
  <c r="Z57" i="36"/>
  <c r="N73" i="36"/>
  <c r="V65" i="27"/>
  <c r="V69" i="27"/>
  <c r="V77" i="27"/>
  <c r="V85" i="27"/>
  <c r="V101" i="27"/>
  <c r="X50" i="30"/>
  <c r="Z50" i="30" s="1"/>
  <c r="Z71" i="30"/>
  <c r="L92" i="30"/>
  <c r="N92" i="30" s="1"/>
  <c r="V97" i="30"/>
  <c r="N125" i="30"/>
  <c r="V147" i="30"/>
  <c r="H79" i="33"/>
  <c r="F42" i="33"/>
  <c r="V76" i="33"/>
  <c r="N21" i="36"/>
  <c r="L21" i="36"/>
  <c r="Z53" i="36"/>
  <c r="N71" i="36"/>
  <c r="J52" i="30"/>
  <c r="J56" i="30"/>
  <c r="J60" i="30"/>
  <c r="J64" i="30"/>
  <c r="J102" i="30"/>
  <c r="J110" i="30"/>
  <c r="J120" i="30"/>
  <c r="J152" i="30"/>
  <c r="J153" i="30"/>
  <c r="J26" i="33"/>
  <c r="J39" i="33"/>
  <c r="J63" i="33"/>
  <c r="N71" i="33"/>
  <c r="J121" i="36"/>
  <c r="J122" i="36"/>
  <c r="J114" i="36"/>
  <c r="J115" i="36"/>
  <c r="J116" i="36"/>
  <c r="J120" i="36"/>
  <c r="J113" i="36"/>
  <c r="J105" i="36"/>
  <c r="J101" i="36"/>
  <c r="J97" i="36"/>
  <c r="J85" i="36"/>
  <c r="J79" i="36"/>
  <c r="J67" i="36"/>
  <c r="J49" i="36"/>
  <c r="J45" i="36"/>
  <c r="J41" i="36"/>
  <c r="J80" i="36"/>
  <c r="J68" i="36"/>
  <c r="J36" i="36"/>
  <c r="J32" i="36"/>
  <c r="J91" i="36"/>
  <c r="J69" i="36"/>
  <c r="J59" i="36"/>
  <c r="J23" i="36"/>
  <c r="J106" i="36"/>
  <c r="J102" i="36"/>
  <c r="J98" i="36"/>
  <c r="J86" i="36"/>
  <c r="J70" i="36"/>
  <c r="J50" i="36"/>
  <c r="J46" i="36"/>
  <c r="J42" i="36"/>
  <c r="J118" i="36"/>
  <c r="J107" i="36"/>
  <c r="J87" i="36"/>
  <c r="J81" i="36"/>
  <c r="J71" i="36"/>
  <c r="J51" i="36"/>
  <c r="J37" i="36"/>
  <c r="J33" i="36"/>
  <c r="J108" i="36"/>
  <c r="J92" i="36"/>
  <c r="J88" i="36"/>
  <c r="J72" i="36"/>
  <c r="J60" i="36"/>
  <c r="J52" i="36"/>
  <c r="J103" i="36"/>
  <c r="J99" i="36"/>
  <c r="J93" i="36"/>
  <c r="J73" i="36"/>
  <c r="J61" i="36"/>
  <c r="J53" i="36"/>
  <c r="J47" i="36"/>
  <c r="J43" i="36"/>
  <c r="J29" i="36"/>
  <c r="J94" i="36"/>
  <c r="J82" i="36"/>
  <c r="J74" i="36"/>
  <c r="J62" i="36"/>
  <c r="J54" i="36"/>
  <c r="J38" i="36"/>
  <c r="J34" i="36"/>
  <c r="J30" i="36"/>
  <c r="J28" i="36"/>
  <c r="J26" i="36"/>
  <c r="J111" i="36"/>
  <c r="J83" i="36"/>
  <c r="J77" i="36"/>
  <c r="J65" i="36"/>
  <c r="J57" i="36"/>
  <c r="J39" i="36"/>
  <c r="J35" i="36"/>
  <c r="J31" i="36"/>
  <c r="J21" i="36"/>
  <c r="H26" i="36"/>
  <c r="F38" i="36"/>
  <c r="J40" i="36"/>
  <c r="V48" i="36"/>
  <c r="F54" i="36"/>
  <c r="J56" i="36"/>
  <c r="J58" i="36"/>
  <c r="Z69" i="36"/>
  <c r="J75" i="36"/>
  <c r="V85" i="36"/>
  <c r="N93" i="36"/>
  <c r="J95" i="36"/>
  <c r="V106" i="36"/>
  <c r="L122" i="36"/>
  <c r="D118" i="36"/>
  <c r="L118" i="36" s="1"/>
  <c r="J73" i="30"/>
  <c r="J77" i="30"/>
  <c r="J101" i="30"/>
  <c r="J109" i="30"/>
  <c r="J133" i="30"/>
  <c r="J137" i="30"/>
  <c r="J24" i="33"/>
  <c r="J32" i="33"/>
  <c r="J51" i="33"/>
  <c r="J57" i="33"/>
  <c r="J60" i="33"/>
  <c r="Z61" i="33"/>
  <c r="J68" i="33"/>
  <c r="J71" i="33"/>
  <c r="L12" i="36"/>
  <c r="N12" i="36" s="1"/>
  <c r="F29" i="36"/>
  <c r="F31" i="36"/>
  <c r="V44" i="36"/>
  <c r="V46" i="36"/>
  <c r="V50" i="36"/>
  <c r="J64" i="36"/>
  <c r="J66" i="36"/>
  <c r="Z73" i="36"/>
  <c r="J100" i="36"/>
  <c r="J110" i="36"/>
  <c r="J112" i="36"/>
  <c r="J142" i="30"/>
  <c r="J150" i="30"/>
  <c r="V126" i="36"/>
  <c r="V120" i="36"/>
  <c r="V121" i="36"/>
  <c r="V122" i="36"/>
  <c r="V114" i="36"/>
  <c r="V93" i="36"/>
  <c r="V81" i="36"/>
  <c r="V73" i="36"/>
  <c r="V61" i="36"/>
  <c r="V53" i="36"/>
  <c r="V37" i="36"/>
  <c r="V33" i="36"/>
  <c r="V29" i="36"/>
  <c r="V118" i="36"/>
  <c r="V115" i="36"/>
  <c r="V108" i="36"/>
  <c r="V92" i="36"/>
  <c r="V88" i="36"/>
  <c r="V72" i="36"/>
  <c r="V60" i="36"/>
  <c r="V52" i="36"/>
  <c r="V28" i="36"/>
  <c r="V26" i="36"/>
  <c r="V24" i="36"/>
  <c r="V103" i="36"/>
  <c r="V99" i="36"/>
  <c r="V95" i="36"/>
  <c r="V75" i="36"/>
  <c r="V63" i="36"/>
  <c r="V55" i="36"/>
  <c r="V47" i="36"/>
  <c r="V43" i="36"/>
  <c r="T26" i="36"/>
  <c r="V110" i="36"/>
  <c r="V94" i="36"/>
  <c r="V82" i="36"/>
  <c r="V74" i="36"/>
  <c r="V62" i="36"/>
  <c r="V54" i="36"/>
  <c r="V38" i="36"/>
  <c r="V34" i="36"/>
  <c r="V30" i="36"/>
  <c r="V109" i="36"/>
  <c r="V89" i="36"/>
  <c r="V77" i="36"/>
  <c r="V65" i="36"/>
  <c r="V57" i="36"/>
  <c r="V21" i="36"/>
  <c r="V119" i="36"/>
  <c r="V112" i="36"/>
  <c r="V104" i="36"/>
  <c r="V100" i="36"/>
  <c r="V96" i="36"/>
  <c r="V84" i="36"/>
  <c r="V76" i="36"/>
  <c r="V64" i="36"/>
  <c r="V56" i="36"/>
  <c r="V111" i="36"/>
  <c r="V83" i="36"/>
  <c r="V79" i="36"/>
  <c r="V67" i="36"/>
  <c r="V39" i="36"/>
  <c r="V35" i="36"/>
  <c r="V31" i="36"/>
  <c r="V116" i="36"/>
  <c r="V90" i="36"/>
  <c r="V78" i="36"/>
  <c r="V66" i="36"/>
  <c r="V58" i="36"/>
  <c r="V22" i="36"/>
  <c r="V107" i="36"/>
  <c r="V91" i="36"/>
  <c r="V87" i="36"/>
  <c r="V71" i="36"/>
  <c r="V59" i="36"/>
  <c r="V51" i="36"/>
  <c r="V23" i="36"/>
  <c r="N29" i="36"/>
  <c r="V42" i="36"/>
  <c r="Z93" i="36"/>
  <c r="V102" i="36"/>
  <c r="H125" i="39"/>
  <c r="Z21" i="36"/>
  <c r="X21" i="36"/>
  <c r="V26" i="42"/>
  <c r="N86" i="42"/>
  <c r="V23" i="45"/>
  <c r="T98" i="45"/>
  <c r="V98" i="45" s="1"/>
  <c r="J68" i="30"/>
  <c r="J70" i="30"/>
  <c r="J72" i="30"/>
  <c r="J76" i="30"/>
  <c r="J80" i="30"/>
  <c r="J98" i="30"/>
  <c r="J108" i="30"/>
  <c r="J118" i="30"/>
  <c r="J124" i="30"/>
  <c r="L125" i="30"/>
  <c r="J136" i="30"/>
  <c r="J140" i="30"/>
  <c r="L141" i="30"/>
  <c r="N141" i="30" s="1"/>
  <c r="J148" i="30"/>
  <c r="L149" i="30"/>
  <c r="N149" i="30" s="1"/>
  <c r="L65" i="33"/>
  <c r="N65" i="33" s="1"/>
  <c r="L76" i="33"/>
  <c r="F120" i="36"/>
  <c r="F118" i="36"/>
  <c r="F121" i="36"/>
  <c r="F122" i="36"/>
  <c r="F126" i="36"/>
  <c r="F90" i="36"/>
  <c r="F78" i="36"/>
  <c r="F77" i="36"/>
  <c r="F66" i="36"/>
  <c r="F65" i="36"/>
  <c r="F58" i="36"/>
  <c r="F57" i="36"/>
  <c r="F22" i="36"/>
  <c r="F21" i="36"/>
  <c r="F113" i="36"/>
  <c r="F112" i="36"/>
  <c r="F105" i="36"/>
  <c r="F101" i="36"/>
  <c r="F97" i="36"/>
  <c r="F85" i="36"/>
  <c r="F84" i="36"/>
  <c r="F49" i="36"/>
  <c r="F45" i="36"/>
  <c r="F41" i="36"/>
  <c r="F40" i="36"/>
  <c r="F80" i="36"/>
  <c r="F79" i="36"/>
  <c r="F68" i="36"/>
  <c r="F67" i="36"/>
  <c r="F36" i="36"/>
  <c r="F32" i="36"/>
  <c r="F91" i="36"/>
  <c r="F59" i="36"/>
  <c r="F23" i="36"/>
  <c r="F114" i="36"/>
  <c r="F106" i="36"/>
  <c r="F102" i="36"/>
  <c r="F98" i="36"/>
  <c r="F86" i="36"/>
  <c r="F70" i="36"/>
  <c r="F69" i="36"/>
  <c r="F50" i="36"/>
  <c r="F46" i="36"/>
  <c r="F42" i="36"/>
  <c r="F81" i="36"/>
  <c r="F108" i="36"/>
  <c r="F107" i="36"/>
  <c r="F92" i="36"/>
  <c r="F88" i="36"/>
  <c r="F87" i="36"/>
  <c r="F72" i="36"/>
  <c r="F71" i="36"/>
  <c r="F60" i="36"/>
  <c r="F52" i="36"/>
  <c r="F51" i="36"/>
  <c r="F24" i="36"/>
  <c r="F115" i="36"/>
  <c r="F103" i="36"/>
  <c r="F99" i="36"/>
  <c r="F47" i="36"/>
  <c r="F43" i="36"/>
  <c r="F116" i="36"/>
  <c r="F104" i="36"/>
  <c r="F100" i="36"/>
  <c r="F96" i="36"/>
  <c r="F95" i="36"/>
  <c r="F76" i="36"/>
  <c r="F75" i="36"/>
  <c r="F64" i="36"/>
  <c r="F63" i="36"/>
  <c r="F56" i="36"/>
  <c r="F55" i="36"/>
  <c r="F48" i="36"/>
  <c r="F44" i="36"/>
  <c r="D26" i="36"/>
  <c r="F28" i="36"/>
  <c r="V36" i="36"/>
  <c r="V40" i="36"/>
  <c r="F74" i="36"/>
  <c r="Z79" i="36"/>
  <c r="F82" i="36"/>
  <c r="J84" i="36"/>
  <c r="J90" i="36"/>
  <c r="J96" i="36"/>
  <c r="F109" i="36"/>
  <c r="Z112" i="36"/>
  <c r="D12" i="39"/>
  <c r="L13" i="39"/>
  <c r="N13" i="39" s="1"/>
  <c r="J71" i="30"/>
  <c r="J85" i="30"/>
  <c r="J89" i="30"/>
  <c r="J97" i="30"/>
  <c r="J107" i="30"/>
  <c r="J117" i="30"/>
  <c r="N76" i="33"/>
  <c r="F39" i="36"/>
  <c r="V68" i="36"/>
  <c r="V70" i="36"/>
  <c r="F94" i="36"/>
  <c r="V98" i="36"/>
  <c r="J109" i="36"/>
  <c r="J126" i="36"/>
  <c r="J54" i="30"/>
  <c r="J58" i="30"/>
  <c r="J62" i="30"/>
  <c r="J66" i="30"/>
  <c r="J96" i="30"/>
  <c r="J106" i="30"/>
  <c r="J116" i="30"/>
  <c r="J130" i="30"/>
  <c r="J72" i="33"/>
  <c r="J58" i="33"/>
  <c r="J48" i="33"/>
  <c r="J44" i="33"/>
  <c r="J40" i="33"/>
  <c r="J73" i="33"/>
  <c r="J67" i="33"/>
  <c r="J59" i="33"/>
  <c r="J74" i="33"/>
  <c r="J49" i="33"/>
  <c r="J45" i="33"/>
  <c r="J41" i="33"/>
  <c r="J62" i="33"/>
  <c r="J52" i="33"/>
  <c r="J46" i="33"/>
  <c r="J42" i="33"/>
  <c r="J65" i="33"/>
  <c r="J55" i="33"/>
  <c r="J47" i="33"/>
  <c r="J43" i="33"/>
  <c r="J29" i="33"/>
  <c r="J34" i="33"/>
  <c r="J37" i="33"/>
  <c r="N50" i="33"/>
  <c r="J53" i="33"/>
  <c r="J64" i="33"/>
  <c r="J76" i="33"/>
  <c r="J24" i="36"/>
  <c r="N28" i="36"/>
  <c r="N51" i="36"/>
  <c r="F53" i="36"/>
  <c r="L55" i="36"/>
  <c r="V86" i="36"/>
  <c r="V105" i="36"/>
  <c r="F111" i="36"/>
  <c r="F119" i="36"/>
  <c r="J75" i="30"/>
  <c r="J79" i="30"/>
  <c r="J95" i="30"/>
  <c r="J115" i="30"/>
  <c r="J123" i="30"/>
  <c r="J129" i="30"/>
  <c r="J135" i="30"/>
  <c r="J139" i="30"/>
  <c r="J147" i="30"/>
  <c r="J159" i="30"/>
  <c r="J50" i="33"/>
  <c r="J56" i="33"/>
  <c r="X76" i="33"/>
  <c r="Z76" i="33" s="1"/>
  <c r="V45" i="36"/>
  <c r="V49" i="36"/>
  <c r="N55" i="36"/>
  <c r="F61" i="36"/>
  <c r="L63" i="36"/>
  <c r="N63" i="36" s="1"/>
  <c r="J119" i="36"/>
  <c r="J84" i="30"/>
  <c r="J88" i="30"/>
  <c r="J94" i="30"/>
  <c r="J114" i="30"/>
  <c r="J128" i="30"/>
  <c r="L28" i="33"/>
  <c r="N28" i="33" s="1"/>
  <c r="X50" i="33"/>
  <c r="Z50" i="33" s="1"/>
  <c r="Z54" i="33"/>
  <c r="X65" i="33"/>
  <c r="Z65" i="33" s="1"/>
  <c r="J69" i="33"/>
  <c r="P12" i="36"/>
  <c r="X15" i="36"/>
  <c r="F30" i="36"/>
  <c r="V32" i="36"/>
  <c r="F35" i="36"/>
  <c r="F37" i="36"/>
  <c r="V41" i="36"/>
  <c r="V80" i="36"/>
  <c r="V101" i="36"/>
  <c r="V113" i="36"/>
  <c r="L81" i="39"/>
  <c r="N81" i="39" s="1"/>
  <c r="P12" i="39"/>
  <c r="Z40" i="39"/>
  <c r="V40" i="39"/>
  <c r="Z51" i="39"/>
  <c r="Z53" i="39"/>
  <c r="L57" i="39"/>
  <c r="N57" i="39" s="1"/>
  <c r="Z70" i="39"/>
  <c r="X70" i="39"/>
  <c r="X53" i="48"/>
  <c r="Z53" i="48" s="1"/>
  <c r="J41" i="39"/>
  <c r="J43" i="39"/>
  <c r="X90" i="39"/>
  <c r="Z90" i="39" s="1"/>
  <c r="J94" i="39"/>
  <c r="H121" i="42"/>
  <c r="Z60" i="42"/>
  <c r="J45" i="39"/>
  <c r="J54" i="39"/>
  <c r="N61" i="39"/>
  <c r="L61" i="39"/>
  <c r="J66" i="39"/>
  <c r="J71" i="39"/>
  <c r="N76" i="39"/>
  <c r="L76" i="39"/>
  <c r="Z81" i="39"/>
  <c r="N50" i="42"/>
  <c r="N118" i="36"/>
  <c r="J125" i="39"/>
  <c r="J111" i="39"/>
  <c r="J103" i="39"/>
  <c r="J99" i="39"/>
  <c r="J95" i="39"/>
  <c r="J83" i="39"/>
  <c r="J67" i="39"/>
  <c r="J59" i="39"/>
  <c r="J23" i="39"/>
  <c r="J112" i="39"/>
  <c r="J104" i="39"/>
  <c r="J84" i="39"/>
  <c r="J78" i="39"/>
  <c r="J68" i="39"/>
  <c r="J50" i="39"/>
  <c r="J46" i="39"/>
  <c r="J42" i="39"/>
  <c r="J113" i="39"/>
  <c r="J105" i="39"/>
  <c r="J89" i="39"/>
  <c r="J85" i="39"/>
  <c r="J69" i="39"/>
  <c r="J51" i="39"/>
  <c r="J37" i="39"/>
  <c r="J33" i="39"/>
  <c r="J100" i="39"/>
  <c r="J96" i="39"/>
  <c r="J90" i="39"/>
  <c r="J70" i="39"/>
  <c r="J60" i="39"/>
  <c r="J52" i="39"/>
  <c r="J24" i="39"/>
  <c r="J116" i="39"/>
  <c r="J115" i="39"/>
  <c r="J91" i="39"/>
  <c r="J117" i="39"/>
  <c r="J106" i="39"/>
  <c r="J118" i="39"/>
  <c r="J107" i="39"/>
  <c r="J101" i="39"/>
  <c r="J97" i="39"/>
  <c r="J93" i="39"/>
  <c r="J73" i="39"/>
  <c r="J63" i="39"/>
  <c r="J55" i="39"/>
  <c r="J25" i="39"/>
  <c r="J119" i="39"/>
  <c r="J108" i="39"/>
  <c r="J80" i="39"/>
  <c r="J74" i="39"/>
  <c r="J64" i="39"/>
  <c r="J56" i="39"/>
  <c r="J48" i="39"/>
  <c r="J44" i="39"/>
  <c r="J30" i="39"/>
  <c r="J121" i="39"/>
  <c r="J109" i="39"/>
  <c r="J87" i="39"/>
  <c r="J81" i="39"/>
  <c r="J75" i="39"/>
  <c r="J65" i="39"/>
  <c r="J57" i="39"/>
  <c r="J39" i="39"/>
  <c r="J35" i="39"/>
  <c r="J31" i="39"/>
  <c r="J29" i="39"/>
  <c r="J27" i="39"/>
  <c r="J47" i="39"/>
  <c r="J61" i="39"/>
  <c r="J76" i="39"/>
  <c r="L96" i="51"/>
  <c r="N96" i="51" s="1"/>
  <c r="D94" i="51"/>
  <c r="L94" i="51" s="1"/>
  <c r="J32" i="39"/>
  <c r="J34" i="39"/>
  <c r="J36" i="39"/>
  <c r="J38" i="39"/>
  <c r="J49" i="39"/>
  <c r="Z27" i="42"/>
  <c r="V48" i="42"/>
  <c r="Z64" i="42"/>
  <c r="L108" i="42"/>
  <c r="N94" i="51"/>
  <c r="L51" i="36"/>
  <c r="X57" i="36"/>
  <c r="X65" i="36"/>
  <c r="L71" i="36"/>
  <c r="X77" i="36"/>
  <c r="Z77" i="36" s="1"/>
  <c r="L87" i="36"/>
  <c r="N87" i="36" s="1"/>
  <c r="L107" i="36"/>
  <c r="N107" i="36" s="1"/>
  <c r="J82" i="39"/>
  <c r="X48" i="42"/>
  <c r="Z48" i="42" s="1"/>
  <c r="N108" i="42"/>
  <c r="D12" i="51"/>
  <c r="L16" i="51"/>
  <c r="Z118" i="36"/>
  <c r="X121" i="36"/>
  <c r="P118" i="36"/>
  <c r="X118" i="36" s="1"/>
  <c r="L29" i="39"/>
  <c r="N29" i="39" s="1"/>
  <c r="N40" i="39"/>
  <c r="L40" i="39"/>
  <c r="J58" i="39"/>
  <c r="V61" i="39"/>
  <c r="L65" i="39"/>
  <c r="Z76" i="39"/>
  <c r="X76" i="39"/>
  <c r="V76" i="39"/>
  <c r="J110" i="39"/>
  <c r="N115" i="39"/>
  <c r="J40" i="39"/>
  <c r="L53" i="39"/>
  <c r="N53" i="39" s="1"/>
  <c r="L70" i="39"/>
  <c r="N70" i="39" s="1"/>
  <c r="Z115" i="39"/>
  <c r="J53" i="39"/>
  <c r="J86" i="39"/>
  <c r="J88" i="39"/>
  <c r="J102" i="39"/>
  <c r="X26" i="42"/>
  <c r="Z26" i="42" s="1"/>
  <c r="V23" i="39"/>
  <c r="V51" i="39"/>
  <c r="V59" i="39"/>
  <c r="V67" i="39"/>
  <c r="V83" i="39"/>
  <c r="V95" i="39"/>
  <c r="V99" i="39"/>
  <c r="V103" i="39"/>
  <c r="V111" i="39"/>
  <c r="T117" i="42"/>
  <c r="J55" i="42"/>
  <c r="J74" i="42"/>
  <c r="J87" i="42"/>
  <c r="J108" i="42"/>
  <c r="L15" i="45"/>
  <c r="D12" i="45"/>
  <c r="N18" i="45"/>
  <c r="R21" i="45"/>
  <c r="R25" i="45"/>
  <c r="R40" i="45"/>
  <c r="V32" i="39"/>
  <c r="V36" i="39"/>
  <c r="V68" i="39"/>
  <c r="V84" i="39"/>
  <c r="V88" i="39"/>
  <c r="V104" i="39"/>
  <c r="V112" i="39"/>
  <c r="D12" i="42"/>
  <c r="V24" i="42"/>
  <c r="J78" i="42"/>
  <c r="J90" i="42"/>
  <c r="X25" i="45"/>
  <c r="Z25" i="45" s="1"/>
  <c r="V25" i="45"/>
  <c r="R44" i="45"/>
  <c r="L60" i="45"/>
  <c r="N60" i="45" s="1"/>
  <c r="R91" i="45"/>
  <c r="Z49" i="58"/>
  <c r="V41" i="39"/>
  <c r="V45" i="39"/>
  <c r="V49" i="39"/>
  <c r="V77" i="39"/>
  <c r="V123" i="39"/>
  <c r="J113" i="42"/>
  <c r="J102" i="42"/>
  <c r="J114" i="42"/>
  <c r="J103" i="42"/>
  <c r="J97" i="42"/>
  <c r="J93" i="42"/>
  <c r="J89" i="42"/>
  <c r="J115" i="42"/>
  <c r="J104" i="42"/>
  <c r="J76" i="42"/>
  <c r="J70" i="42"/>
  <c r="J58" i="42"/>
  <c r="J50" i="42"/>
  <c r="J44" i="42"/>
  <c r="J40" i="42"/>
  <c r="J117" i="42"/>
  <c r="J105" i="42"/>
  <c r="J83" i="42"/>
  <c r="J119" i="42"/>
  <c r="J84" i="42"/>
  <c r="J62" i="42"/>
  <c r="J121" i="42"/>
  <c r="J107" i="42"/>
  <c r="J99" i="42"/>
  <c r="J95" i="42"/>
  <c r="J91" i="42"/>
  <c r="J96" i="42"/>
  <c r="J92" i="42"/>
  <c r="J86" i="42"/>
  <c r="J66" i="42"/>
  <c r="J56" i="42"/>
  <c r="J20" i="42"/>
  <c r="J21" i="42"/>
  <c r="J39" i="42"/>
  <c r="J42" i="42"/>
  <c r="J45" i="42"/>
  <c r="J49" i="42"/>
  <c r="Z68" i="42"/>
  <c r="N52" i="45"/>
  <c r="N64" i="45"/>
  <c r="X44" i="48"/>
  <c r="Z44" i="48" s="1"/>
  <c r="D111" i="42"/>
  <c r="L111" i="42" s="1"/>
  <c r="N111" i="42" s="1"/>
  <c r="N56" i="45"/>
  <c r="Z76" i="51"/>
  <c r="X76" i="51"/>
  <c r="N48" i="42"/>
  <c r="Z103" i="42"/>
  <c r="X103" i="42"/>
  <c r="V103" i="42"/>
  <c r="X18" i="45"/>
  <c r="Z18" i="45" s="1"/>
  <c r="F68" i="48"/>
  <c r="F59" i="48"/>
  <c r="F27" i="48"/>
  <c r="F23" i="48"/>
  <c r="F67" i="48"/>
  <c r="F50" i="48"/>
  <c r="F41" i="48"/>
  <c r="F37" i="48"/>
  <c r="F33" i="48"/>
  <c r="F72" i="48"/>
  <c r="F60" i="48"/>
  <c r="F52" i="48"/>
  <c r="F51" i="48"/>
  <c r="F28" i="48"/>
  <c r="F24" i="48"/>
  <c r="F62" i="48"/>
  <c r="F61" i="48"/>
  <c r="F54" i="48"/>
  <c r="F53" i="48"/>
  <c r="F38" i="48"/>
  <c r="F34" i="48"/>
  <c r="F56" i="48"/>
  <c r="F55" i="48"/>
  <c r="F19" i="48"/>
  <c r="F15" i="48"/>
  <c r="F63" i="48"/>
  <c r="F47" i="48"/>
  <c r="F46" i="48"/>
  <c r="F39" i="48"/>
  <c r="F35" i="48"/>
  <c r="D17" i="48"/>
  <c r="F58" i="48"/>
  <c r="F57" i="48"/>
  <c r="F30" i="48"/>
  <c r="F26" i="48"/>
  <c r="F22" i="48"/>
  <c r="L12" i="48"/>
  <c r="F44" i="48"/>
  <c r="F65" i="48"/>
  <c r="F49" i="48"/>
  <c r="F42" i="48"/>
  <c r="F45" i="48"/>
  <c r="F32" i="48"/>
  <c r="F20" i="48"/>
  <c r="F40" i="48"/>
  <c r="F36" i="48"/>
  <c r="F48" i="48"/>
  <c r="F31" i="48"/>
  <c r="F29" i="48"/>
  <c r="F25" i="48"/>
  <c r="V108" i="39"/>
  <c r="T121" i="39"/>
  <c r="V121" i="39" s="1"/>
  <c r="P12" i="42"/>
  <c r="J27" i="42"/>
  <c r="J48" i="42"/>
  <c r="X50" i="42"/>
  <c r="Z50" i="42" s="1"/>
  <c r="Z66" i="42"/>
  <c r="Z70" i="42"/>
  <c r="L86" i="42"/>
  <c r="J98" i="42"/>
  <c r="J109" i="42"/>
  <c r="R93" i="45"/>
  <c r="R92" i="45"/>
  <c r="R77" i="45"/>
  <c r="R76" i="45"/>
  <c r="R72" i="45"/>
  <c r="R71" i="45"/>
  <c r="R64" i="45"/>
  <c r="R63" i="45"/>
  <c r="R52" i="45"/>
  <c r="R51" i="45"/>
  <c r="R96" i="45"/>
  <c r="R73" i="45"/>
  <c r="R88" i="45"/>
  <c r="R87" i="45"/>
  <c r="R83" i="45"/>
  <c r="R79" i="45"/>
  <c r="R68" i="45"/>
  <c r="R67" i="45"/>
  <c r="R56" i="45"/>
  <c r="R55" i="45"/>
  <c r="R89" i="45"/>
  <c r="R69" i="45"/>
  <c r="R58" i="45"/>
  <c r="R57" i="45"/>
  <c r="R75" i="45"/>
  <c r="R84" i="45"/>
  <c r="R53" i="45"/>
  <c r="R45" i="45"/>
  <c r="R41" i="45"/>
  <c r="R18" i="45"/>
  <c r="R82" i="45"/>
  <c r="R65" i="45"/>
  <c r="R62" i="45"/>
  <c r="R50" i="45"/>
  <c r="R37" i="45"/>
  <c r="R36" i="45"/>
  <c r="R32" i="45"/>
  <c r="R28" i="45"/>
  <c r="X12" i="45"/>
  <c r="Z12" i="45" s="1"/>
  <c r="R80" i="45"/>
  <c r="R54" i="45"/>
  <c r="R19" i="45"/>
  <c r="R78" i="45"/>
  <c r="R46" i="45"/>
  <c r="R42" i="45"/>
  <c r="R38" i="45"/>
  <c r="R66" i="45"/>
  <c r="R33" i="45"/>
  <c r="R29" i="45"/>
  <c r="R100" i="45"/>
  <c r="R90" i="45"/>
  <c r="R20" i="45"/>
  <c r="R85" i="45"/>
  <c r="R74" i="45"/>
  <c r="R59" i="45"/>
  <c r="R43" i="45"/>
  <c r="R39" i="45"/>
  <c r="R60" i="45"/>
  <c r="R47" i="45"/>
  <c r="R34" i="45"/>
  <c r="R30" i="45"/>
  <c r="R94" i="45"/>
  <c r="R35" i="45"/>
  <c r="R31" i="45"/>
  <c r="R27" i="45"/>
  <c r="P23" i="45"/>
  <c r="R23" i="45"/>
  <c r="Z52" i="45"/>
  <c r="V52" i="45"/>
  <c r="Z64" i="45"/>
  <c r="V64" i="45"/>
  <c r="Z68" i="45"/>
  <c r="R86" i="45"/>
  <c r="J50" i="48"/>
  <c r="J51" i="48"/>
  <c r="J41" i="48"/>
  <c r="J37" i="48"/>
  <c r="J33" i="48"/>
  <c r="J72" i="48"/>
  <c r="J60" i="48"/>
  <c r="J52" i="48"/>
  <c r="J42" i="48"/>
  <c r="J28" i="48"/>
  <c r="J24" i="48"/>
  <c r="J61" i="48"/>
  <c r="J53" i="48"/>
  <c r="J43" i="48"/>
  <c r="J62" i="48"/>
  <c r="J54" i="48"/>
  <c r="J55" i="48"/>
  <c r="J45" i="48"/>
  <c r="J29" i="48"/>
  <c r="J25" i="48"/>
  <c r="J21" i="48"/>
  <c r="J19" i="48"/>
  <c r="J17" i="48"/>
  <c r="J15" i="48"/>
  <c r="J63" i="48"/>
  <c r="J57" i="48"/>
  <c r="J47" i="48"/>
  <c r="J39" i="48"/>
  <c r="J35" i="48"/>
  <c r="J64" i="48"/>
  <c r="J58" i="48"/>
  <c r="J48" i="48"/>
  <c r="J30" i="48"/>
  <c r="J26" i="48"/>
  <c r="J22" i="48"/>
  <c r="N12" i="48"/>
  <c r="J65" i="48"/>
  <c r="J49" i="48"/>
  <c r="J31" i="48"/>
  <c r="J44" i="48"/>
  <c r="J59" i="48"/>
  <c r="J68" i="48"/>
  <c r="J20" i="48"/>
  <c r="J38" i="48"/>
  <c r="J34" i="48"/>
  <c r="J32" i="48"/>
  <c r="J40" i="48"/>
  <c r="J36" i="48"/>
  <c r="H17" i="48"/>
  <c r="J56" i="48"/>
  <c r="J46" i="48"/>
  <c r="J27" i="48"/>
  <c r="J23" i="48"/>
  <c r="F43" i="48"/>
  <c r="J67" i="48"/>
  <c r="V25" i="39"/>
  <c r="V27" i="39"/>
  <c r="V29" i="39"/>
  <c r="V57" i="39"/>
  <c r="V65" i="39"/>
  <c r="V73" i="39"/>
  <c r="V81" i="39"/>
  <c r="L90" i="39"/>
  <c r="N90" i="39" s="1"/>
  <c r="V93" i="39"/>
  <c r="V97" i="39"/>
  <c r="V101" i="39"/>
  <c r="V109" i="39"/>
  <c r="V119" i="39"/>
  <c r="J26" i="42"/>
  <c r="L27" i="42"/>
  <c r="N27" i="42" s="1"/>
  <c r="V58" i="42"/>
  <c r="V62" i="42"/>
  <c r="V66" i="42"/>
  <c r="V70" i="42"/>
  <c r="F64" i="48"/>
  <c r="V30" i="39"/>
  <c r="V34" i="39"/>
  <c r="V38" i="39"/>
  <c r="V54" i="39"/>
  <c r="V62" i="39"/>
  <c r="V74" i="39"/>
  <c r="V86" i="39"/>
  <c r="V106" i="39"/>
  <c r="V118" i="39"/>
  <c r="J37" i="42"/>
  <c r="J47" i="42"/>
  <c r="N52" i="42"/>
  <c r="Z54" i="42"/>
  <c r="N60" i="42"/>
  <c r="N68" i="42"/>
  <c r="N72" i="42"/>
  <c r="N80" i="42"/>
  <c r="J85" i="42"/>
  <c r="N100" i="42"/>
  <c r="R26" i="45"/>
  <c r="F21" i="48"/>
  <c r="L31" i="48"/>
  <c r="N31" i="48" s="1"/>
  <c r="X32" i="51"/>
  <c r="Z32" i="51" s="1"/>
  <c r="V43" i="39"/>
  <c r="V47" i="39"/>
  <c r="V55" i="39"/>
  <c r="V63" i="39"/>
  <c r="V71" i="39"/>
  <c r="V79" i="39"/>
  <c r="V91" i="39"/>
  <c r="V107" i="39"/>
  <c r="J24" i="42"/>
  <c r="X27" i="42"/>
  <c r="J52" i="42"/>
  <c r="V54" i="42"/>
  <c r="J60" i="42"/>
  <c r="J64" i="42"/>
  <c r="J68" i="42"/>
  <c r="J72" i="42"/>
  <c r="J80" i="42"/>
  <c r="Z86" i="42"/>
  <c r="J100" i="42"/>
  <c r="Z26" i="45"/>
  <c r="R49" i="45"/>
  <c r="X77" i="45"/>
  <c r="Z77" i="45" s="1"/>
  <c r="Z20" i="48"/>
  <c r="X20" i="48"/>
  <c r="Z51" i="48"/>
  <c r="V40" i="42"/>
  <c r="V44" i="42"/>
  <c r="V52" i="42"/>
  <c r="V60" i="42"/>
  <c r="V72" i="42"/>
  <c r="V76" i="42"/>
  <c r="V104" i="42"/>
  <c r="L112" i="42"/>
  <c r="N112" i="42" s="1"/>
  <c r="V18" i="45"/>
  <c r="N26" i="45"/>
  <c r="J30" i="45"/>
  <c r="J34" i="45"/>
  <c r="J47" i="45"/>
  <c r="V49" i="45"/>
  <c r="J56" i="45"/>
  <c r="V61" i="45"/>
  <c r="N72" i="45"/>
  <c r="N88" i="45"/>
  <c r="Z19" i="48"/>
  <c r="V20" i="48"/>
  <c r="R53" i="48"/>
  <c r="Z61" i="48"/>
  <c r="X61" i="48"/>
  <c r="Z70" i="51"/>
  <c r="L14" i="55"/>
  <c r="D16" i="55"/>
  <c r="V113" i="42"/>
  <c r="Z48" i="45"/>
  <c r="Z56" i="45"/>
  <c r="N66" i="45"/>
  <c r="Z72" i="45"/>
  <c r="Z88" i="45"/>
  <c r="V62" i="48"/>
  <c r="V54" i="48"/>
  <c r="V46" i="48"/>
  <c r="V38" i="48"/>
  <c r="V34" i="48"/>
  <c r="T17" i="48"/>
  <c r="V57" i="48"/>
  <c r="V45" i="48"/>
  <c r="V29" i="48"/>
  <c r="V25" i="48"/>
  <c r="V21" i="48"/>
  <c r="V64" i="48"/>
  <c r="V56" i="48"/>
  <c r="V48" i="48"/>
  <c r="V63" i="48"/>
  <c r="V47" i="48"/>
  <c r="V39" i="48"/>
  <c r="V35" i="48"/>
  <c r="V31" i="48"/>
  <c r="V58" i="48"/>
  <c r="V67" i="48"/>
  <c r="V65" i="48"/>
  <c r="V49" i="48"/>
  <c r="V59" i="48"/>
  <c r="V51" i="48"/>
  <c r="V27" i="48"/>
  <c r="V23" i="48"/>
  <c r="V50" i="48"/>
  <c r="V42" i="48"/>
  <c r="V61" i="48"/>
  <c r="V53" i="48"/>
  <c r="V41" i="48"/>
  <c r="V37" i="48"/>
  <c r="V33" i="48"/>
  <c r="Z31" i="48"/>
  <c r="V44" i="48"/>
  <c r="V88" i="42"/>
  <c r="V92" i="42"/>
  <c r="V96" i="42"/>
  <c r="V112" i="42"/>
  <c r="J75" i="45"/>
  <c r="J90" i="45"/>
  <c r="J70" i="45"/>
  <c r="J60" i="45"/>
  <c r="J48" i="45"/>
  <c r="J92" i="45"/>
  <c r="J76" i="45"/>
  <c r="J94" i="45"/>
  <c r="J86" i="45"/>
  <c r="J82" i="45"/>
  <c r="J78" i="45"/>
  <c r="J72" i="45"/>
  <c r="J64" i="45"/>
  <c r="J52" i="45"/>
  <c r="J96" i="45"/>
  <c r="J66" i="45"/>
  <c r="J54" i="45"/>
  <c r="J100" i="45"/>
  <c r="J88" i="45"/>
  <c r="J74" i="45"/>
  <c r="J68" i="45"/>
  <c r="X13" i="45"/>
  <c r="V26" i="45"/>
  <c r="J38" i="45"/>
  <c r="J42" i="45"/>
  <c r="J46" i="45"/>
  <c r="V48" i="45"/>
  <c r="V56" i="45"/>
  <c r="Z60" i="45"/>
  <c r="J71" i="45"/>
  <c r="V72" i="45"/>
  <c r="V83" i="45"/>
  <c r="V43" i="48"/>
  <c r="R48" i="48"/>
  <c r="R52" i="48"/>
  <c r="V60" i="48"/>
  <c r="X67" i="48"/>
  <c r="Z67" i="48" s="1"/>
  <c r="N48" i="51"/>
  <c r="V109" i="42"/>
  <c r="V111" i="42"/>
  <c r="N50" i="45"/>
  <c r="N54" i="45"/>
  <c r="J58" i="45"/>
  <c r="N62" i="45"/>
  <c r="Z48" i="48"/>
  <c r="V52" i="48"/>
  <c r="Z64" i="48"/>
  <c r="V72" i="48"/>
  <c r="V100" i="51"/>
  <c r="V90" i="51"/>
  <c r="V82" i="51"/>
  <c r="V74" i="51"/>
  <c r="V96" i="51"/>
  <c r="V94" i="51"/>
  <c r="V69" i="51"/>
  <c r="V65" i="51"/>
  <c r="V61" i="51"/>
  <c r="V88" i="51"/>
  <c r="V72" i="51"/>
  <c r="V56" i="51"/>
  <c r="V52" i="51"/>
  <c r="V48" i="51"/>
  <c r="V83" i="51"/>
  <c r="V77" i="51"/>
  <c r="V71" i="51"/>
  <c r="V47" i="51"/>
  <c r="V45" i="51"/>
  <c r="V43" i="51"/>
  <c r="V39" i="51"/>
  <c r="V35" i="51"/>
  <c r="V95" i="51"/>
  <c r="V78" i="51"/>
  <c r="V66" i="51"/>
  <c r="V62" i="51"/>
  <c r="T45" i="51"/>
  <c r="V89" i="51"/>
  <c r="V57" i="51"/>
  <c r="V53" i="51"/>
  <c r="V49" i="51"/>
  <c r="V85" i="51"/>
  <c r="V84" i="51"/>
  <c r="V73" i="51"/>
  <c r="V40" i="51"/>
  <c r="V36" i="51"/>
  <c r="V32" i="51"/>
  <c r="V67" i="51"/>
  <c r="V63" i="51"/>
  <c r="V59" i="51"/>
  <c r="V91" i="51"/>
  <c r="V58" i="51"/>
  <c r="V54" i="51"/>
  <c r="V50" i="51"/>
  <c r="V79" i="51"/>
  <c r="V41" i="51"/>
  <c r="V37" i="51"/>
  <c r="V33" i="51"/>
  <c r="V68" i="51"/>
  <c r="V64" i="51"/>
  <c r="V60" i="51"/>
  <c r="R69" i="58"/>
  <c r="R62" i="58"/>
  <c r="R61" i="58"/>
  <c r="R54" i="58"/>
  <c r="R53" i="58"/>
  <c r="R37" i="58"/>
  <c r="R33" i="58"/>
  <c r="R18" i="58"/>
  <c r="R16" i="58"/>
  <c r="R14" i="58"/>
  <c r="R73" i="58"/>
  <c r="R71" i="58"/>
  <c r="R45" i="58"/>
  <c r="R44" i="58"/>
  <c r="R28" i="58"/>
  <c r="R24" i="58"/>
  <c r="R20" i="58"/>
  <c r="P16" i="58"/>
  <c r="R63" i="58"/>
  <c r="R55" i="58"/>
  <c r="R47" i="58"/>
  <c r="R46" i="58"/>
  <c r="R38" i="58"/>
  <c r="R34" i="58"/>
  <c r="R75" i="58"/>
  <c r="R80" i="58"/>
  <c r="R77" i="58"/>
  <c r="R64" i="58"/>
  <c r="R56" i="58"/>
  <c r="R49" i="58"/>
  <c r="R48" i="58"/>
  <c r="R39" i="58"/>
  <c r="R35" i="58"/>
  <c r="R31" i="58"/>
  <c r="R51" i="58"/>
  <c r="R50" i="58"/>
  <c r="R26" i="58"/>
  <c r="R22" i="58"/>
  <c r="R66" i="58"/>
  <c r="R65" i="58"/>
  <c r="R58" i="58"/>
  <c r="R57" i="58"/>
  <c r="R68" i="58"/>
  <c r="R67" i="58"/>
  <c r="R60" i="58"/>
  <c r="R59" i="58"/>
  <c r="R27" i="58"/>
  <c r="R23" i="58"/>
  <c r="R25" i="58"/>
  <c r="R21" i="58"/>
  <c r="R42" i="58"/>
  <c r="R40" i="58"/>
  <c r="R36" i="58"/>
  <c r="R30" i="58"/>
  <c r="R32" i="58"/>
  <c r="R52" i="58"/>
  <c r="R43" i="58"/>
  <c r="R41" i="58"/>
  <c r="X12" i="58"/>
  <c r="R19" i="58"/>
  <c r="R29" i="58"/>
  <c r="J62" i="45"/>
  <c r="J65" i="45"/>
  <c r="J80" i="45"/>
  <c r="V17" i="48"/>
  <c r="V95" i="42"/>
  <c r="V99" i="42"/>
  <c r="V107" i="42"/>
  <c r="J41" i="45"/>
  <c r="J45" i="45"/>
  <c r="J53" i="45"/>
  <c r="J73" i="45"/>
  <c r="J89" i="45"/>
  <c r="V93" i="45"/>
  <c r="R44" i="48"/>
  <c r="R43" i="48"/>
  <c r="R20" i="48"/>
  <c r="R62" i="48"/>
  <c r="R55" i="48"/>
  <c r="R54" i="48"/>
  <c r="R38" i="48"/>
  <c r="R34" i="48"/>
  <c r="R19" i="48"/>
  <c r="R17" i="48"/>
  <c r="R15" i="48"/>
  <c r="R46" i="48"/>
  <c r="R45" i="48"/>
  <c r="R29" i="48"/>
  <c r="R25" i="48"/>
  <c r="R21" i="48"/>
  <c r="P17" i="48"/>
  <c r="R57" i="48"/>
  <c r="R56" i="48"/>
  <c r="R64" i="48"/>
  <c r="R63" i="48"/>
  <c r="R58" i="48"/>
  <c r="R31" i="48"/>
  <c r="R30" i="48"/>
  <c r="R26" i="48"/>
  <c r="R22" i="48"/>
  <c r="X12" i="48"/>
  <c r="Z12" i="48" s="1"/>
  <c r="R68" i="48"/>
  <c r="R67" i="48"/>
  <c r="R40" i="48"/>
  <c r="R36" i="48"/>
  <c r="R32" i="48"/>
  <c r="R59" i="48"/>
  <c r="R27" i="48"/>
  <c r="R23" i="48"/>
  <c r="R51" i="48"/>
  <c r="R50" i="48"/>
  <c r="R24" i="48"/>
  <c r="V26" i="48"/>
  <c r="R28" i="48"/>
  <c r="V30" i="48"/>
  <c r="D26" i="54"/>
  <c r="V28" i="42"/>
  <c r="V32" i="42"/>
  <c r="V36" i="42"/>
  <c r="V64" i="42"/>
  <c r="V80" i="42"/>
  <c r="V84" i="42"/>
  <c r="V100" i="42"/>
  <c r="V108" i="42"/>
  <c r="V96" i="45"/>
  <c r="V94" i="45"/>
  <c r="V86" i="45"/>
  <c r="V82" i="45"/>
  <c r="V78" i="45"/>
  <c r="V66" i="45"/>
  <c r="V54" i="45"/>
  <c r="V88" i="45"/>
  <c r="V68" i="45"/>
  <c r="V100" i="45"/>
  <c r="V74" i="45"/>
  <c r="V58" i="45"/>
  <c r="V46" i="45"/>
  <c r="V84" i="45"/>
  <c r="V80" i="45"/>
  <c r="V60" i="45"/>
  <c r="V90" i="45"/>
  <c r="V70" i="45"/>
  <c r="H23" i="45"/>
  <c r="V38" i="45"/>
  <c r="V42" i="45"/>
  <c r="J49" i="45"/>
  <c r="J57" i="45"/>
  <c r="J61" i="45"/>
  <c r="N68" i="45"/>
  <c r="J84" i="45"/>
  <c r="V92" i="45"/>
  <c r="Z93" i="45"/>
  <c r="X13" i="48"/>
  <c r="Z13" i="48" s="1"/>
  <c r="V24" i="48"/>
  <c r="V28" i="48"/>
  <c r="V36" i="48"/>
  <c r="V40" i="48"/>
  <c r="N42" i="48"/>
  <c r="R47" i="48"/>
  <c r="X81" i="51"/>
  <c r="Z81" i="51"/>
  <c r="V119" i="42"/>
  <c r="J77" i="45"/>
  <c r="V22" i="48"/>
  <c r="V32" i="48"/>
  <c r="N55" i="48"/>
  <c r="L55" i="48"/>
  <c r="N74" i="51"/>
  <c r="Z87" i="51"/>
  <c r="X87" i="51"/>
  <c r="Z50" i="45"/>
  <c r="Z62" i="45"/>
  <c r="L19" i="48"/>
  <c r="N19" i="48" s="1"/>
  <c r="R42" i="48"/>
  <c r="R49" i="48"/>
  <c r="N53" i="48"/>
  <c r="N57" i="48"/>
  <c r="V68" i="48"/>
  <c r="P12" i="51"/>
  <c r="V87" i="51"/>
  <c r="N30" i="56"/>
  <c r="D12" i="57"/>
  <c r="L13" i="57"/>
  <c r="J36" i="51"/>
  <c r="J40" i="51"/>
  <c r="H45" i="51"/>
  <c r="J73" i="51"/>
  <c r="N78" i="51"/>
  <c r="J84" i="51"/>
  <c r="J96" i="51"/>
  <c r="T17" i="56"/>
  <c r="V63" i="56"/>
  <c r="J78" i="51"/>
  <c r="J83" i="51"/>
  <c r="X85" i="51"/>
  <c r="Z85" i="51" s="1"/>
  <c r="J89" i="51"/>
  <c r="X23" i="55"/>
  <c r="Z23" i="55" s="1"/>
  <c r="J48" i="51"/>
  <c r="J62" i="51"/>
  <c r="J66" i="51"/>
  <c r="J72" i="51"/>
  <c r="V23" i="56"/>
  <c r="V30" i="56"/>
  <c r="L68" i="56"/>
  <c r="N68" i="56" s="1"/>
  <c r="X57" i="57"/>
  <c r="Z57" i="57" s="1"/>
  <c r="P57" i="60"/>
  <c r="D96" i="63"/>
  <c r="J52" i="51"/>
  <c r="J56" i="51"/>
  <c r="J70" i="51"/>
  <c r="L70" i="51"/>
  <c r="N70" i="51" s="1"/>
  <c r="Z26" i="54"/>
  <c r="J27" i="55"/>
  <c r="J19" i="55"/>
  <c r="J35" i="55"/>
  <c r="J20" i="55"/>
  <c r="J18" i="55"/>
  <c r="J16" i="55"/>
  <c r="J14" i="55"/>
  <c r="J29" i="55"/>
  <c r="J21" i="55"/>
  <c r="H16" i="55"/>
  <c r="J24" i="55"/>
  <c r="J25" i="55"/>
  <c r="J26" i="55"/>
  <c r="J33" i="55"/>
  <c r="N12" i="55"/>
  <c r="J95" i="51"/>
  <c r="J94" i="51"/>
  <c r="J86" i="51"/>
  <c r="J76" i="51"/>
  <c r="J100" i="51"/>
  <c r="X13" i="51"/>
  <c r="Z13" i="51" s="1"/>
  <c r="J34" i="51"/>
  <c r="J38" i="51"/>
  <c r="J42" i="51"/>
  <c r="J80" i="51"/>
  <c r="J87" i="51"/>
  <c r="Z22" i="54"/>
  <c r="L12" i="55"/>
  <c r="R65" i="56"/>
  <c r="R37" i="56"/>
  <c r="R33" i="56"/>
  <c r="R57" i="56"/>
  <c r="R56" i="56"/>
  <c r="R45" i="56"/>
  <c r="R44" i="56"/>
  <c r="R28" i="56"/>
  <c r="R24" i="56"/>
  <c r="R82" i="56"/>
  <c r="R79" i="56"/>
  <c r="R66" i="56"/>
  <c r="R58" i="56"/>
  <c r="R47" i="56"/>
  <c r="R46" i="56"/>
  <c r="R38" i="56"/>
  <c r="R34" i="56"/>
  <c r="R49" i="56"/>
  <c r="R48" i="56"/>
  <c r="R68" i="56"/>
  <c r="R67" i="56"/>
  <c r="R60" i="56"/>
  <c r="R59" i="56"/>
  <c r="R39" i="56"/>
  <c r="R35" i="56"/>
  <c r="R31" i="56"/>
  <c r="R51" i="56"/>
  <c r="R50" i="56"/>
  <c r="R70" i="56"/>
  <c r="R69" i="56"/>
  <c r="R62" i="56"/>
  <c r="R61" i="56"/>
  <c r="R71" i="56"/>
  <c r="R64" i="56"/>
  <c r="R63" i="56"/>
  <c r="R27" i="56"/>
  <c r="R23" i="56"/>
  <c r="R42" i="56"/>
  <c r="R30" i="56"/>
  <c r="R21" i="56"/>
  <c r="R15" i="56"/>
  <c r="R40" i="56"/>
  <c r="R26" i="56"/>
  <c r="X12" i="56"/>
  <c r="R77" i="56"/>
  <c r="R54" i="56"/>
  <c r="R43" i="56"/>
  <c r="P17" i="56"/>
  <c r="R52" i="56"/>
  <c r="R41" i="56"/>
  <c r="R22" i="56"/>
  <c r="R29" i="56"/>
  <c r="R19" i="56"/>
  <c r="R75" i="56"/>
  <c r="R25" i="56"/>
  <c r="R20" i="56"/>
  <c r="V24" i="56"/>
  <c r="V34" i="56"/>
  <c r="R36" i="56"/>
  <c r="L69" i="57"/>
  <c r="D68" i="57"/>
  <c r="L68" i="57" s="1"/>
  <c r="J51" i="51"/>
  <c r="J55" i="51"/>
  <c r="Z72" i="51"/>
  <c r="J75" i="51"/>
  <c r="J92" i="51"/>
  <c r="P31" i="55"/>
  <c r="N21" i="55"/>
  <c r="V56" i="56"/>
  <c r="V44" i="56"/>
  <c r="V82" i="56"/>
  <c r="V79" i="56"/>
  <c r="V77" i="56"/>
  <c r="V47" i="56"/>
  <c r="V19" i="56"/>
  <c r="V17" i="56"/>
  <c r="V15" i="56"/>
  <c r="V49" i="56"/>
  <c r="V29" i="56"/>
  <c r="V67" i="56"/>
  <c r="V59" i="56"/>
  <c r="V51" i="56"/>
  <c r="V39" i="56"/>
  <c r="V35" i="56"/>
  <c r="V31" i="56"/>
  <c r="V70" i="56"/>
  <c r="V62" i="56"/>
  <c r="V50" i="56"/>
  <c r="V26" i="56"/>
  <c r="V22" i="56"/>
  <c r="Z12" i="56"/>
  <c r="V69" i="56"/>
  <c r="V61" i="56"/>
  <c r="V53" i="56"/>
  <c r="V41" i="56"/>
  <c r="V64" i="56"/>
  <c r="V52" i="56"/>
  <c r="V40" i="56"/>
  <c r="V36" i="56"/>
  <c r="V32" i="56"/>
  <c r="V54" i="56"/>
  <c r="V42" i="56"/>
  <c r="V21" i="56"/>
  <c r="V73" i="56"/>
  <c r="V60" i="56"/>
  <c r="V28" i="56"/>
  <c r="V45" i="56"/>
  <c r="V38" i="56"/>
  <c r="V68" i="56"/>
  <c r="V27" i="56"/>
  <c r="V20" i="56"/>
  <c r="V75" i="56"/>
  <c r="V57" i="56"/>
  <c r="V55" i="56"/>
  <c r="V48" i="56"/>
  <c r="V37" i="56"/>
  <c r="V25" i="56"/>
  <c r="V66" i="56"/>
  <c r="V46" i="56"/>
  <c r="V33" i="56"/>
  <c r="R65" i="57"/>
  <c r="R64" i="57"/>
  <c r="R57" i="57"/>
  <c r="R56" i="57"/>
  <c r="R48" i="57"/>
  <c r="R47" i="57"/>
  <c r="R39" i="57"/>
  <c r="R35" i="57"/>
  <c r="R31" i="57"/>
  <c r="R66" i="57"/>
  <c r="R58" i="57"/>
  <c r="R26" i="57"/>
  <c r="R69" i="57"/>
  <c r="R68" i="57"/>
  <c r="R50" i="57"/>
  <c r="R49" i="57"/>
  <c r="R71" i="57"/>
  <c r="R59" i="57"/>
  <c r="R52" i="57"/>
  <c r="R51" i="57"/>
  <c r="R27" i="57"/>
  <c r="R23" i="57"/>
  <c r="R73" i="57"/>
  <c r="R43" i="57"/>
  <c r="R42" i="57"/>
  <c r="R53" i="57"/>
  <c r="R37" i="57"/>
  <c r="R33" i="57"/>
  <c r="R61" i="57"/>
  <c r="R60" i="57"/>
  <c r="R45" i="57"/>
  <c r="R44" i="57"/>
  <c r="R28" i="57"/>
  <c r="R24" i="57"/>
  <c r="R80" i="57"/>
  <c r="R77" i="57"/>
  <c r="R63" i="57"/>
  <c r="R62" i="57"/>
  <c r="R55" i="57"/>
  <c r="R54" i="57"/>
  <c r="R46" i="57"/>
  <c r="R38" i="57"/>
  <c r="R34" i="57"/>
  <c r="R19" i="57"/>
  <c r="R17" i="57"/>
  <c r="R15" i="57"/>
  <c r="R75" i="57"/>
  <c r="R30" i="57"/>
  <c r="R32" i="57"/>
  <c r="X12" i="57"/>
  <c r="R40" i="57"/>
  <c r="R36" i="57"/>
  <c r="R21" i="57"/>
  <c r="R70" i="57"/>
  <c r="R29" i="57"/>
  <c r="R41" i="57"/>
  <c r="R20" i="57"/>
  <c r="P17" i="57"/>
  <c r="J60" i="51"/>
  <c r="J64" i="51"/>
  <c r="J68" i="51"/>
  <c r="J91" i="51"/>
  <c r="Z94" i="51"/>
  <c r="R32" i="56"/>
  <c r="Z49" i="56"/>
  <c r="J33" i="51"/>
  <c r="J37" i="51"/>
  <c r="J41" i="51"/>
  <c r="J59" i="51"/>
  <c r="P16" i="54"/>
  <c r="T73" i="58"/>
  <c r="Z16" i="58"/>
  <c r="F14" i="54"/>
  <c r="F16" i="54"/>
  <c r="F18" i="54"/>
  <c r="F20" i="54"/>
  <c r="F22" i="54"/>
  <c r="R14" i="55"/>
  <c r="R16" i="55"/>
  <c r="R18" i="55"/>
  <c r="V20" i="55"/>
  <c r="F26" i="55"/>
  <c r="R27" i="55"/>
  <c r="R35" i="55"/>
  <c r="D17" i="56"/>
  <c r="J19" i="56"/>
  <c r="F22" i="56"/>
  <c r="J61" i="56"/>
  <c r="J64" i="56"/>
  <c r="N41" i="57"/>
  <c r="N43" i="57"/>
  <c r="N43" i="58"/>
  <c r="L43" i="58"/>
  <c r="N66" i="58"/>
  <c r="J58" i="59"/>
  <c r="J60" i="59"/>
  <c r="N18" i="60"/>
  <c r="N47" i="60"/>
  <c r="T57" i="60"/>
  <c r="H16" i="54"/>
  <c r="T16" i="55"/>
  <c r="X16" i="55" s="1"/>
  <c r="R19" i="55"/>
  <c r="F25" i="55"/>
  <c r="F17" i="56"/>
  <c r="Z20" i="56"/>
  <c r="J31" i="56"/>
  <c r="F50" i="56"/>
  <c r="X64" i="56"/>
  <c r="Z64" i="56" s="1"/>
  <c r="F70" i="56"/>
  <c r="T17" i="57"/>
  <c r="N45" i="57"/>
  <c r="N58" i="58"/>
  <c r="J24" i="59"/>
  <c r="N49" i="60"/>
  <c r="L49" i="60"/>
  <c r="N40" i="63"/>
  <c r="L40" i="63"/>
  <c r="R26" i="54"/>
  <c r="R28" i="54"/>
  <c r="R29" i="54"/>
  <c r="R31" i="54"/>
  <c r="V38" i="55"/>
  <c r="V35" i="55"/>
  <c r="V33" i="55"/>
  <c r="V14" i="55"/>
  <c r="V16" i="55"/>
  <c r="V18" i="55"/>
  <c r="J70" i="56"/>
  <c r="J62" i="56"/>
  <c r="J52" i="56"/>
  <c r="J40" i="56"/>
  <c r="J36" i="56"/>
  <c r="J32" i="56"/>
  <c r="J71" i="56"/>
  <c r="J63" i="56"/>
  <c r="J53" i="56"/>
  <c r="J41" i="56"/>
  <c r="J27" i="56"/>
  <c r="J23" i="56"/>
  <c r="J75" i="56"/>
  <c r="J73" i="56"/>
  <c r="J65" i="56"/>
  <c r="J55" i="56"/>
  <c r="J43" i="56"/>
  <c r="J37" i="56"/>
  <c r="J33" i="56"/>
  <c r="J77" i="56"/>
  <c r="J57" i="56"/>
  <c r="J45" i="56"/>
  <c r="J66" i="56"/>
  <c r="J58" i="56"/>
  <c r="J46" i="56"/>
  <c r="J38" i="56"/>
  <c r="J34" i="56"/>
  <c r="J20" i="56"/>
  <c r="J82" i="56"/>
  <c r="J79" i="56"/>
  <c r="J47" i="56"/>
  <c r="J29" i="56"/>
  <c r="J48" i="56"/>
  <c r="J68" i="56"/>
  <c r="J60" i="56"/>
  <c r="J50" i="56"/>
  <c r="J26" i="56"/>
  <c r="J22" i="56"/>
  <c r="H17" i="56"/>
  <c r="J24" i="56"/>
  <c r="L43" i="56"/>
  <c r="N43" i="56" s="1"/>
  <c r="F63" i="56"/>
  <c r="N70" i="56"/>
  <c r="X52" i="57"/>
  <c r="Z52" i="57" s="1"/>
  <c r="X63" i="57"/>
  <c r="L30" i="58"/>
  <c r="N30" i="58" s="1"/>
  <c r="L16" i="59"/>
  <c r="D67" i="59"/>
  <c r="H57" i="60"/>
  <c r="N16" i="60"/>
  <c r="P63" i="69"/>
  <c r="X18" i="69"/>
  <c r="L15" i="56"/>
  <c r="Z63" i="57"/>
  <c r="Z40" i="60"/>
  <c r="N42" i="60"/>
  <c r="R44" i="61"/>
  <c r="R43" i="61"/>
  <c r="R27" i="61"/>
  <c r="R23" i="61"/>
  <c r="R46" i="61"/>
  <c r="R45" i="61"/>
  <c r="R37" i="61"/>
  <c r="R33" i="61"/>
  <c r="R60" i="61"/>
  <c r="R58" i="61"/>
  <c r="R48" i="61"/>
  <c r="R47" i="61"/>
  <c r="R38" i="61"/>
  <c r="R34" i="61"/>
  <c r="R30" i="61"/>
  <c r="R50" i="61"/>
  <c r="R49" i="61"/>
  <c r="R25" i="61"/>
  <c r="R21" i="61"/>
  <c r="R62" i="61"/>
  <c r="R53" i="61"/>
  <c r="R42" i="61"/>
  <c r="R41" i="61"/>
  <c r="R20" i="61"/>
  <c r="R55" i="61"/>
  <c r="R36" i="61"/>
  <c r="R14" i="61"/>
  <c r="R31" i="61"/>
  <c r="R28" i="61"/>
  <c r="R26" i="61"/>
  <c r="R67" i="61"/>
  <c r="R51" i="61"/>
  <c r="R39" i="61"/>
  <c r="R16" i="61"/>
  <c r="R56" i="61"/>
  <c r="P16" i="61"/>
  <c r="R29" i="61"/>
  <c r="R32" i="61"/>
  <c r="R24" i="61"/>
  <c r="R18" i="61"/>
  <c r="R54" i="61"/>
  <c r="R35" i="61"/>
  <c r="R22" i="61"/>
  <c r="R19" i="61"/>
  <c r="L42" i="61"/>
  <c r="N42" i="61" s="1"/>
  <c r="V24" i="54"/>
  <c r="V26" i="54"/>
  <c r="V28" i="54"/>
  <c r="V29" i="54"/>
  <c r="V31" i="54"/>
  <c r="Z12" i="55"/>
  <c r="R26" i="55"/>
  <c r="F38" i="55"/>
  <c r="N12" i="56"/>
  <c r="F15" i="56"/>
  <c r="F26" i="56"/>
  <c r="N60" i="56"/>
  <c r="F65" i="56"/>
  <c r="J67" i="56"/>
  <c r="L73" i="56"/>
  <c r="Z18" i="58"/>
  <c r="Z54" i="58"/>
  <c r="X60" i="58"/>
  <c r="Z60" i="58" s="1"/>
  <c r="X68" i="58"/>
  <c r="Z68" i="58" s="1"/>
  <c r="N19" i="59"/>
  <c r="J28" i="59"/>
  <c r="L41" i="59"/>
  <c r="L44" i="60"/>
  <c r="N44" i="60" s="1"/>
  <c r="L18" i="61"/>
  <c r="Z62" i="58"/>
  <c r="N43" i="59"/>
  <c r="L57" i="59"/>
  <c r="N18" i="61"/>
  <c r="H60" i="61"/>
  <c r="N47" i="58"/>
  <c r="N57" i="59"/>
  <c r="F48" i="60"/>
  <c r="F64" i="60"/>
  <c r="F61" i="60"/>
  <c r="F50" i="60"/>
  <c r="F49" i="60"/>
  <c r="F55" i="60"/>
  <c r="F45" i="60"/>
  <c r="F44" i="60"/>
  <c r="F37" i="60"/>
  <c r="F33" i="60"/>
  <c r="F28" i="60"/>
  <c r="F24" i="60"/>
  <c r="F20" i="60"/>
  <c r="F19" i="60"/>
  <c r="F18" i="60"/>
  <c r="F16" i="60"/>
  <c r="F14" i="60"/>
  <c r="F57" i="60"/>
  <c r="F46" i="60"/>
  <c r="F38" i="60"/>
  <c r="F34" i="60"/>
  <c r="F30" i="60"/>
  <c r="F29" i="60"/>
  <c r="D16" i="60"/>
  <c r="F51" i="60"/>
  <c r="F25" i="60"/>
  <c r="F21" i="60"/>
  <c r="F47" i="60"/>
  <c r="F39" i="60"/>
  <c r="F35" i="60"/>
  <c r="F31" i="60"/>
  <c r="F59" i="60"/>
  <c r="F53" i="60"/>
  <c r="F52" i="60"/>
  <c r="F26" i="60"/>
  <c r="F22" i="60"/>
  <c r="F41" i="60"/>
  <c r="F40" i="60"/>
  <c r="F43" i="60"/>
  <c r="F42" i="60"/>
  <c r="F27" i="60"/>
  <c r="F23" i="60"/>
  <c r="X18" i="63"/>
  <c r="Z18" i="63" s="1"/>
  <c r="X17" i="68"/>
  <c r="P12" i="68"/>
  <c r="F19" i="55"/>
  <c r="F20" i="55"/>
  <c r="R24" i="55"/>
  <c r="R31" i="55"/>
  <c r="F35" i="55"/>
  <c r="L20" i="56"/>
  <c r="N20" i="56" s="1"/>
  <c r="F23" i="56"/>
  <c r="J30" i="56"/>
  <c r="F62" i="56"/>
  <c r="F79" i="56"/>
  <c r="Z19" i="57"/>
  <c r="L30" i="57"/>
  <c r="N30" i="57" s="1"/>
  <c r="P67" i="59"/>
  <c r="X16" i="59"/>
  <c r="L59" i="59"/>
  <c r="N59" i="59" s="1"/>
  <c r="Z18" i="61"/>
  <c r="V14" i="54"/>
  <c r="V16" i="54"/>
  <c r="V18" i="54"/>
  <c r="V20" i="54"/>
  <c r="F26" i="54"/>
  <c r="F28" i="54"/>
  <c r="F29" i="54"/>
  <c r="V24" i="55"/>
  <c r="V25" i="55"/>
  <c r="F20" i="56"/>
  <c r="F25" i="56"/>
  <c r="J44" i="56"/>
  <c r="J49" i="56"/>
  <c r="J51" i="56"/>
  <c r="N55" i="56"/>
  <c r="X15" i="57"/>
  <c r="N61" i="57"/>
  <c r="X14" i="58"/>
  <c r="L19" i="58"/>
  <c r="N19" i="58" s="1"/>
  <c r="L12" i="60"/>
  <c r="F32" i="60"/>
  <c r="R22" i="55"/>
  <c r="R23" i="55"/>
  <c r="X29" i="55"/>
  <c r="V31" i="55"/>
  <c r="F69" i="56"/>
  <c r="F68" i="56"/>
  <c r="F61" i="56"/>
  <c r="F60" i="56"/>
  <c r="F52" i="56"/>
  <c r="F51" i="56"/>
  <c r="F40" i="56"/>
  <c r="F36" i="56"/>
  <c r="F32" i="56"/>
  <c r="F54" i="56"/>
  <c r="F53" i="56"/>
  <c r="F42" i="56"/>
  <c r="F41" i="56"/>
  <c r="F75" i="56"/>
  <c r="F73" i="56"/>
  <c r="F56" i="56"/>
  <c r="F55" i="56"/>
  <c r="F44" i="56"/>
  <c r="F43" i="56"/>
  <c r="F28" i="56"/>
  <c r="F24" i="56"/>
  <c r="F77" i="56"/>
  <c r="F66" i="56"/>
  <c r="F58" i="56"/>
  <c r="F57" i="56"/>
  <c r="F46" i="56"/>
  <c r="F45" i="56"/>
  <c r="F38" i="56"/>
  <c r="F34" i="56"/>
  <c r="F67" i="56"/>
  <c r="F59" i="56"/>
  <c r="F39" i="56"/>
  <c r="F35" i="56"/>
  <c r="F31" i="56"/>
  <c r="F30" i="56"/>
  <c r="L19" i="56"/>
  <c r="N19" i="56" s="1"/>
  <c r="F33" i="56"/>
  <c r="L20" i="57"/>
  <c r="N20" i="57" s="1"/>
  <c r="X55" i="57"/>
  <c r="Z55" i="57" s="1"/>
  <c r="H16" i="59"/>
  <c r="J38" i="59"/>
  <c r="J34" i="59"/>
  <c r="J61" i="59"/>
  <c r="J53" i="59"/>
  <c r="J45" i="59"/>
  <c r="J29" i="59"/>
  <c r="J25" i="59"/>
  <c r="J21" i="59"/>
  <c r="J62" i="59"/>
  <c r="J54" i="59"/>
  <c r="J46" i="59"/>
  <c r="J30" i="59"/>
  <c r="J63" i="59"/>
  <c r="J55" i="59"/>
  <c r="J47" i="59"/>
  <c r="J39" i="59"/>
  <c r="J35" i="59"/>
  <c r="J31" i="59"/>
  <c r="J48" i="59"/>
  <c r="J26" i="59"/>
  <c r="J22" i="59"/>
  <c r="J67" i="59"/>
  <c r="J65" i="59"/>
  <c r="J49" i="59"/>
  <c r="J56" i="59"/>
  <c r="J50" i="59"/>
  <c r="J40" i="59"/>
  <c r="J36" i="59"/>
  <c r="J32" i="59"/>
  <c r="N12" i="59"/>
  <c r="J69" i="59"/>
  <c r="J57" i="59"/>
  <c r="J51" i="59"/>
  <c r="J41" i="59"/>
  <c r="J27" i="59"/>
  <c r="J23" i="59"/>
  <c r="L12" i="59"/>
  <c r="J74" i="59"/>
  <c r="J71" i="59"/>
  <c r="J59" i="59"/>
  <c r="J43" i="59"/>
  <c r="J37" i="59"/>
  <c r="J33" i="59"/>
  <c r="J19" i="59"/>
  <c r="T67" i="59"/>
  <c r="Z16" i="59"/>
  <c r="R52" i="61"/>
  <c r="Z14" i="63"/>
  <c r="T16" i="63"/>
  <c r="X14" i="63"/>
  <c r="V21" i="57"/>
  <c r="V25" i="57"/>
  <c r="V29" i="57"/>
  <c r="J33" i="57"/>
  <c r="J37" i="57"/>
  <c r="J43" i="57"/>
  <c r="J53" i="57"/>
  <c r="V57" i="57"/>
  <c r="V65" i="57"/>
  <c r="J73" i="57"/>
  <c r="V14" i="58"/>
  <c r="V16" i="58"/>
  <c r="V18" i="58"/>
  <c r="J22" i="58"/>
  <c r="J26" i="58"/>
  <c r="F30" i="58"/>
  <c r="F31" i="58"/>
  <c r="F35" i="58"/>
  <c r="F39" i="58"/>
  <c r="V42" i="58"/>
  <c r="J50" i="58"/>
  <c r="V54" i="58"/>
  <c r="V62" i="58"/>
  <c r="L14" i="59"/>
  <c r="V29" i="59"/>
  <c r="R34" i="59"/>
  <c r="R38" i="59"/>
  <c r="F41" i="59"/>
  <c r="F42" i="59"/>
  <c r="V45" i="59"/>
  <c r="V53" i="59"/>
  <c r="F57" i="59"/>
  <c r="F58" i="59"/>
  <c r="V61" i="59"/>
  <c r="J57" i="60"/>
  <c r="J55" i="60"/>
  <c r="J64" i="60"/>
  <c r="J61" i="60"/>
  <c r="J49" i="60"/>
  <c r="N14" i="60"/>
  <c r="V30" i="60"/>
  <c r="V34" i="60"/>
  <c r="V38" i="60"/>
  <c r="J44" i="60"/>
  <c r="V46" i="60"/>
  <c r="Z47" i="60"/>
  <c r="R57" i="60"/>
  <c r="D16" i="61"/>
  <c r="N29" i="61"/>
  <c r="N29" i="63"/>
  <c r="X54" i="63"/>
  <c r="Z54" i="63" s="1"/>
  <c r="Z58" i="63"/>
  <c r="Z64" i="63"/>
  <c r="R86" i="63"/>
  <c r="Z35" i="68"/>
  <c r="V15" i="57"/>
  <c r="V17" i="57"/>
  <c r="V19" i="57"/>
  <c r="J23" i="57"/>
  <c r="J27" i="57"/>
  <c r="J41" i="57"/>
  <c r="J51" i="57"/>
  <c r="V55" i="57"/>
  <c r="J59" i="57"/>
  <c r="V63" i="57"/>
  <c r="J70" i="57"/>
  <c r="V75" i="57"/>
  <c r="V77" i="57"/>
  <c r="V80" i="57"/>
  <c r="F21" i="58"/>
  <c r="F25" i="58"/>
  <c r="F29" i="58"/>
  <c r="J30" i="58"/>
  <c r="V36" i="58"/>
  <c r="V40" i="58"/>
  <c r="J48" i="58"/>
  <c r="V52" i="58"/>
  <c r="J56" i="58"/>
  <c r="V60" i="58"/>
  <c r="J64" i="58"/>
  <c r="V68" i="58"/>
  <c r="F75" i="58"/>
  <c r="R20" i="59"/>
  <c r="R24" i="59"/>
  <c r="R28" i="59"/>
  <c r="F32" i="59"/>
  <c r="F36" i="59"/>
  <c r="F40" i="59"/>
  <c r="R44" i="59"/>
  <c r="R52" i="59"/>
  <c r="F56" i="59"/>
  <c r="R60" i="59"/>
  <c r="F65" i="59"/>
  <c r="F67" i="59"/>
  <c r="R14" i="60"/>
  <c r="R16" i="60"/>
  <c r="R18" i="60"/>
  <c r="J32" i="60"/>
  <c r="R33" i="60"/>
  <c r="J36" i="60"/>
  <c r="R37" i="60"/>
  <c r="J42" i="60"/>
  <c r="V50" i="60"/>
  <c r="F34" i="61"/>
  <c r="Z42" i="61"/>
  <c r="V20" i="57"/>
  <c r="V24" i="57"/>
  <c r="V28" i="57"/>
  <c r="J32" i="57"/>
  <c r="J36" i="57"/>
  <c r="J40" i="57"/>
  <c r="V44" i="57"/>
  <c r="J50" i="57"/>
  <c r="V60" i="57"/>
  <c r="J68" i="57"/>
  <c r="J69" i="57"/>
  <c r="D16" i="58"/>
  <c r="J21" i="58"/>
  <c r="J25" i="58"/>
  <c r="J29" i="58"/>
  <c r="F34" i="58"/>
  <c r="F38" i="58"/>
  <c r="F45" i="58"/>
  <c r="F46" i="58"/>
  <c r="J47" i="58"/>
  <c r="V57" i="58"/>
  <c r="V65" i="58"/>
  <c r="F71" i="58"/>
  <c r="F73" i="58"/>
  <c r="J75" i="58"/>
  <c r="R64" i="60"/>
  <c r="R61" i="60"/>
  <c r="R49" i="60"/>
  <c r="R19" i="60"/>
  <c r="R55" i="60"/>
  <c r="F26" i="61"/>
  <c r="T60" i="61"/>
  <c r="R62" i="63"/>
  <c r="R61" i="63"/>
  <c r="R50" i="63"/>
  <c r="R49" i="63"/>
  <c r="R41" i="63"/>
  <c r="R89" i="63"/>
  <c r="R88" i="63"/>
  <c r="R80" i="63"/>
  <c r="R76" i="63"/>
  <c r="R69" i="63"/>
  <c r="R68" i="63"/>
  <c r="R64" i="63"/>
  <c r="R63" i="63"/>
  <c r="R52" i="63"/>
  <c r="R51" i="63"/>
  <c r="R27" i="63"/>
  <c r="R23" i="63"/>
  <c r="R90" i="63"/>
  <c r="R93" i="63"/>
  <c r="R92" i="63"/>
  <c r="R81" i="63"/>
  <c r="R77" i="63"/>
  <c r="R65" i="63"/>
  <c r="R54" i="63"/>
  <c r="R53" i="63"/>
  <c r="R37" i="63"/>
  <c r="R33" i="63"/>
  <c r="R18" i="63"/>
  <c r="R16" i="63"/>
  <c r="R14" i="63"/>
  <c r="R94" i="63"/>
  <c r="R45" i="63"/>
  <c r="R44" i="63"/>
  <c r="R29" i="63"/>
  <c r="R28" i="63"/>
  <c r="R24" i="63"/>
  <c r="R20" i="63"/>
  <c r="P16" i="63"/>
  <c r="R96" i="63"/>
  <c r="R71" i="63"/>
  <c r="R56" i="63"/>
  <c r="R55" i="63"/>
  <c r="R83" i="63"/>
  <c r="R82" i="63"/>
  <c r="R78" i="63"/>
  <c r="R66" i="63"/>
  <c r="R46" i="63"/>
  <c r="R38" i="63"/>
  <c r="R34" i="63"/>
  <c r="R30" i="63"/>
  <c r="R98" i="63"/>
  <c r="R85" i="63"/>
  <c r="R84" i="63"/>
  <c r="R73" i="63"/>
  <c r="R72" i="63"/>
  <c r="R103" i="63"/>
  <c r="R100" i="63"/>
  <c r="R79" i="63"/>
  <c r="R67" i="63"/>
  <c r="R60" i="63"/>
  <c r="R59" i="63"/>
  <c r="R48" i="63"/>
  <c r="R47" i="63"/>
  <c r="R40" i="63"/>
  <c r="R39" i="63"/>
  <c r="R35" i="63"/>
  <c r="R31" i="63"/>
  <c r="R42" i="63"/>
  <c r="R57" i="63"/>
  <c r="D12" i="68"/>
  <c r="L14" i="68"/>
  <c r="D67" i="69"/>
  <c r="X41" i="56"/>
  <c r="Z41" i="56" s="1"/>
  <c r="X53" i="56"/>
  <c r="Z53" i="56" s="1"/>
  <c r="X20" i="57"/>
  <c r="Z20" i="57" s="1"/>
  <c r="V33" i="57"/>
  <c r="V37" i="57"/>
  <c r="V45" i="57"/>
  <c r="J49" i="57"/>
  <c r="V53" i="57"/>
  <c r="V61" i="57"/>
  <c r="F14" i="58"/>
  <c r="F16" i="58"/>
  <c r="F18" i="58"/>
  <c r="V22" i="58"/>
  <c r="V26" i="58"/>
  <c r="J34" i="58"/>
  <c r="J38" i="58"/>
  <c r="X41" i="58"/>
  <c r="Z41" i="58" s="1"/>
  <c r="J46" i="58"/>
  <c r="L47" i="58"/>
  <c r="V50" i="58"/>
  <c r="F54" i="58"/>
  <c r="F55" i="58"/>
  <c r="V58" i="58"/>
  <c r="F62" i="58"/>
  <c r="F63" i="58"/>
  <c r="V66" i="58"/>
  <c r="R19" i="59"/>
  <c r="F22" i="59"/>
  <c r="F26" i="59"/>
  <c r="V33" i="59"/>
  <c r="V37" i="59"/>
  <c r="R42" i="59"/>
  <c r="R43" i="59"/>
  <c r="R58" i="59"/>
  <c r="R59" i="59"/>
  <c r="R71" i="59"/>
  <c r="R74" i="59"/>
  <c r="V51" i="60"/>
  <c r="V57" i="60"/>
  <c r="V55" i="60"/>
  <c r="V53" i="60"/>
  <c r="V14" i="60"/>
  <c r="V16" i="60"/>
  <c r="V18" i="60"/>
  <c r="J22" i="60"/>
  <c r="R23" i="60"/>
  <c r="J26" i="60"/>
  <c r="R27" i="60"/>
  <c r="J40" i="60"/>
  <c r="R43" i="60"/>
  <c r="R44" i="60"/>
  <c r="J48" i="60"/>
  <c r="J53" i="60"/>
  <c r="J59" i="60"/>
  <c r="F14" i="61"/>
  <c r="F46" i="61"/>
  <c r="N19" i="63"/>
  <c r="R26" i="63"/>
  <c r="Z73" i="63"/>
  <c r="Z34" i="68"/>
  <c r="N12" i="57"/>
  <c r="J22" i="57"/>
  <c r="J26" i="57"/>
  <c r="V42" i="57"/>
  <c r="J48" i="57"/>
  <c r="J58" i="57"/>
  <c r="J66" i="57"/>
  <c r="H16" i="58"/>
  <c r="F19" i="58"/>
  <c r="F20" i="58"/>
  <c r="F24" i="58"/>
  <c r="F28" i="58"/>
  <c r="V31" i="58"/>
  <c r="V35" i="58"/>
  <c r="V39" i="58"/>
  <c r="F43" i="58"/>
  <c r="F44" i="58"/>
  <c r="J45" i="58"/>
  <c r="V51" i="58"/>
  <c r="J55" i="58"/>
  <c r="J63" i="58"/>
  <c r="J71" i="58"/>
  <c r="J73" i="58"/>
  <c r="V14" i="59"/>
  <c r="V16" i="59"/>
  <c r="V18" i="59"/>
  <c r="R23" i="59"/>
  <c r="R27" i="59"/>
  <c r="F30" i="59"/>
  <c r="F31" i="59"/>
  <c r="F35" i="59"/>
  <c r="F39" i="59"/>
  <c r="V42" i="59"/>
  <c r="F46" i="59"/>
  <c r="F47" i="59"/>
  <c r="R51" i="59"/>
  <c r="F54" i="59"/>
  <c r="F55" i="59"/>
  <c r="V58" i="59"/>
  <c r="F62" i="59"/>
  <c r="F63" i="59"/>
  <c r="R69" i="59"/>
  <c r="X12" i="60"/>
  <c r="V23" i="60"/>
  <c r="V27" i="60"/>
  <c r="J31" i="60"/>
  <c r="R32" i="60"/>
  <c r="J35" i="60"/>
  <c r="R36" i="60"/>
  <c r="J39" i="60"/>
  <c r="V43" i="60"/>
  <c r="J52" i="60"/>
  <c r="V61" i="60"/>
  <c r="F36" i="61"/>
  <c r="N46" i="61"/>
  <c r="L48" i="61"/>
  <c r="X12" i="63"/>
  <c r="N92" i="63"/>
  <c r="L55" i="68"/>
  <c r="N55" i="68" s="1"/>
  <c r="L72" i="68"/>
  <c r="N72" i="68" s="1"/>
  <c r="L48" i="63"/>
  <c r="N48" i="63" s="1"/>
  <c r="R75" i="63"/>
  <c r="X65" i="68"/>
  <c r="Z65" i="68"/>
  <c r="H17" i="57"/>
  <c r="J30" i="57"/>
  <c r="V32" i="57"/>
  <c r="V36" i="57"/>
  <c r="V40" i="57"/>
  <c r="V52" i="57"/>
  <c r="J56" i="57"/>
  <c r="J64" i="57"/>
  <c r="V70" i="57"/>
  <c r="J19" i="58"/>
  <c r="J33" i="58"/>
  <c r="J37" i="58"/>
  <c r="F41" i="58"/>
  <c r="F42" i="58"/>
  <c r="J43" i="58"/>
  <c r="V49" i="58"/>
  <c r="J53" i="58"/>
  <c r="J61" i="58"/>
  <c r="J69" i="58"/>
  <c r="V75" i="58"/>
  <c r="V77" i="58"/>
  <c r="V80" i="58"/>
  <c r="F45" i="59"/>
  <c r="R49" i="59"/>
  <c r="R50" i="59"/>
  <c r="F53" i="59"/>
  <c r="F61" i="59"/>
  <c r="R22" i="60"/>
  <c r="R26" i="60"/>
  <c r="J47" i="60"/>
  <c r="R48" i="60"/>
  <c r="J51" i="60"/>
  <c r="R53" i="60"/>
  <c r="R59" i="60"/>
  <c r="F51" i="61"/>
  <c r="F50" i="61"/>
  <c r="F39" i="61"/>
  <c r="F35" i="61"/>
  <c r="F31" i="61"/>
  <c r="F67" i="61"/>
  <c r="F64" i="61"/>
  <c r="F53" i="61"/>
  <c r="F52" i="61"/>
  <c r="F41" i="61"/>
  <c r="F40" i="61"/>
  <c r="F43" i="61"/>
  <c r="F42" i="61"/>
  <c r="F27" i="61"/>
  <c r="F23" i="61"/>
  <c r="F54" i="61"/>
  <c r="F45" i="61"/>
  <c r="F44" i="61"/>
  <c r="F37" i="61"/>
  <c r="F33" i="61"/>
  <c r="F56" i="61"/>
  <c r="F55" i="61"/>
  <c r="F28" i="61"/>
  <c r="F60" i="61"/>
  <c r="F58" i="61"/>
  <c r="F49" i="61"/>
  <c r="F48" i="61"/>
  <c r="F20" i="61"/>
  <c r="F25" i="61"/>
  <c r="F38" i="61"/>
  <c r="Z46" i="61"/>
  <c r="R21" i="63"/>
  <c r="N43" i="63"/>
  <c r="Z75" i="63"/>
  <c r="Z72" i="68"/>
  <c r="J77" i="57"/>
  <c r="J80" i="57"/>
  <c r="J42" i="58"/>
  <c r="X49" i="58"/>
  <c r="J60" i="58"/>
  <c r="F66" i="58"/>
  <c r="F67" i="58"/>
  <c r="J68" i="58"/>
  <c r="L30" i="59"/>
  <c r="N30" i="59" s="1"/>
  <c r="L46" i="59"/>
  <c r="L54" i="59"/>
  <c r="N54" i="59" s="1"/>
  <c r="L62" i="59"/>
  <c r="N62" i="59" s="1"/>
  <c r="R65" i="59"/>
  <c r="R67" i="59"/>
  <c r="R31" i="60"/>
  <c r="R35" i="60"/>
  <c r="R39" i="60"/>
  <c r="R40" i="60"/>
  <c r="L47" i="60"/>
  <c r="N18" i="63"/>
  <c r="N52" i="63"/>
  <c r="N58" i="63"/>
  <c r="L60" i="63"/>
  <c r="N60" i="63" s="1"/>
  <c r="R74" i="63"/>
  <c r="Z12" i="57"/>
  <c r="J20" i="57"/>
  <c r="V22" i="57"/>
  <c r="V26" i="57"/>
  <c r="J34" i="57"/>
  <c r="J38" i="57"/>
  <c r="J46" i="57"/>
  <c r="V50" i="57"/>
  <c r="J54" i="57"/>
  <c r="V58" i="57"/>
  <c r="J62" i="57"/>
  <c r="V66" i="57"/>
  <c r="V68" i="57"/>
  <c r="L12" i="58"/>
  <c r="J23" i="58"/>
  <c r="J27" i="58"/>
  <c r="F32" i="58"/>
  <c r="F36" i="58"/>
  <c r="F40" i="58"/>
  <c r="J41" i="58"/>
  <c r="V47" i="58"/>
  <c r="F51" i="58"/>
  <c r="F52" i="58"/>
  <c r="V55" i="58"/>
  <c r="J59" i="58"/>
  <c r="J67" i="58"/>
  <c r="R31" i="59"/>
  <c r="R35" i="59"/>
  <c r="R39" i="59"/>
  <c r="X41" i="59"/>
  <c r="Z41" i="59" s="1"/>
  <c r="R47" i="59"/>
  <c r="R48" i="59"/>
  <c r="R55" i="59"/>
  <c r="X57" i="59"/>
  <c r="Z57" i="59" s="1"/>
  <c r="J29" i="60"/>
  <c r="V31" i="60"/>
  <c r="V35" i="60"/>
  <c r="V39" i="60"/>
  <c r="R52" i="60"/>
  <c r="L12" i="61"/>
  <c r="F22" i="61"/>
  <c r="Z48" i="61"/>
  <c r="R25" i="63"/>
  <c r="R43" i="63"/>
  <c r="N54" i="63"/>
  <c r="R70" i="63"/>
  <c r="Z44" i="68"/>
  <c r="V31" i="57"/>
  <c r="V35" i="57"/>
  <c r="V39" i="57"/>
  <c r="J45" i="57"/>
  <c r="J61" i="57"/>
  <c r="N12" i="58"/>
  <c r="J32" i="58"/>
  <c r="J36" i="58"/>
  <c r="J40" i="58"/>
  <c r="J52" i="58"/>
  <c r="F57" i="58"/>
  <c r="J58" i="58"/>
  <c r="F43" i="59"/>
  <c r="F44" i="59"/>
  <c r="F52" i="59"/>
  <c r="V55" i="59"/>
  <c r="F59" i="59"/>
  <c r="F60" i="59"/>
  <c r="V63" i="59"/>
  <c r="V65" i="59"/>
  <c r="F71" i="59"/>
  <c r="R21" i="60"/>
  <c r="R25" i="60"/>
  <c r="J50" i="60"/>
  <c r="R51" i="60"/>
  <c r="F18" i="61"/>
  <c r="N40" i="61"/>
  <c r="F47" i="61"/>
  <c r="R32" i="63"/>
  <c r="Z52" i="63"/>
  <c r="X62" i="63"/>
  <c r="Z62" i="63" s="1"/>
  <c r="N64" i="63"/>
  <c r="R87" i="63"/>
  <c r="J50" i="61"/>
  <c r="J62" i="61"/>
  <c r="V50" i="63"/>
  <c r="F54" i="63"/>
  <c r="F55" i="63"/>
  <c r="J56" i="63"/>
  <c r="V62" i="63"/>
  <c r="J66" i="63"/>
  <c r="F71" i="63"/>
  <c r="V74" i="63"/>
  <c r="J78" i="63"/>
  <c r="J82" i="63"/>
  <c r="V86" i="63"/>
  <c r="F92" i="63"/>
  <c r="F94" i="63"/>
  <c r="J96" i="63"/>
  <c r="V78" i="68"/>
  <c r="V62" i="68"/>
  <c r="V74" i="68"/>
  <c r="V66" i="68"/>
  <c r="V54" i="68"/>
  <c r="V50" i="68"/>
  <c r="V81" i="68"/>
  <c r="V76" i="68"/>
  <c r="V68" i="68"/>
  <c r="V56" i="68"/>
  <c r="V83" i="68"/>
  <c r="V59" i="68"/>
  <c r="V36" i="68"/>
  <c r="V40" i="68"/>
  <c r="V45" i="68"/>
  <c r="J51" i="68"/>
  <c r="J55" i="68"/>
  <c r="J61" i="68"/>
  <c r="V73" i="68"/>
  <c r="X83" i="68"/>
  <c r="Z83" i="68" s="1"/>
  <c r="L18" i="69"/>
  <c r="Z61" i="70"/>
  <c r="X78" i="70"/>
  <c r="Z78" i="70"/>
  <c r="H16" i="63"/>
  <c r="L16" i="63" s="1"/>
  <c r="F24" i="63"/>
  <c r="F28" i="63"/>
  <c r="V31" i="63"/>
  <c r="V35" i="63"/>
  <c r="V39" i="63"/>
  <c r="F43" i="63"/>
  <c r="F44" i="63"/>
  <c r="V47" i="63"/>
  <c r="J55" i="63"/>
  <c r="V59" i="63"/>
  <c r="V67" i="63"/>
  <c r="J71" i="63"/>
  <c r="V75" i="63"/>
  <c r="V79" i="63"/>
  <c r="V87" i="63"/>
  <c r="F93" i="63"/>
  <c r="J94" i="63"/>
  <c r="J29" i="68"/>
  <c r="T32" i="68"/>
  <c r="V52" i="68"/>
  <c r="V57" i="68"/>
  <c r="J60" i="68"/>
  <c r="N75" i="68"/>
  <c r="N80" i="68"/>
  <c r="F18" i="69"/>
  <c r="Z72" i="70"/>
  <c r="N87" i="70"/>
  <c r="L92" i="70"/>
  <c r="N92" i="70" s="1"/>
  <c r="L105" i="70"/>
  <c r="D102" i="70"/>
  <c r="L102" i="70" s="1"/>
  <c r="N102" i="70" s="1"/>
  <c r="N22" i="72"/>
  <c r="F50" i="72"/>
  <c r="X28" i="75"/>
  <c r="Z28" i="75" s="1"/>
  <c r="V39" i="61"/>
  <c r="J47" i="61"/>
  <c r="V51" i="61"/>
  <c r="V21" i="63"/>
  <c r="V25" i="63"/>
  <c r="J37" i="63"/>
  <c r="F42" i="63"/>
  <c r="J43" i="63"/>
  <c r="J53" i="63"/>
  <c r="V57" i="63"/>
  <c r="J65" i="63"/>
  <c r="F69" i="63"/>
  <c r="F70" i="63"/>
  <c r="V73" i="63"/>
  <c r="J77" i="63"/>
  <c r="J81" i="63"/>
  <c r="V85" i="63"/>
  <c r="F89" i="63"/>
  <c r="F90" i="63"/>
  <c r="V35" i="68"/>
  <c r="V39" i="68"/>
  <c r="V43" i="68"/>
  <c r="V48" i="68"/>
  <c r="V65" i="68"/>
  <c r="J68" i="68"/>
  <c r="J71" i="68"/>
  <c r="L75" i="68"/>
  <c r="V18" i="69"/>
  <c r="T63" i="69"/>
  <c r="Z18" i="69"/>
  <c r="N111" i="74"/>
  <c r="L111" i="74"/>
  <c r="J14" i="61"/>
  <c r="J16" i="61"/>
  <c r="J18" i="61"/>
  <c r="J20" i="61"/>
  <c r="J24" i="61"/>
  <c r="J28" i="61"/>
  <c r="V40" i="61"/>
  <c r="J46" i="61"/>
  <c r="V52" i="61"/>
  <c r="J56" i="61"/>
  <c r="V62" i="61"/>
  <c r="V64" i="61"/>
  <c r="V67" i="61"/>
  <c r="F23" i="63"/>
  <c r="F27" i="63"/>
  <c r="V30" i="63"/>
  <c r="V34" i="63"/>
  <c r="V38" i="63"/>
  <c r="J42" i="63"/>
  <c r="V46" i="63"/>
  <c r="F50" i="63"/>
  <c r="F51" i="63"/>
  <c r="J52" i="63"/>
  <c r="V58" i="63"/>
  <c r="F62" i="63"/>
  <c r="F63" i="63"/>
  <c r="J64" i="63"/>
  <c r="V66" i="63"/>
  <c r="J70" i="63"/>
  <c r="V78" i="63"/>
  <c r="V82" i="63"/>
  <c r="J90" i="63"/>
  <c r="J28" i="68"/>
  <c r="V44" i="68"/>
  <c r="J50" i="68"/>
  <c r="V51" i="68"/>
  <c r="J59" i="68"/>
  <c r="V69" i="68"/>
  <c r="V72" i="68"/>
  <c r="Z80" i="68"/>
  <c r="V82" i="68"/>
  <c r="J27" i="69"/>
  <c r="J34" i="69"/>
  <c r="F65" i="69"/>
  <c r="Z92" i="70"/>
  <c r="Z15" i="72"/>
  <c r="N32" i="72"/>
  <c r="J32" i="72"/>
  <c r="X54" i="72"/>
  <c r="Z60" i="72"/>
  <c r="J37" i="61"/>
  <c r="J45" i="61"/>
  <c r="V49" i="61"/>
  <c r="J55" i="61"/>
  <c r="F32" i="63"/>
  <c r="F36" i="63"/>
  <c r="J51" i="63"/>
  <c r="V55" i="63"/>
  <c r="J63" i="63"/>
  <c r="F68" i="63"/>
  <c r="J69" i="63"/>
  <c r="V71" i="63"/>
  <c r="F75" i="63"/>
  <c r="F76" i="63"/>
  <c r="F80" i="63"/>
  <c r="V83" i="63"/>
  <c r="F87" i="63"/>
  <c r="F88" i="63"/>
  <c r="J89" i="63"/>
  <c r="V25" i="68"/>
  <c r="V29" i="68"/>
  <c r="J37" i="68"/>
  <c r="J41" i="68"/>
  <c r="J46" i="68"/>
  <c r="J53" i="68"/>
  <c r="J58" i="68"/>
  <c r="L59" i="68"/>
  <c r="N59" i="68" s="1"/>
  <c r="V60" i="68"/>
  <c r="Z61" i="68"/>
  <c r="V64" i="68"/>
  <c r="J67" i="68"/>
  <c r="J74" i="68"/>
  <c r="V80" i="68"/>
  <c r="J84" i="68"/>
  <c r="V90" i="68"/>
  <c r="F20" i="69"/>
  <c r="F32" i="69"/>
  <c r="J38" i="69"/>
  <c r="P12" i="70"/>
  <c r="X14" i="70"/>
  <c r="Z54" i="72"/>
  <c r="Z56" i="72"/>
  <c r="D12" i="74"/>
  <c r="V30" i="61"/>
  <c r="V34" i="61"/>
  <c r="V38" i="61"/>
  <c r="J44" i="61"/>
  <c r="V50" i="61"/>
  <c r="J54" i="61"/>
  <c r="N12" i="63"/>
  <c r="V20" i="63"/>
  <c r="V24" i="63"/>
  <c r="V28" i="63"/>
  <c r="J32" i="63"/>
  <c r="J36" i="63"/>
  <c r="F40" i="63"/>
  <c r="F41" i="63"/>
  <c r="V44" i="63"/>
  <c r="F48" i="63"/>
  <c r="F49" i="63"/>
  <c r="J50" i="63"/>
  <c r="V56" i="63"/>
  <c r="F60" i="63"/>
  <c r="F61" i="63"/>
  <c r="J62" i="63"/>
  <c r="J68" i="63"/>
  <c r="J76" i="63"/>
  <c r="J80" i="63"/>
  <c r="J88" i="63"/>
  <c r="V94" i="63"/>
  <c r="V96" i="63"/>
  <c r="F100" i="63"/>
  <c r="F103" i="63"/>
  <c r="V38" i="68"/>
  <c r="V42" i="68"/>
  <c r="V47" i="68"/>
  <c r="V55" i="68"/>
  <c r="V61" i="68"/>
  <c r="L67" i="68"/>
  <c r="V71" i="68"/>
  <c r="V86" i="68"/>
  <c r="R30" i="69"/>
  <c r="R29" i="69"/>
  <c r="R25" i="69"/>
  <c r="R56" i="69"/>
  <c r="R49" i="69"/>
  <c r="R48" i="69"/>
  <c r="R21" i="69"/>
  <c r="R16" i="69"/>
  <c r="R50" i="69"/>
  <c r="R26" i="69"/>
  <c r="R22" i="69"/>
  <c r="R58" i="69"/>
  <c r="R57" i="69"/>
  <c r="R41" i="69"/>
  <c r="R40" i="69"/>
  <c r="R36" i="69"/>
  <c r="R32" i="69"/>
  <c r="R59" i="69"/>
  <c r="R52" i="69"/>
  <c r="R51" i="69"/>
  <c r="R27" i="69"/>
  <c r="R23" i="69"/>
  <c r="R63" i="69"/>
  <c r="R61" i="69"/>
  <c r="R43" i="69"/>
  <c r="R42" i="69"/>
  <c r="R53" i="69"/>
  <c r="R37" i="69"/>
  <c r="R33" i="69"/>
  <c r="R65" i="69"/>
  <c r="R70" i="69"/>
  <c r="R67" i="69"/>
  <c r="R55" i="69"/>
  <c r="R54" i="69"/>
  <c r="R47" i="69"/>
  <c r="R46" i="69"/>
  <c r="R38" i="69"/>
  <c r="R34" i="69"/>
  <c r="F36" i="69"/>
  <c r="X99" i="70"/>
  <c r="L45" i="69"/>
  <c r="N45" i="69"/>
  <c r="Z47" i="82"/>
  <c r="X47" i="82"/>
  <c r="J32" i="61"/>
  <c r="J36" i="61"/>
  <c r="J42" i="61"/>
  <c r="V48" i="61"/>
  <c r="V56" i="61"/>
  <c r="V58" i="61"/>
  <c r="V60" i="61"/>
  <c r="V14" i="63"/>
  <c r="V16" i="63"/>
  <c r="V18" i="63"/>
  <c r="F31" i="63"/>
  <c r="F35" i="63"/>
  <c r="F39" i="63"/>
  <c r="V42" i="63"/>
  <c r="F47" i="63"/>
  <c r="J48" i="63"/>
  <c r="V54" i="63"/>
  <c r="F58" i="63"/>
  <c r="F59" i="63"/>
  <c r="J60" i="63"/>
  <c r="F67" i="63"/>
  <c r="V70" i="63"/>
  <c r="J74" i="63"/>
  <c r="F79" i="63"/>
  <c r="J86" i="63"/>
  <c r="V90" i="63"/>
  <c r="V92" i="63"/>
  <c r="J100" i="63"/>
  <c r="J103" i="63"/>
  <c r="J82" i="68"/>
  <c r="J70" i="68"/>
  <c r="J83" i="68"/>
  <c r="J77" i="68"/>
  <c r="J88" i="68"/>
  <c r="J86" i="68"/>
  <c r="J78" i="68"/>
  <c r="J72" i="68"/>
  <c r="J62" i="68"/>
  <c r="J90" i="68"/>
  <c r="J64" i="68"/>
  <c r="J79" i="68"/>
  <c r="J65" i="68"/>
  <c r="V28" i="68"/>
  <c r="J32" i="68"/>
  <c r="J34" i="68"/>
  <c r="J36" i="68"/>
  <c r="J40" i="68"/>
  <c r="J45" i="68"/>
  <c r="J57" i="68"/>
  <c r="J73" i="68"/>
  <c r="V77" i="68"/>
  <c r="V79" i="68"/>
  <c r="J81" i="68"/>
  <c r="P12" i="74"/>
  <c r="X23" i="74"/>
  <c r="V71" i="75"/>
  <c r="X92" i="63"/>
  <c r="Z92" i="63" s="1"/>
  <c r="L34" i="68"/>
  <c r="N34" i="68" s="1"/>
  <c r="V37" i="68"/>
  <c r="V41" i="68"/>
  <c r="V46" i="68"/>
  <c r="J52" i="68"/>
  <c r="V53" i="68"/>
  <c r="L57" i="68"/>
  <c r="V58" i="68"/>
  <c r="V84" i="68"/>
  <c r="H92" i="68"/>
  <c r="F53" i="69"/>
  <c r="F52" i="69"/>
  <c r="F37" i="69"/>
  <c r="F33" i="69"/>
  <c r="F63" i="69"/>
  <c r="F61" i="69"/>
  <c r="F44" i="69"/>
  <c r="F43" i="69"/>
  <c r="F28" i="69"/>
  <c r="F24" i="69"/>
  <c r="F54" i="69"/>
  <c r="F46" i="69"/>
  <c r="F45" i="69"/>
  <c r="F38" i="69"/>
  <c r="F34" i="69"/>
  <c r="F29" i="69"/>
  <c r="F25" i="69"/>
  <c r="F70" i="69"/>
  <c r="F67" i="69"/>
  <c r="F56" i="69"/>
  <c r="F55" i="69"/>
  <c r="F48" i="69"/>
  <c r="F47" i="69"/>
  <c r="F16" i="69"/>
  <c r="F15" i="69"/>
  <c r="F39" i="69"/>
  <c r="F35" i="69"/>
  <c r="F31" i="69"/>
  <c r="F30" i="69"/>
  <c r="F50" i="69"/>
  <c r="F49" i="69"/>
  <c r="F26" i="69"/>
  <c r="F22" i="69"/>
  <c r="F21" i="69"/>
  <c r="L12" i="69"/>
  <c r="F57" i="69"/>
  <c r="F59" i="69"/>
  <c r="F58" i="69"/>
  <c r="F51" i="69"/>
  <c r="F27" i="69"/>
  <c r="F23" i="69"/>
  <c r="F42" i="69"/>
  <c r="F41" i="69"/>
  <c r="D12" i="70"/>
  <c r="F59" i="72"/>
  <c r="F42" i="72"/>
  <c r="F38" i="72"/>
  <c r="F34" i="72"/>
  <c r="F75" i="72"/>
  <c r="F72" i="72"/>
  <c r="F61" i="72"/>
  <c r="F60" i="72"/>
  <c r="F53" i="72"/>
  <c r="F29" i="72"/>
  <c r="F25" i="72"/>
  <c r="F44" i="72"/>
  <c r="F43" i="72"/>
  <c r="F16" i="72"/>
  <c r="F15" i="72"/>
  <c r="F55" i="72"/>
  <c r="F54" i="72"/>
  <c r="F39" i="72"/>
  <c r="F35" i="72"/>
  <c r="F62" i="72"/>
  <c r="F46" i="72"/>
  <c r="F45" i="72"/>
  <c r="F30" i="72"/>
  <c r="F26" i="72"/>
  <c r="L12" i="72"/>
  <c r="N12" i="72" s="1"/>
  <c r="F57" i="72"/>
  <c r="F56" i="72"/>
  <c r="F17" i="72"/>
  <c r="F64" i="72"/>
  <c r="F63" i="72"/>
  <c r="F48" i="72"/>
  <c r="F47" i="72"/>
  <c r="F40" i="72"/>
  <c r="F36" i="72"/>
  <c r="F31" i="72"/>
  <c r="F27" i="72"/>
  <c r="F23" i="72"/>
  <c r="F22" i="72"/>
  <c r="F68" i="72"/>
  <c r="F66" i="72"/>
  <c r="F41" i="72"/>
  <c r="F37" i="72"/>
  <c r="F33" i="72"/>
  <c r="F32" i="72"/>
  <c r="D19" i="72"/>
  <c r="F70" i="72"/>
  <c r="F52" i="72"/>
  <c r="F51" i="72"/>
  <c r="F28" i="72"/>
  <c r="F24" i="72"/>
  <c r="Z71" i="74"/>
  <c r="V14" i="61"/>
  <c r="V16" i="61"/>
  <c r="V18" i="61"/>
  <c r="J22" i="61"/>
  <c r="J26" i="61"/>
  <c r="J40" i="61"/>
  <c r="V46" i="61"/>
  <c r="J52" i="61"/>
  <c r="J64" i="61"/>
  <c r="Z12" i="63"/>
  <c r="F21" i="63"/>
  <c r="F25" i="63"/>
  <c r="V32" i="63"/>
  <c r="V36" i="63"/>
  <c r="V52" i="63"/>
  <c r="F56" i="63"/>
  <c r="F57" i="63"/>
  <c r="J58" i="63"/>
  <c r="V64" i="63"/>
  <c r="V68" i="63"/>
  <c r="J72" i="63"/>
  <c r="V76" i="63"/>
  <c r="V80" i="63"/>
  <c r="J84" i="63"/>
  <c r="J26" i="68"/>
  <c r="J30" i="68"/>
  <c r="J44" i="68"/>
  <c r="V67" i="68"/>
  <c r="J92" i="68"/>
  <c r="J44" i="69"/>
  <c r="J28" i="69"/>
  <c r="J24" i="69"/>
  <c r="J65" i="69"/>
  <c r="J45" i="69"/>
  <c r="J55" i="69"/>
  <c r="J47" i="69"/>
  <c r="J29" i="69"/>
  <c r="J25" i="69"/>
  <c r="J56" i="69"/>
  <c r="J48" i="69"/>
  <c r="J30" i="69"/>
  <c r="J16" i="69"/>
  <c r="J49" i="69"/>
  <c r="J39" i="69"/>
  <c r="J35" i="69"/>
  <c r="J31" i="69"/>
  <c r="J21" i="69"/>
  <c r="J50" i="69"/>
  <c r="J26" i="69"/>
  <c r="J22" i="69"/>
  <c r="J20" i="69"/>
  <c r="J18" i="69"/>
  <c r="N12" i="69"/>
  <c r="J57" i="69"/>
  <c r="H18" i="69"/>
  <c r="J58" i="69"/>
  <c r="J40" i="69"/>
  <c r="J36" i="69"/>
  <c r="J32" i="69"/>
  <c r="J52" i="69"/>
  <c r="J42" i="69"/>
  <c r="J61" i="69"/>
  <c r="J53" i="69"/>
  <c r="J43" i="69"/>
  <c r="J37" i="69"/>
  <c r="J33" i="69"/>
  <c r="J15" i="69"/>
  <c r="N61" i="70"/>
  <c r="L72" i="70"/>
  <c r="N72" i="70"/>
  <c r="N78" i="70"/>
  <c r="Z43" i="72"/>
  <c r="N81" i="74"/>
  <c r="N85" i="76"/>
  <c r="L85" i="76"/>
  <c r="J36" i="70"/>
  <c r="J40" i="70"/>
  <c r="J44" i="70"/>
  <c r="T47" i="70"/>
  <c r="V64" i="70"/>
  <c r="V68" i="70"/>
  <c r="V76" i="70"/>
  <c r="J82" i="70"/>
  <c r="V84" i="70"/>
  <c r="J90" i="70"/>
  <c r="V100" i="70"/>
  <c r="V102" i="70"/>
  <c r="N15" i="72"/>
  <c r="R16" i="72"/>
  <c r="Z21" i="72"/>
  <c r="V35" i="72"/>
  <c r="V39" i="72"/>
  <c r="N43" i="72"/>
  <c r="R44" i="72"/>
  <c r="R45" i="72"/>
  <c r="V47" i="72"/>
  <c r="Z49" i="72"/>
  <c r="V55" i="72"/>
  <c r="V63" i="72"/>
  <c r="V88" i="74"/>
  <c r="V114" i="74"/>
  <c r="J122" i="74"/>
  <c r="J126" i="74"/>
  <c r="R73" i="75"/>
  <c r="R72" i="75"/>
  <c r="R48" i="75"/>
  <c r="R44" i="75"/>
  <c r="R40" i="75"/>
  <c r="R67" i="75"/>
  <c r="R59" i="75"/>
  <c r="R35" i="75"/>
  <c r="R31" i="75"/>
  <c r="R74" i="75"/>
  <c r="R77" i="75"/>
  <c r="R76" i="75"/>
  <c r="R50" i="75"/>
  <c r="R49" i="75"/>
  <c r="R45" i="75"/>
  <c r="R41" i="75"/>
  <c r="R68" i="75"/>
  <c r="R61" i="75"/>
  <c r="R60" i="75"/>
  <c r="R36" i="75"/>
  <c r="R32" i="75"/>
  <c r="X12" i="75"/>
  <c r="Z12" i="75" s="1"/>
  <c r="R52" i="75"/>
  <c r="R51" i="75"/>
  <c r="R63" i="75"/>
  <c r="R62" i="75"/>
  <c r="R46" i="75"/>
  <c r="R42" i="75"/>
  <c r="R81" i="75"/>
  <c r="R69" i="75"/>
  <c r="R54" i="75"/>
  <c r="R53" i="75"/>
  <c r="R37" i="75"/>
  <c r="R33" i="75"/>
  <c r="R71" i="75"/>
  <c r="R70" i="75"/>
  <c r="R66" i="75"/>
  <c r="R39" i="75"/>
  <c r="R38" i="75"/>
  <c r="R34" i="75"/>
  <c r="R30" i="75"/>
  <c r="P26" i="75"/>
  <c r="R58" i="75"/>
  <c r="R57" i="75"/>
  <c r="L13" i="80"/>
  <c r="D12" i="80"/>
  <c r="V33" i="70"/>
  <c r="V37" i="70"/>
  <c r="V41" i="70"/>
  <c r="V45" i="70"/>
  <c r="V49" i="70"/>
  <c r="J53" i="70"/>
  <c r="J57" i="70"/>
  <c r="V73" i="70"/>
  <c r="J81" i="70"/>
  <c r="V85" i="70"/>
  <c r="J89" i="70"/>
  <c r="V93" i="70"/>
  <c r="J97" i="70"/>
  <c r="J109" i="70"/>
  <c r="V16" i="72"/>
  <c r="R25" i="72"/>
  <c r="R29" i="72"/>
  <c r="V44" i="72"/>
  <c r="R53" i="72"/>
  <c r="R54" i="72"/>
  <c r="V56" i="72"/>
  <c r="R61" i="72"/>
  <c r="J70" i="72"/>
  <c r="V78" i="74"/>
  <c r="L81" i="74"/>
  <c r="V95" i="74"/>
  <c r="J102" i="74"/>
  <c r="L117" i="74"/>
  <c r="J124" i="74"/>
  <c r="R28" i="75"/>
  <c r="R64" i="75"/>
  <c r="X71" i="75"/>
  <c r="Z71" i="75" s="1"/>
  <c r="H45" i="76"/>
  <c r="N32" i="76"/>
  <c r="R34" i="76"/>
  <c r="R38" i="76"/>
  <c r="R42" i="76"/>
  <c r="N47" i="76"/>
  <c r="V70" i="76"/>
  <c r="Z17" i="79"/>
  <c r="N21" i="80"/>
  <c r="J35" i="70"/>
  <c r="J39" i="70"/>
  <c r="J43" i="70"/>
  <c r="J61" i="70"/>
  <c r="V63" i="70"/>
  <c r="V67" i="70"/>
  <c r="V71" i="70"/>
  <c r="J79" i="70"/>
  <c r="V83" i="70"/>
  <c r="V91" i="70"/>
  <c r="J95" i="70"/>
  <c r="V99" i="70"/>
  <c r="H19" i="72"/>
  <c r="V34" i="72"/>
  <c r="V38" i="72"/>
  <c r="V42" i="72"/>
  <c r="X45" i="72"/>
  <c r="Z45" i="72" s="1"/>
  <c r="J50" i="72"/>
  <c r="L51" i="72"/>
  <c r="N51" i="72" s="1"/>
  <c r="V54" i="72"/>
  <c r="J58" i="72"/>
  <c r="R59" i="72"/>
  <c r="R60" i="72"/>
  <c r="J66" i="72"/>
  <c r="R72" i="72"/>
  <c r="R75" i="72"/>
  <c r="V55" i="74"/>
  <c r="J61" i="74"/>
  <c r="H68" i="74"/>
  <c r="V71" i="74"/>
  <c r="J91" i="74"/>
  <c r="V107" i="74"/>
  <c r="J128" i="74"/>
  <c r="J135" i="74"/>
  <c r="L137" i="74"/>
  <c r="D134" i="74"/>
  <c r="L134" i="74" s="1"/>
  <c r="N134" i="74" s="1"/>
  <c r="X56" i="75"/>
  <c r="Z56" i="75" s="1"/>
  <c r="N61" i="75"/>
  <c r="L77" i="75"/>
  <c r="N77" i="75" s="1"/>
  <c r="D76" i="75"/>
  <c r="L76" i="75" s="1"/>
  <c r="R55" i="76"/>
  <c r="V89" i="76"/>
  <c r="X14" i="79"/>
  <c r="Z14" i="79" s="1"/>
  <c r="P12" i="79"/>
  <c r="F18" i="79"/>
  <c r="Z34" i="79"/>
  <c r="F45" i="79"/>
  <c r="Z15" i="69"/>
  <c r="V33" i="69"/>
  <c r="V37" i="69"/>
  <c r="V45" i="69"/>
  <c r="V53" i="69"/>
  <c r="V36" i="70"/>
  <c r="V40" i="70"/>
  <c r="V44" i="70"/>
  <c r="J52" i="70"/>
  <c r="J56" i="70"/>
  <c r="J60" i="70"/>
  <c r="V72" i="70"/>
  <c r="J78" i="70"/>
  <c r="J88" i="70"/>
  <c r="V92" i="70"/>
  <c r="J105" i="70"/>
  <c r="V15" i="72"/>
  <c r="J21" i="72"/>
  <c r="R24" i="72"/>
  <c r="R28" i="72"/>
  <c r="V43" i="72"/>
  <c r="J49" i="72"/>
  <c r="R52" i="72"/>
  <c r="V59" i="72"/>
  <c r="R70" i="72"/>
  <c r="V51" i="74"/>
  <c r="J57" i="74"/>
  <c r="J64" i="74"/>
  <c r="J106" i="74"/>
  <c r="R24" i="75"/>
  <c r="R100" i="76"/>
  <c r="T77" i="79"/>
  <c r="L45" i="79"/>
  <c r="N45" i="79" s="1"/>
  <c r="V42" i="69"/>
  <c r="L13" i="70"/>
  <c r="N13" i="70" s="1"/>
  <c r="V53" i="70"/>
  <c r="V57" i="70"/>
  <c r="J65" i="70"/>
  <c r="J69" i="70"/>
  <c r="J77" i="70"/>
  <c r="V81" i="70"/>
  <c r="J87" i="70"/>
  <c r="V89" i="70"/>
  <c r="V97" i="70"/>
  <c r="J104" i="70"/>
  <c r="V109" i="70"/>
  <c r="J22" i="72"/>
  <c r="V24" i="72"/>
  <c r="V28" i="72"/>
  <c r="R33" i="72"/>
  <c r="J36" i="72"/>
  <c r="R37" i="72"/>
  <c r="J40" i="72"/>
  <c r="R41" i="72"/>
  <c r="J48" i="72"/>
  <c r="V52" i="72"/>
  <c r="V60" i="72"/>
  <c r="J64" i="72"/>
  <c r="V70" i="72"/>
  <c r="J132" i="74"/>
  <c r="J104" i="74"/>
  <c r="J94" i="74"/>
  <c r="J88" i="74"/>
  <c r="J84" i="74"/>
  <c r="J115" i="74"/>
  <c r="J105" i="74"/>
  <c r="J95" i="74"/>
  <c r="J79" i="74"/>
  <c r="J75" i="74"/>
  <c r="J136" i="74"/>
  <c r="J107" i="74"/>
  <c r="J97" i="74"/>
  <c r="J89" i="74"/>
  <c r="J85" i="74"/>
  <c r="J137" i="74"/>
  <c r="J116" i="74"/>
  <c r="J108" i="74"/>
  <c r="J98" i="74"/>
  <c r="J80" i="74"/>
  <c r="J76" i="74"/>
  <c r="J72" i="74"/>
  <c r="J70" i="74"/>
  <c r="J50" i="74"/>
  <c r="J127" i="74"/>
  <c r="J123" i="74"/>
  <c r="J117" i="74"/>
  <c r="J109" i="74"/>
  <c r="J99" i="74"/>
  <c r="J81" i="74"/>
  <c r="J141" i="74"/>
  <c r="J129" i="74"/>
  <c r="J111" i="74"/>
  <c r="J101" i="74"/>
  <c r="J77" i="74"/>
  <c r="J73" i="74"/>
  <c r="J120" i="74"/>
  <c r="J114" i="74"/>
  <c r="J92" i="74"/>
  <c r="J78" i="74"/>
  <c r="J74" i="74"/>
  <c r="J125" i="74"/>
  <c r="J121" i="74"/>
  <c r="J93" i="74"/>
  <c r="J53" i="74"/>
  <c r="V58" i="74"/>
  <c r="V74" i="74"/>
  <c r="V102" i="74"/>
  <c r="V104" i="74"/>
  <c r="J110" i="74"/>
  <c r="X111" i="74"/>
  <c r="Z111" i="74" s="1"/>
  <c r="V115" i="74"/>
  <c r="V132" i="74"/>
  <c r="V135" i="74"/>
  <c r="R43" i="75"/>
  <c r="R47" i="75"/>
  <c r="R51" i="76"/>
  <c r="Z59" i="76"/>
  <c r="V69" i="76"/>
  <c r="V81" i="76"/>
  <c r="N55" i="79"/>
  <c r="V51" i="69"/>
  <c r="V59" i="69"/>
  <c r="V61" i="69"/>
  <c r="V63" i="69"/>
  <c r="J34" i="70"/>
  <c r="J38" i="70"/>
  <c r="J42" i="70"/>
  <c r="H47" i="70"/>
  <c r="V62" i="70"/>
  <c r="V66" i="70"/>
  <c r="V70" i="70"/>
  <c r="J76" i="70"/>
  <c r="V82" i="70"/>
  <c r="J86" i="70"/>
  <c r="V90" i="70"/>
  <c r="J94" i="70"/>
  <c r="J102" i="70"/>
  <c r="J103" i="70"/>
  <c r="V33" i="72"/>
  <c r="V37" i="72"/>
  <c r="V41" i="72"/>
  <c r="R50" i="72"/>
  <c r="R51" i="72"/>
  <c r="J57" i="72"/>
  <c r="R58" i="72"/>
  <c r="J63" i="72"/>
  <c r="V54" i="74"/>
  <c r="V79" i="74"/>
  <c r="V130" i="74"/>
  <c r="R55" i="75"/>
  <c r="D12" i="76"/>
  <c r="F79" i="79"/>
  <c r="F61" i="79"/>
  <c r="F60" i="79"/>
  <c r="F69" i="79"/>
  <c r="F65" i="79"/>
  <c r="F56" i="79"/>
  <c r="F19" i="79"/>
  <c r="F73" i="79"/>
  <c r="F50" i="79"/>
  <c r="F49" i="79"/>
  <c r="F42" i="79"/>
  <c r="F38" i="79"/>
  <c r="L12" i="79"/>
  <c r="F33" i="79"/>
  <c r="F29" i="79"/>
  <c r="F25" i="79"/>
  <c r="F24" i="79"/>
  <c r="F66" i="79"/>
  <c r="F52" i="79"/>
  <c r="F51" i="79"/>
  <c r="F23" i="79"/>
  <c r="F62" i="79"/>
  <c r="F57" i="79"/>
  <c r="F43" i="79"/>
  <c r="F39" i="79"/>
  <c r="F35" i="79"/>
  <c r="F34" i="79"/>
  <c r="D21" i="79"/>
  <c r="F75" i="79"/>
  <c r="F70" i="79"/>
  <c r="F30" i="79"/>
  <c r="F26" i="79"/>
  <c r="F67" i="79"/>
  <c r="F58" i="79"/>
  <c r="F63" i="79"/>
  <c r="F59" i="79"/>
  <c r="F53" i="79"/>
  <c r="F44" i="79"/>
  <c r="F40" i="79"/>
  <c r="F36" i="79"/>
  <c r="F72" i="79"/>
  <c r="F41" i="79"/>
  <c r="F37" i="79"/>
  <c r="F55" i="79"/>
  <c r="F48" i="79"/>
  <c r="F47" i="79"/>
  <c r="F32" i="79"/>
  <c r="F28" i="79"/>
  <c r="F27" i="79"/>
  <c r="V32" i="69"/>
  <c r="V36" i="69"/>
  <c r="V40" i="69"/>
  <c r="V52" i="69"/>
  <c r="J33" i="70"/>
  <c r="V35" i="70"/>
  <c r="V39" i="70"/>
  <c r="V43" i="70"/>
  <c r="J47" i="70"/>
  <c r="J49" i="70"/>
  <c r="J51" i="70"/>
  <c r="J55" i="70"/>
  <c r="J59" i="70"/>
  <c r="J75" i="70"/>
  <c r="V79" i="70"/>
  <c r="J85" i="70"/>
  <c r="V95" i="70"/>
  <c r="P19" i="72"/>
  <c r="R23" i="72"/>
  <c r="J26" i="72"/>
  <c r="R27" i="72"/>
  <c r="J30" i="72"/>
  <c r="R31" i="72"/>
  <c r="R32" i="72"/>
  <c r="J46" i="72"/>
  <c r="V50" i="72"/>
  <c r="J56" i="72"/>
  <c r="V58" i="72"/>
  <c r="J62" i="72"/>
  <c r="R66" i="72"/>
  <c r="R68" i="72"/>
  <c r="V50" i="74"/>
  <c r="J60" i="74"/>
  <c r="J63" i="74"/>
  <c r="T68" i="74"/>
  <c r="J82" i="74"/>
  <c r="J86" i="74"/>
  <c r="J96" i="74"/>
  <c r="J103" i="74"/>
  <c r="J118" i="74"/>
  <c r="R26" i="75"/>
  <c r="X39" i="75"/>
  <c r="Z39" i="75" s="1"/>
  <c r="R65" i="75"/>
  <c r="L14" i="76"/>
  <c r="N63" i="79"/>
  <c r="L72" i="79"/>
  <c r="N72" i="79" s="1"/>
  <c r="J50" i="70"/>
  <c r="V52" i="70"/>
  <c r="V56" i="70"/>
  <c r="V60" i="70"/>
  <c r="J64" i="70"/>
  <c r="J68" i="70"/>
  <c r="J74" i="70"/>
  <c r="V80" i="70"/>
  <c r="J84" i="70"/>
  <c r="V88" i="70"/>
  <c r="V96" i="70"/>
  <c r="J100" i="70"/>
  <c r="R19" i="72"/>
  <c r="R21" i="72"/>
  <c r="V23" i="72"/>
  <c r="V27" i="72"/>
  <c r="V31" i="72"/>
  <c r="R36" i="72"/>
  <c r="R40" i="72"/>
  <c r="R48" i="72"/>
  <c r="R49" i="72"/>
  <c r="V51" i="72"/>
  <c r="R64" i="72"/>
  <c r="V57" i="74"/>
  <c r="V72" i="74"/>
  <c r="V94" i="74"/>
  <c r="J112" i="74"/>
  <c r="J131" i="74"/>
  <c r="T79" i="75"/>
  <c r="V79" i="75" s="1"/>
  <c r="R29" i="75"/>
  <c r="L76" i="76"/>
  <c r="F46" i="79"/>
  <c r="F68" i="79"/>
  <c r="T19" i="72"/>
  <c r="V19" i="72" s="1"/>
  <c r="V32" i="72"/>
  <c r="V36" i="72"/>
  <c r="V40" i="72"/>
  <c r="V48" i="72"/>
  <c r="V64" i="72"/>
  <c r="V66" i="72"/>
  <c r="V128" i="74"/>
  <c r="V116" i="74"/>
  <c r="V108" i="74"/>
  <c r="V100" i="74"/>
  <c r="V80" i="74"/>
  <c r="V76" i="74"/>
  <c r="V127" i="74"/>
  <c r="V123" i="74"/>
  <c r="V111" i="74"/>
  <c r="V99" i="74"/>
  <c r="V141" i="74"/>
  <c r="V129" i="74"/>
  <c r="V113" i="74"/>
  <c r="V101" i="74"/>
  <c r="V77" i="74"/>
  <c r="V73" i="74"/>
  <c r="V124" i="74"/>
  <c r="V120" i="74"/>
  <c r="V112" i="74"/>
  <c r="V92" i="74"/>
  <c r="V64" i="74"/>
  <c r="V60" i="74"/>
  <c r="V56" i="74"/>
  <c r="V52" i="74"/>
  <c r="V131" i="74"/>
  <c r="V119" i="74"/>
  <c r="V103" i="74"/>
  <c r="V91" i="74"/>
  <c r="V87" i="74"/>
  <c r="V83" i="74"/>
  <c r="V125" i="74"/>
  <c r="V121" i="74"/>
  <c r="V105" i="74"/>
  <c r="V93" i="74"/>
  <c r="V65" i="74"/>
  <c r="V61" i="74"/>
  <c r="V136" i="74"/>
  <c r="V126" i="74"/>
  <c r="V122" i="74"/>
  <c r="V106" i="74"/>
  <c r="V98" i="74"/>
  <c r="V70" i="74"/>
  <c r="V68" i="74"/>
  <c r="V66" i="74"/>
  <c r="V62" i="74"/>
  <c r="V137" i="74"/>
  <c r="V117" i="74"/>
  <c r="V109" i="74"/>
  <c r="V97" i="74"/>
  <c r="V89" i="74"/>
  <c r="V85" i="74"/>
  <c r="V81" i="74"/>
  <c r="V53" i="74"/>
  <c r="L14" i="75"/>
  <c r="D12" i="75"/>
  <c r="R72" i="76"/>
  <c r="R71" i="76"/>
  <c r="R48" i="76"/>
  <c r="R43" i="76"/>
  <c r="R39" i="76"/>
  <c r="R35" i="76"/>
  <c r="R91" i="76"/>
  <c r="R90" i="76"/>
  <c r="R83" i="76"/>
  <c r="R82" i="76"/>
  <c r="R66" i="76"/>
  <c r="R62" i="76"/>
  <c r="R47" i="76"/>
  <c r="R74" i="76"/>
  <c r="R73" i="76"/>
  <c r="R57" i="76"/>
  <c r="R53" i="76"/>
  <c r="R49" i="76"/>
  <c r="P45" i="76"/>
  <c r="R92" i="76"/>
  <c r="R85" i="76"/>
  <c r="R84" i="76"/>
  <c r="R40" i="76"/>
  <c r="R36" i="76"/>
  <c r="R95" i="76"/>
  <c r="R76" i="76"/>
  <c r="R75" i="76"/>
  <c r="R67" i="76"/>
  <c r="R63" i="76"/>
  <c r="R32" i="76"/>
  <c r="R96" i="76"/>
  <c r="R87" i="76"/>
  <c r="R86" i="76"/>
  <c r="R59" i="76"/>
  <c r="R58" i="76"/>
  <c r="R54" i="76"/>
  <c r="R50" i="76"/>
  <c r="R78" i="76"/>
  <c r="R77" i="76"/>
  <c r="R41" i="76"/>
  <c r="R37" i="76"/>
  <c r="R33" i="76"/>
  <c r="R88" i="76"/>
  <c r="R68" i="76"/>
  <c r="R64" i="76"/>
  <c r="R60" i="76"/>
  <c r="X12" i="76"/>
  <c r="R89" i="76"/>
  <c r="R70" i="76"/>
  <c r="R69" i="76"/>
  <c r="R65" i="76"/>
  <c r="R61" i="76"/>
  <c r="R81" i="76"/>
  <c r="R80" i="76"/>
  <c r="R56" i="76"/>
  <c r="R52" i="76"/>
  <c r="N76" i="76"/>
  <c r="X23" i="79"/>
  <c r="Z23" i="79" s="1"/>
  <c r="F54" i="79"/>
  <c r="V39" i="69"/>
  <c r="V34" i="70"/>
  <c r="V38" i="70"/>
  <c r="V42" i="70"/>
  <c r="J54" i="70"/>
  <c r="J58" i="70"/>
  <c r="J72" i="70"/>
  <c r="V78" i="70"/>
  <c r="V86" i="70"/>
  <c r="J92" i="70"/>
  <c r="V94" i="70"/>
  <c r="J98" i="70"/>
  <c r="V104" i="70"/>
  <c r="X12" i="72"/>
  <c r="Z12" i="72" s="1"/>
  <c r="J15" i="72"/>
  <c r="V17" i="72"/>
  <c r="V21" i="72"/>
  <c r="R26" i="72"/>
  <c r="R30" i="72"/>
  <c r="J43" i="72"/>
  <c r="R46" i="72"/>
  <c r="R47" i="72"/>
  <c r="V49" i="72"/>
  <c r="J53" i="72"/>
  <c r="V57" i="72"/>
  <c r="J61" i="72"/>
  <c r="R62" i="72"/>
  <c r="R63" i="72"/>
  <c r="J59" i="74"/>
  <c r="V75" i="74"/>
  <c r="V82" i="74"/>
  <c r="V86" i="74"/>
  <c r="L105" i="74"/>
  <c r="N105" i="74"/>
  <c r="V118" i="74"/>
  <c r="J65" i="75"/>
  <c r="J55" i="75"/>
  <c r="J47" i="75"/>
  <c r="J43" i="75"/>
  <c r="J29" i="75"/>
  <c r="J70" i="75"/>
  <c r="J66" i="75"/>
  <c r="J56" i="75"/>
  <c r="J38" i="75"/>
  <c r="J34" i="75"/>
  <c r="J30" i="75"/>
  <c r="J28" i="75"/>
  <c r="J26" i="75"/>
  <c r="J24" i="75"/>
  <c r="J71" i="75"/>
  <c r="J57" i="75"/>
  <c r="J39" i="75"/>
  <c r="H26" i="75"/>
  <c r="J72" i="75"/>
  <c r="J58" i="75"/>
  <c r="J48" i="75"/>
  <c r="J44" i="75"/>
  <c r="J40" i="75"/>
  <c r="J73" i="75"/>
  <c r="J67" i="75"/>
  <c r="J59" i="75"/>
  <c r="J35" i="75"/>
  <c r="J31" i="75"/>
  <c r="J74" i="75"/>
  <c r="J49" i="75"/>
  <c r="J45" i="75"/>
  <c r="J41" i="75"/>
  <c r="J77" i="75"/>
  <c r="J76" i="75"/>
  <c r="J68" i="75"/>
  <c r="J60" i="75"/>
  <c r="J50" i="75"/>
  <c r="J36" i="75"/>
  <c r="J32" i="75"/>
  <c r="J81" i="75"/>
  <c r="J69" i="75"/>
  <c r="J63" i="75"/>
  <c r="J53" i="75"/>
  <c r="J37" i="75"/>
  <c r="J33" i="75"/>
  <c r="J64" i="75"/>
  <c r="J54" i="75"/>
  <c r="V90" i="76"/>
  <c r="V82" i="76"/>
  <c r="V74" i="76"/>
  <c r="V66" i="76"/>
  <c r="V62" i="76"/>
  <c r="T45" i="76"/>
  <c r="V85" i="76"/>
  <c r="V73" i="76"/>
  <c r="V57" i="76"/>
  <c r="V53" i="76"/>
  <c r="V49" i="76"/>
  <c r="V94" i="76"/>
  <c r="V92" i="76"/>
  <c r="V84" i="76"/>
  <c r="V76" i="76"/>
  <c r="V40" i="76"/>
  <c r="V36" i="76"/>
  <c r="V32" i="76"/>
  <c r="V95" i="76"/>
  <c r="V87" i="76"/>
  <c r="V75" i="76"/>
  <c r="V67" i="76"/>
  <c r="V63" i="76"/>
  <c r="V59" i="76"/>
  <c r="V96" i="76"/>
  <c r="V86" i="76"/>
  <c r="V78" i="76"/>
  <c r="V58" i="76"/>
  <c r="V54" i="76"/>
  <c r="V50" i="76"/>
  <c r="V77" i="76"/>
  <c r="V41" i="76"/>
  <c r="V37" i="76"/>
  <c r="V33" i="76"/>
  <c r="V88" i="76"/>
  <c r="V68" i="76"/>
  <c r="V64" i="76"/>
  <c r="V60" i="76"/>
  <c r="Z12" i="76"/>
  <c r="V79" i="76"/>
  <c r="V55" i="76"/>
  <c r="V51" i="76"/>
  <c r="V80" i="76"/>
  <c r="V72" i="76"/>
  <c r="V56" i="76"/>
  <c r="V52" i="76"/>
  <c r="V48" i="76"/>
  <c r="V91" i="76"/>
  <c r="V83" i="76"/>
  <c r="V71" i="76"/>
  <c r="V47" i="76"/>
  <c r="V45" i="76"/>
  <c r="V43" i="76"/>
  <c r="V39" i="76"/>
  <c r="V35" i="76"/>
  <c r="J76" i="76"/>
  <c r="F17" i="79"/>
  <c r="X51" i="79"/>
  <c r="Z51" i="79" s="1"/>
  <c r="V48" i="69"/>
  <c r="V51" i="70"/>
  <c r="V55" i="70"/>
  <c r="V59" i="70"/>
  <c r="J63" i="70"/>
  <c r="J67" i="70"/>
  <c r="J71" i="70"/>
  <c r="V75" i="70"/>
  <c r="J83" i="70"/>
  <c r="V87" i="70"/>
  <c r="J91" i="70"/>
  <c r="V22" i="72"/>
  <c r="V26" i="72"/>
  <c r="V30" i="72"/>
  <c r="R35" i="72"/>
  <c r="R39" i="72"/>
  <c r="V46" i="72"/>
  <c r="R55" i="72"/>
  <c r="J60" i="72"/>
  <c r="J55" i="74"/>
  <c r="J62" i="74"/>
  <c r="V63" i="74"/>
  <c r="J71" i="74"/>
  <c r="V84" i="74"/>
  <c r="V90" i="74"/>
  <c r="V96" i="74"/>
  <c r="L102" i="74"/>
  <c r="N102" i="74" s="1"/>
  <c r="L109" i="74"/>
  <c r="V134" i="74"/>
  <c r="L50" i="75"/>
  <c r="N50" i="75" s="1"/>
  <c r="N52" i="75"/>
  <c r="N76" i="75"/>
  <c r="X70" i="76"/>
  <c r="Z70" i="76" s="1"/>
  <c r="L17" i="79"/>
  <c r="N17" i="79" s="1"/>
  <c r="N24" i="75"/>
  <c r="N28" i="75"/>
  <c r="V40" i="75"/>
  <c r="V44" i="75"/>
  <c r="V48" i="75"/>
  <c r="Z50" i="75"/>
  <c r="N56" i="75"/>
  <c r="V72" i="75"/>
  <c r="Z76" i="75"/>
  <c r="J51" i="76"/>
  <c r="J55" i="76"/>
  <c r="J79" i="76"/>
  <c r="D94" i="76"/>
  <c r="L94" i="76" s="1"/>
  <c r="N94" i="76" s="1"/>
  <c r="J19" i="79"/>
  <c r="V35" i="79"/>
  <c r="V39" i="79"/>
  <c r="V43" i="79"/>
  <c r="J49" i="79"/>
  <c r="J56" i="79"/>
  <c r="V57" i="79"/>
  <c r="Z58" i="79"/>
  <c r="J65" i="79"/>
  <c r="V67" i="79"/>
  <c r="X12" i="80"/>
  <c r="X58" i="83"/>
  <c r="Z58" i="83" s="1"/>
  <c r="V57" i="75"/>
  <c r="V73" i="75"/>
  <c r="J60" i="76"/>
  <c r="J64" i="76"/>
  <c r="J68" i="76"/>
  <c r="J78" i="76"/>
  <c r="J88" i="76"/>
  <c r="V63" i="79"/>
  <c r="V55" i="79"/>
  <c r="V72" i="79"/>
  <c r="V64" i="79"/>
  <c r="V56" i="79"/>
  <c r="V75" i="79"/>
  <c r="J28" i="79"/>
  <c r="J32" i="79"/>
  <c r="J48" i="79"/>
  <c r="V58" i="79"/>
  <c r="V66" i="79"/>
  <c r="V69" i="79"/>
  <c r="V79" i="79"/>
  <c r="R23" i="80"/>
  <c r="R37" i="80"/>
  <c r="R53" i="80"/>
  <c r="J62" i="80"/>
  <c r="J65" i="80"/>
  <c r="V51" i="82"/>
  <c r="V40" i="82"/>
  <c r="V36" i="82"/>
  <c r="T23" i="82"/>
  <c r="V31" i="82"/>
  <c r="V27" i="82"/>
  <c r="V44" i="82"/>
  <c r="V18" i="82"/>
  <c r="V37" i="82"/>
  <c r="V41" i="82"/>
  <c r="V32" i="82"/>
  <c r="V28" i="82"/>
  <c r="Z12" i="82"/>
  <c r="V19" i="82"/>
  <c r="V45" i="82"/>
  <c r="V38" i="82"/>
  <c r="V47" i="82"/>
  <c r="V33" i="82"/>
  <c r="V29" i="82"/>
  <c r="V34" i="82"/>
  <c r="V30" i="82"/>
  <c r="V26" i="82"/>
  <c r="V43" i="82"/>
  <c r="V25" i="82"/>
  <c r="V23" i="82"/>
  <c r="V21" i="82"/>
  <c r="H23" i="82"/>
  <c r="N18" i="82"/>
  <c r="V24" i="75"/>
  <c r="V26" i="75"/>
  <c r="V28" i="75"/>
  <c r="V56" i="75"/>
  <c r="V64" i="75"/>
  <c r="J63" i="76"/>
  <c r="J67" i="76"/>
  <c r="J75" i="76"/>
  <c r="J85" i="76"/>
  <c r="J17" i="79"/>
  <c r="V19" i="79"/>
  <c r="V21" i="79"/>
  <c r="V23" i="79"/>
  <c r="J27" i="79"/>
  <c r="J31" i="79"/>
  <c r="J45" i="79"/>
  <c r="V51" i="79"/>
  <c r="J64" i="79"/>
  <c r="V65" i="79"/>
  <c r="J71" i="79"/>
  <c r="J21" i="80"/>
  <c r="J28" i="80"/>
  <c r="J36" i="80"/>
  <c r="J51" i="80"/>
  <c r="J59" i="80"/>
  <c r="R42" i="82"/>
  <c r="R43" i="82"/>
  <c r="R26" i="82"/>
  <c r="R21" i="82"/>
  <c r="R40" i="82"/>
  <c r="R36" i="82"/>
  <c r="R25" i="82"/>
  <c r="R51" i="82"/>
  <c r="R31" i="82"/>
  <c r="R27" i="82"/>
  <c r="P23" i="82"/>
  <c r="R44" i="82"/>
  <c r="R37" i="82"/>
  <c r="R18" i="82"/>
  <c r="R41" i="82"/>
  <c r="R32" i="82"/>
  <c r="R28" i="82"/>
  <c r="X12" i="82"/>
  <c r="R19" i="82"/>
  <c r="R45" i="82"/>
  <c r="R38" i="82"/>
  <c r="R39" i="82"/>
  <c r="R35" i="82"/>
  <c r="R34" i="82"/>
  <c r="R30" i="82"/>
  <c r="Z16" i="83"/>
  <c r="L13" i="85"/>
  <c r="N13" i="85" s="1"/>
  <c r="D12" i="85"/>
  <c r="J74" i="76"/>
  <c r="J84" i="76"/>
  <c r="J92" i="76"/>
  <c r="J36" i="79"/>
  <c r="J40" i="79"/>
  <c r="J44" i="79"/>
  <c r="V48" i="79"/>
  <c r="R77" i="80"/>
  <c r="R74" i="80"/>
  <c r="R56" i="80"/>
  <c r="R48" i="80"/>
  <c r="R47" i="80"/>
  <c r="R39" i="80"/>
  <c r="R35" i="80"/>
  <c r="R63" i="80"/>
  <c r="R62" i="80"/>
  <c r="R58" i="80"/>
  <c r="R57" i="80"/>
  <c r="R50" i="80"/>
  <c r="R49" i="80"/>
  <c r="R22" i="80"/>
  <c r="R17" i="80"/>
  <c r="R65" i="80"/>
  <c r="R64" i="80"/>
  <c r="R40" i="80"/>
  <c r="R36" i="80"/>
  <c r="R32" i="80"/>
  <c r="R21" i="80"/>
  <c r="R19" i="80"/>
  <c r="R66" i="80"/>
  <c r="R44" i="80"/>
  <c r="R43" i="80"/>
  <c r="R72" i="80"/>
  <c r="R55" i="80"/>
  <c r="R54" i="80"/>
  <c r="R38" i="80"/>
  <c r="R34" i="80"/>
  <c r="R15" i="80"/>
  <c r="R46" i="80"/>
  <c r="R52" i="80"/>
  <c r="V42" i="75"/>
  <c r="V46" i="75"/>
  <c r="V54" i="75"/>
  <c r="V62" i="75"/>
  <c r="J45" i="76"/>
  <c r="J47" i="76"/>
  <c r="J49" i="76"/>
  <c r="J53" i="76"/>
  <c r="J57" i="76"/>
  <c r="J73" i="76"/>
  <c r="J83" i="76"/>
  <c r="J91" i="76"/>
  <c r="P94" i="76"/>
  <c r="X94" i="76" s="1"/>
  <c r="Z94" i="76" s="1"/>
  <c r="L13" i="79"/>
  <c r="V37" i="79"/>
  <c r="V41" i="79"/>
  <c r="V49" i="79"/>
  <c r="J53" i="79"/>
  <c r="J63" i="79"/>
  <c r="V68" i="79"/>
  <c r="X13" i="80"/>
  <c r="R25" i="80"/>
  <c r="L31" i="80"/>
  <c r="J40" i="80"/>
  <c r="V51" i="75"/>
  <c r="V63" i="75"/>
  <c r="J48" i="76"/>
  <c r="J62" i="76"/>
  <c r="J66" i="76"/>
  <c r="J72" i="76"/>
  <c r="J82" i="76"/>
  <c r="J90" i="76"/>
  <c r="V18" i="79"/>
  <c r="J26" i="79"/>
  <c r="J30" i="79"/>
  <c r="V46" i="79"/>
  <c r="V54" i="79"/>
  <c r="J58" i="79"/>
  <c r="V60" i="79"/>
  <c r="J67" i="79"/>
  <c r="Z72" i="79"/>
  <c r="X22" i="80"/>
  <c r="J27" i="80"/>
  <c r="R28" i="80"/>
  <c r="J30" i="80"/>
  <c r="R45" i="80"/>
  <c r="J48" i="80"/>
  <c r="R51" i="80"/>
  <c r="R59" i="80"/>
  <c r="N52" i="83"/>
  <c r="L52" i="83"/>
  <c r="V32" i="75"/>
  <c r="V36" i="75"/>
  <c r="V52" i="75"/>
  <c r="V60" i="75"/>
  <c r="V68" i="75"/>
  <c r="J35" i="76"/>
  <c r="J39" i="76"/>
  <c r="J43" i="76"/>
  <c r="J71" i="76"/>
  <c r="J81" i="76"/>
  <c r="V27" i="79"/>
  <c r="V31" i="79"/>
  <c r="J35" i="79"/>
  <c r="J39" i="79"/>
  <c r="J43" i="79"/>
  <c r="V47" i="79"/>
  <c r="J57" i="79"/>
  <c r="V59" i="79"/>
  <c r="V71" i="79"/>
  <c r="R16" i="80"/>
  <c r="R31" i="80"/>
  <c r="R70" i="80"/>
  <c r="R29" i="82"/>
  <c r="R33" i="82"/>
  <c r="X13" i="83"/>
  <c r="Z13" i="83" s="1"/>
  <c r="P12" i="83"/>
  <c r="V77" i="75"/>
  <c r="J52" i="76"/>
  <c r="J56" i="76"/>
  <c r="J70" i="76"/>
  <c r="J80" i="76"/>
  <c r="J75" i="79"/>
  <c r="J59" i="79"/>
  <c r="J68" i="79"/>
  <c r="J52" i="79"/>
  <c r="J70" i="79"/>
  <c r="H21" i="79"/>
  <c r="J21" i="79" s="1"/>
  <c r="J34" i="79"/>
  <c r="V36" i="79"/>
  <c r="V40" i="79"/>
  <c r="V44" i="79"/>
  <c r="J66" i="79"/>
  <c r="J70" i="80"/>
  <c r="J68" i="80"/>
  <c r="J43" i="80"/>
  <c r="J72" i="80"/>
  <c r="J54" i="80"/>
  <c r="J44" i="80"/>
  <c r="J38" i="80"/>
  <c r="J34" i="80"/>
  <c r="J61" i="80"/>
  <c r="J55" i="80"/>
  <c r="J45" i="80"/>
  <c r="J77" i="80"/>
  <c r="J74" i="80"/>
  <c r="J56" i="80"/>
  <c r="J46" i="80"/>
  <c r="J16" i="80"/>
  <c r="J47" i="80"/>
  <c r="J39" i="80"/>
  <c r="J35" i="80"/>
  <c r="J63" i="80"/>
  <c r="J57" i="80"/>
  <c r="J49" i="80"/>
  <c r="J31" i="80"/>
  <c r="J17" i="80"/>
  <c r="J66" i="80"/>
  <c r="J52" i="80"/>
  <c r="H19" i="80"/>
  <c r="J53" i="80"/>
  <c r="J41" i="80"/>
  <c r="J37" i="80"/>
  <c r="J33" i="80"/>
  <c r="J42" i="80"/>
  <c r="J50" i="80"/>
  <c r="J58" i="80"/>
  <c r="R61" i="80"/>
  <c r="V39" i="82"/>
  <c r="V50" i="75"/>
  <c r="V74" i="75"/>
  <c r="V76" i="75"/>
  <c r="J61" i="76"/>
  <c r="J65" i="76"/>
  <c r="J69" i="76"/>
  <c r="L70" i="76"/>
  <c r="N70" i="76" s="1"/>
  <c r="X76" i="76"/>
  <c r="Z76" i="76" s="1"/>
  <c r="J89" i="76"/>
  <c r="V17" i="79"/>
  <c r="J23" i="79"/>
  <c r="J25" i="79"/>
  <c r="J29" i="79"/>
  <c r="J33" i="79"/>
  <c r="V45" i="79"/>
  <c r="J51" i="79"/>
  <c r="V53" i="79"/>
  <c r="J69" i="79"/>
  <c r="J79" i="79"/>
  <c r="P19" i="80"/>
  <c r="R24" i="80"/>
  <c r="R27" i="80"/>
  <c r="R30" i="80"/>
  <c r="T83" i="83"/>
  <c r="L49" i="83"/>
  <c r="N49" i="83" s="1"/>
  <c r="V31" i="75"/>
  <c r="V35" i="75"/>
  <c r="V59" i="75"/>
  <c r="J34" i="76"/>
  <c r="J38" i="76"/>
  <c r="J42" i="76"/>
  <c r="N12" i="79"/>
  <c r="J24" i="79"/>
  <c r="V26" i="79"/>
  <c r="V30" i="79"/>
  <c r="J38" i="79"/>
  <c r="J42" i="79"/>
  <c r="J50" i="79"/>
  <c r="V52" i="79"/>
  <c r="J61" i="79"/>
  <c r="V62" i="79"/>
  <c r="J73" i="79"/>
  <c r="J26" i="80"/>
  <c r="X31" i="80"/>
  <c r="R33" i="80"/>
  <c r="R42" i="80"/>
  <c r="J60" i="80"/>
  <c r="V35" i="82"/>
  <c r="J49" i="83"/>
  <c r="V29" i="80"/>
  <c r="V45" i="80"/>
  <c r="V61" i="80"/>
  <c r="D12" i="82"/>
  <c r="J29" i="82"/>
  <c r="J33" i="82"/>
  <c r="N16" i="83"/>
  <c r="Z43" i="83"/>
  <c r="Z56" i="83"/>
  <c r="J58" i="83"/>
  <c r="X78" i="83"/>
  <c r="Z78" i="83" s="1"/>
  <c r="V105" i="84"/>
  <c r="V107" i="84"/>
  <c r="V108" i="84"/>
  <c r="V100" i="84"/>
  <c r="V98" i="84"/>
  <c r="V88" i="84"/>
  <c r="V80" i="84"/>
  <c r="V68" i="84"/>
  <c r="V95" i="84"/>
  <c r="V79" i="84"/>
  <c r="V71" i="84"/>
  <c r="V59" i="84"/>
  <c r="V55" i="84"/>
  <c r="V51" i="84"/>
  <c r="V110" i="84"/>
  <c r="V82" i="84"/>
  <c r="V70" i="84"/>
  <c r="V46" i="84"/>
  <c r="V42" i="84"/>
  <c r="V102" i="84"/>
  <c r="V99" i="84"/>
  <c r="V89" i="84"/>
  <c r="V81" i="84"/>
  <c r="V73" i="84"/>
  <c r="V61" i="84"/>
  <c r="V33" i="84"/>
  <c r="V96" i="84"/>
  <c r="V84" i="84"/>
  <c r="V72" i="84"/>
  <c r="V60" i="84"/>
  <c r="V56" i="84"/>
  <c r="V91" i="84"/>
  <c r="V83" i="84"/>
  <c r="V63" i="84"/>
  <c r="V47" i="84"/>
  <c r="V43" i="84"/>
  <c r="V112" i="84"/>
  <c r="V90" i="84"/>
  <c r="V74" i="84"/>
  <c r="V62" i="84"/>
  <c r="V34" i="84"/>
  <c r="V109" i="84"/>
  <c r="V85" i="84"/>
  <c r="V65" i="84"/>
  <c r="V57" i="84"/>
  <c r="V53" i="84"/>
  <c r="V94" i="84"/>
  <c r="V86" i="84"/>
  <c r="V78" i="84"/>
  <c r="V66" i="84"/>
  <c r="V58" i="84"/>
  <c r="V54" i="84"/>
  <c r="V50" i="84"/>
  <c r="T37" i="84"/>
  <c r="V104" i="84"/>
  <c r="V93" i="84"/>
  <c r="V77" i="84"/>
  <c r="V69" i="84"/>
  <c r="V49" i="84"/>
  <c r="V45" i="84"/>
  <c r="V41" i="84"/>
  <c r="V48" i="84"/>
  <c r="V52" i="84"/>
  <c r="J83" i="84"/>
  <c r="Z87" i="84"/>
  <c r="J96" i="84"/>
  <c r="V106" i="84"/>
  <c r="V34" i="80"/>
  <c r="V38" i="80"/>
  <c r="V46" i="80"/>
  <c r="V54" i="80"/>
  <c r="V72" i="80"/>
  <c r="V74" i="80"/>
  <c r="V77" i="80"/>
  <c r="J45" i="82"/>
  <c r="J41" i="82"/>
  <c r="X13" i="82"/>
  <c r="Z13" i="82" s="1"/>
  <c r="J38" i="82"/>
  <c r="N47" i="83"/>
  <c r="Z39" i="84"/>
  <c r="N67" i="84"/>
  <c r="N71" i="84"/>
  <c r="J73" i="84"/>
  <c r="V75" i="84"/>
  <c r="V87" i="84"/>
  <c r="J105" i="84"/>
  <c r="L16" i="85"/>
  <c r="N16" i="85" s="1"/>
  <c r="V33" i="80"/>
  <c r="V37" i="80"/>
  <c r="V41" i="80"/>
  <c r="V53" i="80"/>
  <c r="J37" i="82"/>
  <c r="N75" i="83"/>
  <c r="J33" i="84"/>
  <c r="V35" i="84"/>
  <c r="V44" i="84"/>
  <c r="V67" i="84"/>
  <c r="D77" i="93"/>
  <c r="L19" i="93"/>
  <c r="P12" i="84"/>
  <c r="J47" i="84"/>
  <c r="Z65" i="84"/>
  <c r="L82" i="84"/>
  <c r="N82" i="84" s="1"/>
  <c r="V101" i="84"/>
  <c r="V51" i="80"/>
  <c r="V59" i="80"/>
  <c r="J25" i="82"/>
  <c r="J31" i="82"/>
  <c r="D12" i="83"/>
  <c r="L22" i="83"/>
  <c r="N22" i="83" s="1"/>
  <c r="N54" i="83"/>
  <c r="L63" i="83"/>
  <c r="X13" i="84"/>
  <c r="Z13" i="84" s="1"/>
  <c r="J72" i="84"/>
  <c r="V116" i="84"/>
  <c r="T28" i="85"/>
  <c r="T16" i="90"/>
  <c r="Z14" i="90"/>
  <c r="X14" i="90"/>
  <c r="T19" i="80"/>
  <c r="V32" i="80"/>
  <c r="V36" i="80"/>
  <c r="V40" i="80"/>
  <c r="V52" i="80"/>
  <c r="V64" i="80"/>
  <c r="J26" i="82"/>
  <c r="J36" i="82"/>
  <c r="J40" i="82"/>
  <c r="J51" i="82"/>
  <c r="Z52" i="83"/>
  <c r="X33" i="84"/>
  <c r="Z33" i="84" s="1"/>
  <c r="H37" i="84"/>
  <c r="N40" i="84"/>
  <c r="J60" i="84"/>
  <c r="J82" i="84"/>
  <c r="N63" i="83"/>
  <c r="X40" i="84"/>
  <c r="V97" i="84"/>
  <c r="F24" i="89"/>
  <c r="D16" i="89"/>
  <c r="F22" i="89"/>
  <c r="F14" i="89"/>
  <c r="F16" i="89"/>
  <c r="F26" i="89"/>
  <c r="F18" i="89"/>
  <c r="L12" i="89"/>
  <c r="F20" i="89"/>
  <c r="F29" i="89"/>
  <c r="J34" i="82"/>
  <c r="Z32" i="83"/>
  <c r="Z40" i="84"/>
  <c r="J43" i="84"/>
  <c r="J56" i="84"/>
  <c r="Z76" i="84"/>
  <c r="J108" i="84"/>
  <c r="H83" i="83"/>
  <c r="Z22" i="83"/>
  <c r="N56" i="83"/>
  <c r="L78" i="83"/>
  <c r="D12" i="84"/>
  <c r="V40" i="84"/>
  <c r="J50" i="84"/>
  <c r="V64" i="84"/>
  <c r="V76" i="84"/>
  <c r="N58" i="83"/>
  <c r="N78" i="83"/>
  <c r="J97" i="84"/>
  <c r="J112" i="84"/>
  <c r="J103" i="84"/>
  <c r="J116" i="84"/>
  <c r="J104" i="84"/>
  <c r="J106" i="84"/>
  <c r="J109" i="84"/>
  <c r="J92" i="84"/>
  <c r="J64" i="84"/>
  <c r="J48" i="84"/>
  <c r="J44" i="84"/>
  <c r="J75" i="84"/>
  <c r="J65" i="84"/>
  <c r="J35" i="84"/>
  <c r="J101" i="84"/>
  <c r="J86" i="84"/>
  <c r="J76" i="84"/>
  <c r="J66" i="84"/>
  <c r="J58" i="84"/>
  <c r="J54" i="84"/>
  <c r="J40" i="84"/>
  <c r="J107" i="84"/>
  <c r="J98" i="84"/>
  <c r="J93" i="84"/>
  <c r="J87" i="84"/>
  <c r="J77" i="84"/>
  <c r="J67" i="84"/>
  <c r="J49" i="84"/>
  <c r="J45" i="84"/>
  <c r="J41" i="84"/>
  <c r="J39" i="84"/>
  <c r="J37" i="84"/>
  <c r="J94" i="84"/>
  <c r="J88" i="84"/>
  <c r="J78" i="84"/>
  <c r="J68" i="84"/>
  <c r="J110" i="84"/>
  <c r="J95" i="84"/>
  <c r="J79" i="84"/>
  <c r="J69" i="84"/>
  <c r="J59" i="84"/>
  <c r="J55" i="84"/>
  <c r="J51" i="84"/>
  <c r="J102" i="84"/>
  <c r="J80" i="84"/>
  <c r="J70" i="84"/>
  <c r="J46" i="84"/>
  <c r="J42" i="84"/>
  <c r="J99" i="84"/>
  <c r="J89" i="84"/>
  <c r="J81" i="84"/>
  <c r="J71" i="84"/>
  <c r="J90" i="84"/>
  <c r="J84" i="84"/>
  <c r="J74" i="84"/>
  <c r="J62" i="84"/>
  <c r="J34" i="84"/>
  <c r="J100" i="84"/>
  <c r="J91" i="84"/>
  <c r="J85" i="84"/>
  <c r="J63" i="84"/>
  <c r="J57" i="84"/>
  <c r="J53" i="84"/>
  <c r="L39" i="84"/>
  <c r="N39" i="84" s="1"/>
  <c r="V66" i="83"/>
  <c r="Z22" i="85"/>
  <c r="T22" i="89"/>
  <c r="Z16" i="89"/>
  <c r="J71" i="83"/>
  <c r="V79" i="83"/>
  <c r="V81" i="83"/>
  <c r="X22" i="85"/>
  <c r="R63" i="87"/>
  <c r="R47" i="87"/>
  <c r="R39" i="87"/>
  <c r="R35" i="87"/>
  <c r="R16" i="87"/>
  <c r="R82" i="87"/>
  <c r="R74" i="87"/>
  <c r="R70" i="87"/>
  <c r="R31" i="87"/>
  <c r="R30" i="87"/>
  <c r="R26" i="87"/>
  <c r="R86" i="87"/>
  <c r="R84" i="87"/>
  <c r="R58" i="87"/>
  <c r="R57" i="87"/>
  <c r="R22" i="87"/>
  <c r="R17" i="87"/>
  <c r="R65" i="87"/>
  <c r="R64" i="87"/>
  <c r="R49" i="87"/>
  <c r="R48" i="87"/>
  <c r="R40" i="87"/>
  <c r="R36" i="87"/>
  <c r="R32" i="87"/>
  <c r="R75" i="87"/>
  <c r="R71" i="87"/>
  <c r="R60" i="87"/>
  <c r="R59" i="87"/>
  <c r="R88" i="87"/>
  <c r="R67" i="87"/>
  <c r="R66" i="87"/>
  <c r="R51" i="87"/>
  <c r="R50" i="87"/>
  <c r="R93" i="87"/>
  <c r="R90" i="87"/>
  <c r="R61" i="87"/>
  <c r="R42" i="87"/>
  <c r="R41" i="87"/>
  <c r="R37" i="87"/>
  <c r="R33" i="87"/>
  <c r="R77" i="87"/>
  <c r="R76" i="87"/>
  <c r="R72" i="87"/>
  <c r="R68" i="87"/>
  <c r="R53" i="87"/>
  <c r="R52" i="87"/>
  <c r="R28" i="87"/>
  <c r="R24" i="87"/>
  <c r="R44" i="87"/>
  <c r="R43" i="87"/>
  <c r="R79" i="87"/>
  <c r="R78" i="87"/>
  <c r="R62" i="87"/>
  <c r="R55" i="87"/>
  <c r="R54" i="87"/>
  <c r="R38" i="87"/>
  <c r="R34" i="87"/>
  <c r="R73" i="87"/>
  <c r="R69" i="87"/>
  <c r="R46" i="87"/>
  <c r="R45" i="87"/>
  <c r="R29" i="87"/>
  <c r="R25" i="87"/>
  <c r="P19" i="87"/>
  <c r="R56" i="87"/>
  <c r="F39" i="88"/>
  <c r="F36" i="88"/>
  <c r="F26" i="88"/>
  <c r="F25" i="88"/>
  <c r="F28" i="88"/>
  <c r="F20" i="88"/>
  <c r="F19" i="88"/>
  <c r="F34" i="88"/>
  <c r="F27" i="88"/>
  <c r="F18" i="88"/>
  <c r="F16" i="88"/>
  <c r="F14" i="88"/>
  <c r="F22" i="88"/>
  <c r="F21" i="88"/>
  <c r="D16" i="88"/>
  <c r="F23" i="88"/>
  <c r="F24" i="88"/>
  <c r="F30" i="88"/>
  <c r="L12" i="88"/>
  <c r="F32" i="88"/>
  <c r="J16" i="83"/>
  <c r="V18" i="83"/>
  <c r="V20" i="83"/>
  <c r="V22" i="83"/>
  <c r="J26" i="83"/>
  <c r="J30" i="83"/>
  <c r="J46" i="83"/>
  <c r="V50" i="83"/>
  <c r="J56" i="83"/>
  <c r="J62" i="83"/>
  <c r="J70" i="83"/>
  <c r="J74" i="83"/>
  <c r="V78" i="83"/>
  <c r="P12" i="85"/>
  <c r="X13" i="85"/>
  <c r="Z13" i="85" s="1"/>
  <c r="V23" i="83"/>
  <c r="V27" i="83"/>
  <c r="V31" i="83"/>
  <c r="J35" i="83"/>
  <c r="J39" i="83"/>
  <c r="J45" i="83"/>
  <c r="J55" i="83"/>
  <c r="V59" i="83"/>
  <c r="J69" i="83"/>
  <c r="V71" i="83"/>
  <c r="J85" i="83"/>
  <c r="J23" i="85"/>
  <c r="V32" i="83"/>
  <c r="V36" i="83"/>
  <c r="V40" i="83"/>
  <c r="J44" i="83"/>
  <c r="V48" i="83"/>
  <c r="J54" i="83"/>
  <c r="V64" i="83"/>
  <c r="J68" i="83"/>
  <c r="V76" i="83"/>
  <c r="L23" i="85"/>
  <c r="N23" i="85" s="1"/>
  <c r="J78" i="87"/>
  <c r="J62" i="87"/>
  <c r="J54" i="87"/>
  <c r="J44" i="87"/>
  <c r="J38" i="87"/>
  <c r="J34" i="87"/>
  <c r="J79" i="87"/>
  <c r="J73" i="87"/>
  <c r="J69" i="87"/>
  <c r="J55" i="87"/>
  <c r="J45" i="87"/>
  <c r="J29" i="87"/>
  <c r="J25" i="87"/>
  <c r="J80" i="87"/>
  <c r="J56" i="87"/>
  <c r="J46" i="87"/>
  <c r="N12" i="87"/>
  <c r="J81" i="87"/>
  <c r="J63" i="87"/>
  <c r="J47" i="87"/>
  <c r="J39" i="87"/>
  <c r="J35" i="87"/>
  <c r="J82" i="87"/>
  <c r="J74" i="87"/>
  <c r="J70" i="87"/>
  <c r="J57" i="87"/>
  <c r="J31" i="87"/>
  <c r="J17" i="87"/>
  <c r="J86" i="87"/>
  <c r="J84" i="87"/>
  <c r="J64" i="87"/>
  <c r="J58" i="87"/>
  <c r="J48" i="87"/>
  <c r="J40" i="87"/>
  <c r="J36" i="87"/>
  <c r="J32" i="87"/>
  <c r="J22" i="87"/>
  <c r="J75" i="87"/>
  <c r="J71" i="87"/>
  <c r="J65" i="87"/>
  <c r="J59" i="87"/>
  <c r="J49" i="87"/>
  <c r="J27" i="87"/>
  <c r="J23" i="87"/>
  <c r="J21" i="87"/>
  <c r="J19" i="87"/>
  <c r="J88" i="87"/>
  <c r="J66" i="87"/>
  <c r="J60" i="87"/>
  <c r="J50" i="87"/>
  <c r="H19" i="87"/>
  <c r="J67" i="87"/>
  <c r="J61" i="87"/>
  <c r="J51" i="87"/>
  <c r="J41" i="87"/>
  <c r="J37" i="87"/>
  <c r="J33" i="87"/>
  <c r="J93" i="87"/>
  <c r="J90" i="87"/>
  <c r="J76" i="87"/>
  <c r="J72" i="87"/>
  <c r="J68" i="87"/>
  <c r="J52" i="87"/>
  <c r="J42" i="87"/>
  <c r="J28" i="87"/>
  <c r="J24" i="87"/>
  <c r="X16" i="87"/>
  <c r="N21" i="87"/>
  <c r="R80" i="87"/>
  <c r="H32" i="88"/>
  <c r="N16" i="88"/>
  <c r="L44" i="91"/>
  <c r="N44" i="91" s="1"/>
  <c r="V26" i="83"/>
  <c r="V30" i="83"/>
  <c r="J34" i="83"/>
  <c r="J38" i="83"/>
  <c r="J42" i="83"/>
  <c r="V46" i="83"/>
  <c r="J52" i="83"/>
  <c r="V58" i="83"/>
  <c r="V62" i="83"/>
  <c r="J66" i="83"/>
  <c r="V70" i="83"/>
  <c r="V74" i="83"/>
  <c r="N101" i="84"/>
  <c r="V86" i="87"/>
  <c r="V84" i="87"/>
  <c r="V82" i="87"/>
  <c r="V74" i="87"/>
  <c r="V70" i="87"/>
  <c r="V58" i="87"/>
  <c r="V30" i="87"/>
  <c r="V26" i="87"/>
  <c r="V22" i="87"/>
  <c r="V65" i="87"/>
  <c r="V57" i="87"/>
  <c r="V49" i="87"/>
  <c r="V21" i="87"/>
  <c r="V19" i="87"/>
  <c r="V17" i="87"/>
  <c r="V64" i="87"/>
  <c r="V60" i="87"/>
  <c r="V48" i="87"/>
  <c r="V40" i="87"/>
  <c r="V36" i="87"/>
  <c r="V32" i="87"/>
  <c r="T19" i="87"/>
  <c r="V75" i="87"/>
  <c r="V71" i="87"/>
  <c r="V67" i="87"/>
  <c r="V59" i="87"/>
  <c r="V51" i="87"/>
  <c r="V27" i="87"/>
  <c r="V23" i="87"/>
  <c r="V93" i="87"/>
  <c r="V90" i="87"/>
  <c r="V88" i="87"/>
  <c r="V66" i="87"/>
  <c r="V77" i="87"/>
  <c r="V61" i="87"/>
  <c r="V53" i="87"/>
  <c r="V41" i="87"/>
  <c r="V37" i="87"/>
  <c r="V33" i="87"/>
  <c r="V76" i="87"/>
  <c r="V72" i="87"/>
  <c r="V68" i="87"/>
  <c r="V52" i="87"/>
  <c r="V44" i="87"/>
  <c r="V28" i="87"/>
  <c r="V24" i="87"/>
  <c r="V79" i="87"/>
  <c r="V55" i="87"/>
  <c r="V43" i="87"/>
  <c r="V78" i="87"/>
  <c r="V62" i="87"/>
  <c r="V54" i="87"/>
  <c r="V46" i="87"/>
  <c r="V38" i="87"/>
  <c r="V34" i="87"/>
  <c r="V81" i="87"/>
  <c r="V73" i="87"/>
  <c r="V69" i="87"/>
  <c r="V45" i="87"/>
  <c r="V29" i="87"/>
  <c r="V25" i="87"/>
  <c r="V80" i="87"/>
  <c r="V56" i="87"/>
  <c r="V16" i="87"/>
  <c r="Z12" i="87"/>
  <c r="R21" i="87"/>
  <c r="R27" i="87"/>
  <c r="V35" i="87"/>
  <c r="X51" i="87"/>
  <c r="D22" i="90"/>
  <c r="X61" i="84"/>
  <c r="Z61" i="84" s="1"/>
  <c r="L67" i="84"/>
  <c r="X73" i="84"/>
  <c r="Z73" i="84" s="1"/>
  <c r="L87" i="84"/>
  <c r="N87" i="84" s="1"/>
  <c r="H20" i="85"/>
  <c r="Z23" i="85"/>
  <c r="X12" i="87"/>
  <c r="R23" i="87"/>
  <c r="N42" i="87"/>
  <c r="L42" i="87"/>
  <c r="V16" i="83"/>
  <c r="J20" i="83"/>
  <c r="J22" i="83"/>
  <c r="J24" i="83"/>
  <c r="J28" i="83"/>
  <c r="V44" i="83"/>
  <c r="V56" i="83"/>
  <c r="J60" i="83"/>
  <c r="V68" i="83"/>
  <c r="J72" i="83"/>
  <c r="J78" i="83"/>
  <c r="N109" i="84"/>
  <c r="J77" i="87"/>
  <c r="J33" i="83"/>
  <c r="J37" i="83"/>
  <c r="J41" i="83"/>
  <c r="V45" i="83"/>
  <c r="V53" i="83"/>
  <c r="V61" i="83"/>
  <c r="J65" i="83"/>
  <c r="V69" i="83"/>
  <c r="N106" i="84"/>
  <c r="F93" i="87"/>
  <c r="F90" i="87"/>
  <c r="F43" i="87"/>
  <c r="F42" i="87"/>
  <c r="F78" i="87"/>
  <c r="F77" i="87"/>
  <c r="F62" i="87"/>
  <c r="F54" i="87"/>
  <c r="F53" i="87"/>
  <c r="F38" i="87"/>
  <c r="F34" i="87"/>
  <c r="F73" i="87"/>
  <c r="F69" i="87"/>
  <c r="F45" i="87"/>
  <c r="F44" i="87"/>
  <c r="F29" i="87"/>
  <c r="F25" i="87"/>
  <c r="F80" i="87"/>
  <c r="F79" i="87"/>
  <c r="F56" i="87"/>
  <c r="F55" i="87"/>
  <c r="F63" i="87"/>
  <c r="F82" i="87"/>
  <c r="F81" i="87"/>
  <c r="F74" i="87"/>
  <c r="F70" i="87"/>
  <c r="F30" i="87"/>
  <c r="F26" i="87"/>
  <c r="F57" i="87"/>
  <c r="F17" i="87"/>
  <c r="F16" i="87"/>
  <c r="F64" i="87"/>
  <c r="F48" i="87"/>
  <c r="F40" i="87"/>
  <c r="F36" i="87"/>
  <c r="F32" i="87"/>
  <c r="F31" i="87"/>
  <c r="F86" i="87"/>
  <c r="F84" i="87"/>
  <c r="F75" i="87"/>
  <c r="F71" i="87"/>
  <c r="F59" i="87"/>
  <c r="F58" i="87"/>
  <c r="F27" i="87"/>
  <c r="F23" i="87"/>
  <c r="F22" i="87"/>
  <c r="F88" i="87"/>
  <c r="F66" i="87"/>
  <c r="F65" i="87"/>
  <c r="F50" i="87"/>
  <c r="F49" i="87"/>
  <c r="F61" i="87"/>
  <c r="F60" i="87"/>
  <c r="F41" i="87"/>
  <c r="F37" i="87"/>
  <c r="F33" i="87"/>
  <c r="D19" i="87"/>
  <c r="J30" i="87"/>
  <c r="V31" i="87"/>
  <c r="F46" i="87"/>
  <c r="F52" i="87"/>
  <c r="X14" i="89"/>
  <c r="P16" i="89"/>
  <c r="J16" i="85"/>
  <c r="V18" i="85"/>
  <c r="V20" i="85"/>
  <c r="V22" i="85"/>
  <c r="J24" i="88"/>
  <c r="J27" i="88"/>
  <c r="N14" i="88"/>
  <c r="V22" i="88"/>
  <c r="L25" i="88"/>
  <c r="V34" i="88"/>
  <c r="J22" i="89"/>
  <c r="J20" i="89"/>
  <c r="J18" i="89"/>
  <c r="J16" i="89"/>
  <c r="J14" i="89"/>
  <c r="R14" i="89"/>
  <c r="J29" i="89"/>
  <c r="P16" i="90"/>
  <c r="R24" i="90"/>
  <c r="R29" i="90"/>
  <c r="R26" i="90"/>
  <c r="F18" i="91"/>
  <c r="F23" i="91"/>
  <c r="R28" i="91"/>
  <c r="J30" i="91"/>
  <c r="R33" i="91"/>
  <c r="J44" i="91"/>
  <c r="D76" i="91"/>
  <c r="L76" i="91" s="1"/>
  <c r="D78" i="92"/>
  <c r="Z59" i="92"/>
  <c r="X59" i="92"/>
  <c r="P16" i="88"/>
  <c r="R38" i="91"/>
  <c r="J30" i="85"/>
  <c r="N12" i="88"/>
  <c r="R14" i="88"/>
  <c r="R16" i="88"/>
  <c r="R18" i="88"/>
  <c r="V20" i="88"/>
  <c r="J25" i="88"/>
  <c r="R26" i="88"/>
  <c r="J32" i="88"/>
  <c r="J39" i="88"/>
  <c r="V14" i="89"/>
  <c r="L20" i="89"/>
  <c r="J24" i="90"/>
  <c r="F80" i="91"/>
  <c r="F65" i="91"/>
  <c r="F45" i="91"/>
  <c r="F44" i="91"/>
  <c r="F37" i="91"/>
  <c r="F33" i="91"/>
  <c r="F72" i="91"/>
  <c r="F71" i="91"/>
  <c r="F60" i="91"/>
  <c r="F28" i="91"/>
  <c r="F24" i="91"/>
  <c r="F20" i="91"/>
  <c r="F19" i="91"/>
  <c r="F84" i="91"/>
  <c r="F87" i="91"/>
  <c r="F74" i="91"/>
  <c r="F73" i="91"/>
  <c r="F66" i="91"/>
  <c r="F62" i="91"/>
  <c r="F61" i="91"/>
  <c r="F46" i="91"/>
  <c r="F38" i="91"/>
  <c r="F34" i="91"/>
  <c r="F30" i="91"/>
  <c r="F29" i="91"/>
  <c r="D16" i="91"/>
  <c r="F57" i="91"/>
  <c r="F56" i="91"/>
  <c r="F25" i="91"/>
  <c r="F21" i="91"/>
  <c r="F77" i="91"/>
  <c r="F48" i="91"/>
  <c r="F47" i="91"/>
  <c r="F78" i="91"/>
  <c r="F76" i="91"/>
  <c r="F67" i="91"/>
  <c r="F63" i="91"/>
  <c r="F39" i="91"/>
  <c r="F35" i="91"/>
  <c r="F31" i="91"/>
  <c r="F68" i="91"/>
  <c r="F64" i="91"/>
  <c r="F52" i="91"/>
  <c r="F51" i="91"/>
  <c r="X14" i="91"/>
  <c r="R19" i="91"/>
  <c r="F32" i="91"/>
  <c r="R47" i="91"/>
  <c r="F49" i="91"/>
  <c r="F46" i="92"/>
  <c r="F73" i="93"/>
  <c r="L13" i="87"/>
  <c r="T16" i="88"/>
  <c r="R19" i="88"/>
  <c r="V21" i="88"/>
  <c r="V26" i="88"/>
  <c r="R29" i="89"/>
  <c r="R26" i="89"/>
  <c r="X12" i="89"/>
  <c r="Z14" i="89"/>
  <c r="J26" i="89"/>
  <c r="J82" i="91"/>
  <c r="J84" i="91"/>
  <c r="J72" i="91"/>
  <c r="J60" i="91"/>
  <c r="J28" i="91"/>
  <c r="J24" i="91"/>
  <c r="J20" i="91"/>
  <c r="J18" i="91"/>
  <c r="J16" i="91"/>
  <c r="J14" i="91"/>
  <c r="J87" i="91"/>
  <c r="J73" i="91"/>
  <c r="J61" i="91"/>
  <c r="J55" i="91"/>
  <c r="J29" i="91"/>
  <c r="H16" i="91"/>
  <c r="J74" i="91"/>
  <c r="J66" i="91"/>
  <c r="J62" i="91"/>
  <c r="J57" i="91"/>
  <c r="J47" i="91"/>
  <c r="J25" i="91"/>
  <c r="J21" i="91"/>
  <c r="J77" i="91"/>
  <c r="J76" i="91"/>
  <c r="J48" i="91"/>
  <c r="J78" i="91"/>
  <c r="J67" i="91"/>
  <c r="J63" i="91"/>
  <c r="J49" i="91"/>
  <c r="J39" i="91"/>
  <c r="J35" i="91"/>
  <c r="J31" i="91"/>
  <c r="J58" i="91"/>
  <c r="J50" i="91"/>
  <c r="J40" i="91"/>
  <c r="J26" i="91"/>
  <c r="J22" i="91"/>
  <c r="J68" i="91"/>
  <c r="J64" i="91"/>
  <c r="J52" i="91"/>
  <c r="J69" i="91"/>
  <c r="J59" i="91"/>
  <c r="J53" i="91"/>
  <c r="R14" i="91"/>
  <c r="Z19" i="91"/>
  <c r="F27" i="91"/>
  <c r="R30" i="91"/>
  <c r="J32" i="91"/>
  <c r="R35" i="91"/>
  <c r="F43" i="91"/>
  <c r="J46" i="91"/>
  <c r="F58" i="91"/>
  <c r="X76" i="91"/>
  <c r="F68" i="92"/>
  <c r="F56" i="92"/>
  <c r="F16" i="92"/>
  <c r="F15" i="92"/>
  <c r="F78" i="92"/>
  <c r="F76" i="92"/>
  <c r="F63" i="92"/>
  <c r="F47" i="92"/>
  <c r="F39" i="92"/>
  <c r="F35" i="92"/>
  <c r="F31" i="92"/>
  <c r="F30" i="92"/>
  <c r="F80" i="92"/>
  <c r="F58" i="92"/>
  <c r="F57" i="92"/>
  <c r="F26" i="92"/>
  <c r="F22" i="92"/>
  <c r="F21" i="92"/>
  <c r="F60" i="92"/>
  <c r="F59" i="92"/>
  <c r="F40" i="92"/>
  <c r="F36" i="92"/>
  <c r="F32" i="92"/>
  <c r="F85" i="92"/>
  <c r="F72" i="92"/>
  <c r="F44" i="92"/>
  <c r="F43" i="92"/>
  <c r="F28" i="92"/>
  <c r="F24" i="92"/>
  <c r="F67" i="92"/>
  <c r="F64" i="92"/>
  <c r="F61" i="92"/>
  <c r="F53" i="92"/>
  <c r="F50" i="92"/>
  <c r="F41" i="92"/>
  <c r="F33" i="92"/>
  <c r="L12" i="92"/>
  <c r="F65" i="92"/>
  <c r="F70" i="92"/>
  <c r="F25" i="92"/>
  <c r="F82" i="92"/>
  <c r="F62" i="92"/>
  <c r="F54" i="92"/>
  <c r="F73" i="92"/>
  <c r="F51" i="92"/>
  <c r="F42" i="92"/>
  <c r="F34" i="92"/>
  <c r="F55" i="92"/>
  <c r="F45" i="92"/>
  <c r="F23" i="92"/>
  <c r="F18" i="92"/>
  <c r="F71" i="92"/>
  <c r="F66" i="92"/>
  <c r="F48" i="92"/>
  <c r="F37" i="92"/>
  <c r="F49" i="92"/>
  <c r="F20" i="92"/>
  <c r="F27" i="92"/>
  <c r="F29" i="92"/>
  <c r="N22" i="93"/>
  <c r="J26" i="85"/>
  <c r="V32" i="88"/>
  <c r="V30" i="88"/>
  <c r="V28" i="88"/>
  <c r="V14" i="88"/>
  <c r="V16" i="88"/>
  <c r="V18" i="88"/>
  <c r="X20" i="89"/>
  <c r="V22" i="89"/>
  <c r="V29" i="89"/>
  <c r="L14" i="90"/>
  <c r="H16" i="90"/>
  <c r="L16" i="90" s="1"/>
  <c r="X18" i="91"/>
  <c r="Z18" i="91" s="1"/>
  <c r="R40" i="91"/>
  <c r="J43" i="91"/>
  <c r="R54" i="91"/>
  <c r="F70" i="91"/>
  <c r="X12" i="88"/>
  <c r="V19" i="88"/>
  <c r="R25" i="88"/>
  <c r="J36" i="88"/>
  <c r="Z12" i="89"/>
  <c r="H16" i="89"/>
  <c r="R20" i="89"/>
  <c r="F16" i="91"/>
  <c r="R18" i="91"/>
  <c r="J34" i="91"/>
  <c r="R37" i="91"/>
  <c r="F42" i="91"/>
  <c r="R46" i="91"/>
  <c r="F53" i="91"/>
  <c r="J56" i="91"/>
  <c r="R62" i="91"/>
  <c r="R66" i="91"/>
  <c r="J70" i="91"/>
  <c r="Z73" i="91"/>
  <c r="R77" i="91"/>
  <c r="R76" i="91"/>
  <c r="R57" i="91"/>
  <c r="R25" i="91"/>
  <c r="R21" i="91"/>
  <c r="R78" i="91"/>
  <c r="R49" i="91"/>
  <c r="R48" i="91"/>
  <c r="R67" i="91"/>
  <c r="R63" i="91"/>
  <c r="R80" i="91"/>
  <c r="R58" i="91"/>
  <c r="R51" i="91"/>
  <c r="R50" i="91"/>
  <c r="R26" i="91"/>
  <c r="R22" i="91"/>
  <c r="R42" i="91"/>
  <c r="R41" i="91"/>
  <c r="R69" i="91"/>
  <c r="R68" i="91"/>
  <c r="R64" i="91"/>
  <c r="R53" i="91"/>
  <c r="R52" i="91"/>
  <c r="R36" i="91"/>
  <c r="R32" i="91"/>
  <c r="X12" i="91"/>
  <c r="R59" i="91"/>
  <c r="R44" i="91"/>
  <c r="R43" i="91"/>
  <c r="R27" i="91"/>
  <c r="R23" i="91"/>
  <c r="R65" i="91"/>
  <c r="R84" i="91"/>
  <c r="R73" i="91"/>
  <c r="R72" i="91"/>
  <c r="R61" i="91"/>
  <c r="R60" i="91"/>
  <c r="R87" i="91"/>
  <c r="F84" i="93"/>
  <c r="F81" i="93"/>
  <c r="F70" i="93"/>
  <c r="F69" i="93"/>
  <c r="F68" i="93"/>
  <c r="F64" i="93"/>
  <c r="F52" i="93"/>
  <c r="F51" i="93"/>
  <c r="F28" i="93"/>
  <c r="F24" i="93"/>
  <c r="F75" i="93"/>
  <c r="F59" i="93"/>
  <c r="F77" i="93"/>
  <c r="F54" i="93"/>
  <c r="F53" i="93"/>
  <c r="F42" i="93"/>
  <c r="F38" i="93"/>
  <c r="F34" i="93"/>
  <c r="F65" i="93"/>
  <c r="F61" i="93"/>
  <c r="F60" i="93"/>
  <c r="F29" i="93"/>
  <c r="F25" i="93"/>
  <c r="F79" i="93"/>
  <c r="F44" i="93"/>
  <c r="F43" i="93"/>
  <c r="L12" i="93"/>
  <c r="F66" i="93"/>
  <c r="F62" i="93"/>
  <c r="F46" i="93"/>
  <c r="F45" i="93"/>
  <c r="F30" i="93"/>
  <c r="F26" i="93"/>
  <c r="F71" i="93"/>
  <c r="F17" i="93"/>
  <c r="F16" i="93"/>
  <c r="F58" i="93"/>
  <c r="F57" i="93"/>
  <c r="F50" i="93"/>
  <c r="F49" i="93"/>
  <c r="F21" i="93"/>
  <c r="F19" i="93"/>
  <c r="F48" i="93"/>
  <c r="F39" i="93"/>
  <c r="F37" i="93"/>
  <c r="F27" i="93"/>
  <c r="F22" i="93"/>
  <c r="F35" i="93"/>
  <c r="F33" i="93"/>
  <c r="F55" i="93"/>
  <c r="F23" i="93"/>
  <c r="F40" i="93"/>
  <c r="F72" i="93"/>
  <c r="F67" i="93"/>
  <c r="F36" i="93"/>
  <c r="F47" i="93"/>
  <c r="F31" i="93"/>
  <c r="F63" i="93"/>
  <c r="F56" i="93"/>
  <c r="H77" i="93"/>
  <c r="N19" i="93"/>
  <c r="F41" i="93"/>
  <c r="R20" i="91"/>
  <c r="R56" i="91"/>
  <c r="R70" i="91"/>
  <c r="J22" i="88"/>
  <c r="V24" i="88"/>
  <c r="L20" i="90"/>
  <c r="P16" i="91"/>
  <c r="F26" i="91"/>
  <c r="R29" i="91"/>
  <c r="R34" i="91"/>
  <c r="R39" i="91"/>
  <c r="X51" i="91"/>
  <c r="Z51" i="91" s="1"/>
  <c r="F55" i="91"/>
  <c r="Z56" i="91"/>
  <c r="J65" i="91"/>
  <c r="F82" i="91"/>
  <c r="F52" i="92"/>
  <c r="F69" i="92"/>
  <c r="L46" i="87"/>
  <c r="N46" i="87" s="1"/>
  <c r="J21" i="88"/>
  <c r="J34" i="88"/>
  <c r="R36" i="88"/>
  <c r="R16" i="89"/>
  <c r="R24" i="89"/>
  <c r="R22" i="90"/>
  <c r="R16" i="91"/>
  <c r="R24" i="91"/>
  <c r="J33" i="91"/>
  <c r="F41" i="91"/>
  <c r="F69" i="91"/>
  <c r="R74" i="91"/>
  <c r="J22" i="90"/>
  <c r="J20" i="90"/>
  <c r="J18" i="90"/>
  <c r="J26" i="90"/>
  <c r="T80" i="91"/>
  <c r="Z16" i="91"/>
  <c r="R31" i="91"/>
  <c r="R45" i="91"/>
  <c r="V55" i="91"/>
  <c r="J29" i="92"/>
  <c r="J74" i="92"/>
  <c r="L22" i="94"/>
  <c r="N22" i="94" s="1"/>
  <c r="X62" i="95"/>
  <c r="Z62" i="95" s="1"/>
  <c r="V62" i="95"/>
  <c r="V56" i="91"/>
  <c r="V60" i="91"/>
  <c r="V72" i="91"/>
  <c r="V87" i="91"/>
  <c r="J32" i="92"/>
  <c r="J40" i="92"/>
  <c r="J43" i="92"/>
  <c r="J52" i="92"/>
  <c r="R79" i="93"/>
  <c r="R70" i="93"/>
  <c r="R45" i="93"/>
  <c r="R44" i="93"/>
  <c r="R55" i="93"/>
  <c r="R39" i="93"/>
  <c r="R35" i="93"/>
  <c r="R16" i="93"/>
  <c r="R81" i="93"/>
  <c r="R66" i="93"/>
  <c r="R62" i="93"/>
  <c r="R47" i="93"/>
  <c r="R46" i="93"/>
  <c r="R30" i="93"/>
  <c r="R26" i="93"/>
  <c r="R84" i="93"/>
  <c r="R72" i="93"/>
  <c r="R71" i="93"/>
  <c r="R22" i="93"/>
  <c r="R17" i="93"/>
  <c r="R57" i="93"/>
  <c r="R56" i="93"/>
  <c r="R49" i="93"/>
  <c r="R48" i="93"/>
  <c r="R40" i="93"/>
  <c r="R36" i="93"/>
  <c r="R21" i="93"/>
  <c r="R19" i="93"/>
  <c r="R58" i="93"/>
  <c r="R51" i="93"/>
  <c r="R50" i="93"/>
  <c r="R75" i="93"/>
  <c r="R41" i="93"/>
  <c r="R37" i="93"/>
  <c r="R33" i="93"/>
  <c r="R54" i="93"/>
  <c r="R43" i="93"/>
  <c r="R42" i="93"/>
  <c r="R38" i="93"/>
  <c r="R34" i="93"/>
  <c r="X16" i="93"/>
  <c r="P19" i="93"/>
  <c r="R27" i="93"/>
  <c r="Z69" i="93"/>
  <c r="L63" i="94"/>
  <c r="N63" i="94"/>
  <c r="Z31" i="97"/>
  <c r="X31" i="97"/>
  <c r="R61" i="93"/>
  <c r="R68" i="93"/>
  <c r="Z48" i="94"/>
  <c r="Z60" i="95"/>
  <c r="V14" i="91"/>
  <c r="V16" i="91"/>
  <c r="V18" i="91"/>
  <c r="V54" i="91"/>
  <c r="V70" i="91"/>
  <c r="V82" i="91"/>
  <c r="J37" i="92"/>
  <c r="J60" i="92"/>
  <c r="J66" i="92"/>
  <c r="Z76" i="92"/>
  <c r="N21" i="93"/>
  <c r="J26" i="93"/>
  <c r="R29" i="93"/>
  <c r="X45" i="93"/>
  <c r="R73" i="93"/>
  <c r="R77" i="93"/>
  <c r="P12" i="94"/>
  <c r="X13" i="94"/>
  <c r="L13" i="95"/>
  <c r="N13" i="95" s="1"/>
  <c r="D12" i="95"/>
  <c r="D19" i="97"/>
  <c r="L16" i="97"/>
  <c r="V19" i="91"/>
  <c r="V23" i="91"/>
  <c r="V27" i="91"/>
  <c r="V43" i="91"/>
  <c r="V59" i="91"/>
  <c r="V71" i="91"/>
  <c r="R85" i="92"/>
  <c r="R82" i="92"/>
  <c r="R70" i="92"/>
  <c r="R69" i="92"/>
  <c r="R65" i="92"/>
  <c r="R50" i="92"/>
  <c r="R49" i="92"/>
  <c r="R60" i="92"/>
  <c r="R41" i="92"/>
  <c r="R40" i="92"/>
  <c r="R36" i="92"/>
  <c r="R32" i="92"/>
  <c r="R71" i="92"/>
  <c r="R52" i="92"/>
  <c r="R51" i="92"/>
  <c r="R27" i="92"/>
  <c r="R23" i="92"/>
  <c r="R66" i="92"/>
  <c r="R43" i="92"/>
  <c r="R42" i="92"/>
  <c r="R73" i="92"/>
  <c r="R72" i="92"/>
  <c r="R45" i="92"/>
  <c r="R44" i="92"/>
  <c r="R28" i="92"/>
  <c r="R68" i="92"/>
  <c r="R57" i="92"/>
  <c r="R56" i="92"/>
  <c r="R21" i="92"/>
  <c r="H18" i="92"/>
  <c r="L18" i="92" s="1"/>
  <c r="R20" i="92"/>
  <c r="J23" i="92"/>
  <c r="J28" i="92"/>
  <c r="R63" i="92"/>
  <c r="V74" i="92"/>
  <c r="J21" i="93"/>
  <c r="R24" i="93"/>
  <c r="R32" i="93"/>
  <c r="N49" i="93"/>
  <c r="R63" i="93"/>
  <c r="Z52" i="94"/>
  <c r="X52" i="94"/>
  <c r="P12" i="95"/>
  <c r="X13" i="95"/>
  <c r="Z13" i="95" s="1"/>
  <c r="V32" i="91"/>
  <c r="V36" i="91"/>
  <c r="V44" i="91"/>
  <c r="V52" i="91"/>
  <c r="V64" i="91"/>
  <c r="V68" i="91"/>
  <c r="Z30" i="92"/>
  <c r="J34" i="92"/>
  <c r="J42" i="92"/>
  <c r="J77" i="93"/>
  <c r="J59" i="93"/>
  <c r="J53" i="93"/>
  <c r="J69" i="93"/>
  <c r="J60" i="93"/>
  <c r="J54" i="93"/>
  <c r="J42" i="93"/>
  <c r="J38" i="93"/>
  <c r="J34" i="93"/>
  <c r="J65" i="93"/>
  <c r="J61" i="93"/>
  <c r="J43" i="93"/>
  <c r="J29" i="93"/>
  <c r="J25" i="93"/>
  <c r="J79" i="93"/>
  <c r="J70" i="93"/>
  <c r="J44" i="93"/>
  <c r="N12" i="93"/>
  <c r="J55" i="93"/>
  <c r="J45" i="93"/>
  <c r="J39" i="93"/>
  <c r="J35" i="93"/>
  <c r="J81" i="93"/>
  <c r="J71" i="93"/>
  <c r="J47" i="93"/>
  <c r="J17" i="93"/>
  <c r="J84" i="93"/>
  <c r="J72" i="93"/>
  <c r="J56" i="93"/>
  <c r="J48" i="93"/>
  <c r="J40" i="93"/>
  <c r="J36" i="93"/>
  <c r="J22" i="93"/>
  <c r="J51" i="93"/>
  <c r="J41" i="93"/>
  <c r="J37" i="93"/>
  <c r="J33" i="93"/>
  <c r="J28" i="93"/>
  <c r="R31" i="93"/>
  <c r="J49" i="93"/>
  <c r="R65" i="93"/>
  <c r="Z58" i="95"/>
  <c r="L12" i="90"/>
  <c r="V41" i="91"/>
  <c r="V53" i="91"/>
  <c r="V69" i="91"/>
  <c r="P18" i="92"/>
  <c r="V20" i="92"/>
  <c r="V26" i="92"/>
  <c r="R37" i="92"/>
  <c r="R48" i="92"/>
  <c r="R55" i="92"/>
  <c r="J62" i="92"/>
  <c r="V68" i="92"/>
  <c r="R78" i="92"/>
  <c r="J23" i="93"/>
  <c r="J46" i="93"/>
  <c r="X51" i="93"/>
  <c r="L57" i="93"/>
  <c r="J62" i="93"/>
  <c r="N23" i="94"/>
  <c r="L23" i="94"/>
  <c r="L71" i="94"/>
  <c r="N71" i="94"/>
  <c r="X26" i="95"/>
  <c r="Z26" i="95" s="1"/>
  <c r="V26" i="95"/>
  <c r="J78" i="92"/>
  <c r="J76" i="92"/>
  <c r="J68" i="92"/>
  <c r="J56" i="92"/>
  <c r="J63" i="92"/>
  <c r="J57" i="92"/>
  <c r="J47" i="92"/>
  <c r="J39" i="92"/>
  <c r="J35" i="92"/>
  <c r="J31" i="92"/>
  <c r="J21" i="92"/>
  <c r="J80" i="92"/>
  <c r="J64" i="92"/>
  <c r="J58" i="92"/>
  <c r="J48" i="92"/>
  <c r="J26" i="92"/>
  <c r="J22" i="92"/>
  <c r="J20" i="92"/>
  <c r="J18" i="92"/>
  <c r="N12" i="92"/>
  <c r="J69" i="92"/>
  <c r="J65" i="92"/>
  <c r="J59" i="92"/>
  <c r="J49" i="92"/>
  <c r="J71" i="92"/>
  <c r="J51" i="92"/>
  <c r="J41" i="92"/>
  <c r="J27" i="92"/>
  <c r="J73" i="92"/>
  <c r="J67" i="92"/>
  <c r="J55" i="92"/>
  <c r="J45" i="92"/>
  <c r="J16" i="92"/>
  <c r="J25" i="92"/>
  <c r="J36" i="92"/>
  <c r="J44" i="92"/>
  <c r="J54" i="92"/>
  <c r="X12" i="93"/>
  <c r="J30" i="93"/>
  <c r="R67" i="93"/>
  <c r="D12" i="94"/>
  <c r="X71" i="94"/>
  <c r="V31" i="91"/>
  <c r="V35" i="91"/>
  <c r="V39" i="91"/>
  <c r="V51" i="91"/>
  <c r="V63" i="91"/>
  <c r="V67" i="91"/>
  <c r="V80" i="91"/>
  <c r="R34" i="92"/>
  <c r="Z45" i="92"/>
  <c r="J70" i="92"/>
  <c r="J72" i="92"/>
  <c r="V78" i="92"/>
  <c r="R28" i="93"/>
  <c r="R53" i="93"/>
  <c r="J57" i="93"/>
  <c r="R60" i="93"/>
  <c r="J64" i="93"/>
  <c r="J75" i="93"/>
  <c r="V14" i="90"/>
  <c r="V16" i="90"/>
  <c r="V18" i="90"/>
  <c r="V20" i="90"/>
  <c r="F26" i="90"/>
  <c r="V40" i="91"/>
  <c r="V48" i="91"/>
  <c r="V60" i="92"/>
  <c r="V52" i="92"/>
  <c r="V40" i="92"/>
  <c r="V71" i="92"/>
  <c r="V51" i="92"/>
  <c r="V43" i="92"/>
  <c r="V27" i="92"/>
  <c r="V23" i="92"/>
  <c r="V66" i="92"/>
  <c r="V54" i="92"/>
  <c r="V42" i="92"/>
  <c r="V73" i="92"/>
  <c r="V61" i="92"/>
  <c r="V53" i="92"/>
  <c r="V45" i="92"/>
  <c r="V37" i="92"/>
  <c r="V33" i="92"/>
  <c r="V67" i="92"/>
  <c r="V55" i="92"/>
  <c r="V63" i="92"/>
  <c r="V59" i="92"/>
  <c r="V47" i="92"/>
  <c r="V39" i="92"/>
  <c r="V35" i="92"/>
  <c r="V31" i="92"/>
  <c r="T18" i="92"/>
  <c r="J15" i="92"/>
  <c r="R31" i="92"/>
  <c r="J33" i="92"/>
  <c r="V34" i="92"/>
  <c r="R39" i="92"/>
  <c r="R47" i="92"/>
  <c r="J53" i="92"/>
  <c r="V57" i="92"/>
  <c r="R62" i="92"/>
  <c r="X70" i="92"/>
  <c r="R23" i="93"/>
  <c r="J50" i="93"/>
  <c r="J52" i="93"/>
  <c r="J66" i="93"/>
  <c r="N25" i="95"/>
  <c r="V25" i="93"/>
  <c r="V29" i="93"/>
  <c r="V45" i="93"/>
  <c r="V61" i="93"/>
  <c r="V65" i="93"/>
  <c r="V33" i="94"/>
  <c r="X44" i="94"/>
  <c r="J60" i="94"/>
  <c r="J18" i="95"/>
  <c r="Z75" i="95"/>
  <c r="X75" i="95"/>
  <c r="V52" i="93"/>
  <c r="V60" i="93"/>
  <c r="V64" i="93"/>
  <c r="V68" i="93"/>
  <c r="V69" i="93"/>
  <c r="J70" i="94"/>
  <c r="J62" i="94"/>
  <c r="J52" i="94"/>
  <c r="J42" i="94"/>
  <c r="J38" i="94"/>
  <c r="J34" i="94"/>
  <c r="J71" i="94"/>
  <c r="J63" i="94"/>
  <c r="J53" i="94"/>
  <c r="J73" i="94"/>
  <c r="J65" i="94"/>
  <c r="J55" i="94"/>
  <c r="J43" i="94"/>
  <c r="J74" i="94"/>
  <c r="J66" i="94"/>
  <c r="J56" i="94"/>
  <c r="J44" i="94"/>
  <c r="J30" i="94"/>
  <c r="J26" i="94"/>
  <c r="J57" i="94"/>
  <c r="J78" i="94"/>
  <c r="J76" i="94"/>
  <c r="J59" i="94"/>
  <c r="J49" i="94"/>
  <c r="J41" i="94"/>
  <c r="H20" i="94"/>
  <c r="J50" i="94"/>
  <c r="J85" i="94"/>
  <c r="J47" i="95"/>
  <c r="N53" i="95"/>
  <c r="J67" i="95"/>
  <c r="L21" i="97"/>
  <c r="T37" i="100"/>
  <c r="V33" i="93"/>
  <c r="V37" i="93"/>
  <c r="V41" i="93"/>
  <c r="V53" i="93"/>
  <c r="J20" i="94"/>
  <c r="J37" i="94"/>
  <c r="J40" i="94"/>
  <c r="J46" i="94"/>
  <c r="J80" i="94"/>
  <c r="X49" i="95"/>
  <c r="Z49" i="95" s="1"/>
  <c r="J83" i="95"/>
  <c r="N21" i="97"/>
  <c r="N76" i="94"/>
  <c r="L76" i="94"/>
  <c r="V23" i="93"/>
  <c r="V27" i="93"/>
  <c r="V31" i="93"/>
  <c r="V51" i="93"/>
  <c r="V63" i="93"/>
  <c r="V67" i="93"/>
  <c r="J33" i="94"/>
  <c r="J45" i="94"/>
  <c r="Z47" i="95"/>
  <c r="Z67" i="95"/>
  <c r="T19" i="93"/>
  <c r="V32" i="93"/>
  <c r="V36" i="93"/>
  <c r="V40" i="93"/>
  <c r="V48" i="93"/>
  <c r="V56" i="93"/>
  <c r="V78" i="94"/>
  <c r="V76" i="94"/>
  <c r="V74" i="94"/>
  <c r="V66" i="94"/>
  <c r="V46" i="94"/>
  <c r="V30" i="94"/>
  <c r="V26" i="94"/>
  <c r="V57" i="94"/>
  <c r="V45" i="94"/>
  <c r="V67" i="94"/>
  <c r="V59" i="94"/>
  <c r="V47" i="94"/>
  <c r="V85" i="94"/>
  <c r="V82" i="94"/>
  <c r="V80" i="94"/>
  <c r="V58" i="94"/>
  <c r="V50" i="94"/>
  <c r="V22" i="94"/>
  <c r="V20" i="94"/>
  <c r="V18" i="94"/>
  <c r="V69" i="94"/>
  <c r="V61" i="94"/>
  <c r="V68" i="94"/>
  <c r="V60" i="94"/>
  <c r="V73" i="94"/>
  <c r="V65" i="94"/>
  <c r="V53" i="94"/>
  <c r="J29" i="94"/>
  <c r="J32" i="94"/>
  <c r="V34" i="94"/>
  <c r="J36" i="94"/>
  <c r="X56" i="94"/>
  <c r="J58" i="94"/>
  <c r="J32" i="95"/>
  <c r="J46" i="95"/>
  <c r="X51" i="95"/>
  <c r="Z51" i="95" s="1"/>
  <c r="Z83" i="95"/>
  <c r="N39" i="99"/>
  <c r="L39" i="99"/>
  <c r="V17" i="93"/>
  <c r="V19" i="93"/>
  <c r="V21" i="93"/>
  <c r="V49" i="93"/>
  <c r="V57" i="93"/>
  <c r="J18" i="94"/>
  <c r="J39" i="94"/>
  <c r="L44" i="94"/>
  <c r="J28" i="95"/>
  <c r="J42" i="95"/>
  <c r="N64" i="95"/>
  <c r="X86" i="95"/>
  <c r="V77" i="93"/>
  <c r="V75" i="93"/>
  <c r="V73" i="93"/>
  <c r="V22" i="93"/>
  <c r="V26" i="93"/>
  <c r="V30" i="93"/>
  <c r="V46" i="93"/>
  <c r="V62" i="93"/>
  <c r="V66" i="93"/>
  <c r="V72" i="93"/>
  <c r="V84" i="93"/>
  <c r="T20" i="94"/>
  <c r="X33" i="94"/>
  <c r="J61" i="94"/>
  <c r="J69" i="94"/>
  <c r="J84" i="95"/>
  <c r="J72" i="95"/>
  <c r="J68" i="95"/>
  <c r="J58" i="95"/>
  <c r="J48" i="95"/>
  <c r="J20" i="95"/>
  <c r="J79" i="95"/>
  <c r="J73" i="95"/>
  <c r="J59" i="95"/>
  <c r="J49" i="95"/>
  <c r="J43" i="95"/>
  <c r="J39" i="95"/>
  <c r="J74" i="95"/>
  <c r="J60" i="95"/>
  <c r="J50" i="95"/>
  <c r="J34" i="95"/>
  <c r="J30" i="95"/>
  <c r="J85" i="95"/>
  <c r="J75" i="95"/>
  <c r="J69" i="95"/>
  <c r="J61" i="95"/>
  <c r="J51" i="95"/>
  <c r="J21" i="95"/>
  <c r="J86" i="95"/>
  <c r="J80" i="95"/>
  <c r="J76" i="95"/>
  <c r="J62" i="95"/>
  <c r="J52" i="95"/>
  <c r="J44" i="95"/>
  <c r="J40" i="95"/>
  <c r="J26" i="95"/>
  <c r="J87" i="95"/>
  <c r="J63" i="95"/>
  <c r="J53" i="95"/>
  <c r="J35" i="95"/>
  <c r="J31" i="95"/>
  <c r="J27" i="95"/>
  <c r="J25" i="95"/>
  <c r="J70" i="95"/>
  <c r="J64" i="95"/>
  <c r="J54" i="95"/>
  <c r="J36" i="95"/>
  <c r="H23" i="95"/>
  <c r="J89" i="95"/>
  <c r="J81" i="95"/>
  <c r="J77" i="95"/>
  <c r="J65" i="95"/>
  <c r="J45" i="95"/>
  <c r="J41" i="95"/>
  <c r="J37" i="95"/>
  <c r="J93" i="95"/>
  <c r="J71" i="95"/>
  <c r="J55" i="95"/>
  <c r="J19" i="95"/>
  <c r="J56" i="95"/>
  <c r="J82" i="95"/>
  <c r="Z86" i="95"/>
  <c r="V55" i="93"/>
  <c r="V81" i="93"/>
  <c r="J28" i="94"/>
  <c r="J48" i="94"/>
  <c r="J51" i="94"/>
  <c r="J82" i="94"/>
  <c r="J38" i="95"/>
  <c r="N60" i="95"/>
  <c r="V86" i="95"/>
  <c r="V39" i="95"/>
  <c r="V43" i="95"/>
  <c r="V51" i="95"/>
  <c r="V59" i="95"/>
  <c r="V75" i="95"/>
  <c r="V79" i="95"/>
  <c r="J16" i="97"/>
  <c r="J21" i="97"/>
  <c r="R25" i="97"/>
  <c r="R28" i="97"/>
  <c r="N42" i="97"/>
  <c r="L42" i="97"/>
  <c r="Z51" i="99"/>
  <c r="V84" i="95"/>
  <c r="X28" i="99"/>
  <c r="Z28" i="99" s="1"/>
  <c r="V51" i="99"/>
  <c r="V49" i="95"/>
  <c r="V57" i="95"/>
  <c r="V73" i="95"/>
  <c r="J77" i="97"/>
  <c r="J61" i="97"/>
  <c r="J55" i="97"/>
  <c r="J45" i="97"/>
  <c r="J29" i="97"/>
  <c r="J25" i="97"/>
  <c r="J78" i="97"/>
  <c r="J72" i="97"/>
  <c r="J68" i="97"/>
  <c r="J62" i="97"/>
  <c r="J56" i="97"/>
  <c r="J46" i="97"/>
  <c r="J79" i="97"/>
  <c r="J63" i="97"/>
  <c r="J47" i="97"/>
  <c r="J82" i="97"/>
  <c r="J81" i="97"/>
  <c r="J73" i="97"/>
  <c r="J69" i="97"/>
  <c r="J65" i="97"/>
  <c r="J57" i="97"/>
  <c r="J31" i="97"/>
  <c r="J17" i="97"/>
  <c r="J84" i="97"/>
  <c r="J48" i="97"/>
  <c r="J40" i="97"/>
  <c r="J36" i="97"/>
  <c r="J32" i="97"/>
  <c r="J22" i="97"/>
  <c r="J86" i="97"/>
  <c r="J74" i="97"/>
  <c r="J70" i="97"/>
  <c r="J66" i="97"/>
  <c r="J58" i="97"/>
  <c r="J50" i="97"/>
  <c r="J75" i="97"/>
  <c r="J59" i="97"/>
  <c r="J51" i="97"/>
  <c r="J41" i="97"/>
  <c r="J37" i="97"/>
  <c r="J33" i="97"/>
  <c r="J91" i="97"/>
  <c r="J88" i="97"/>
  <c r="J76" i="97"/>
  <c r="J60" i="97"/>
  <c r="J52" i="97"/>
  <c r="J42" i="97"/>
  <c r="R21" i="97"/>
  <c r="R35" i="97"/>
  <c r="J39" i="97"/>
  <c r="R52" i="97"/>
  <c r="R64" i="97"/>
  <c r="R68" i="97"/>
  <c r="X19" i="99"/>
  <c r="Z19" i="99" s="1"/>
  <c r="D16" i="100"/>
  <c r="L14" i="100"/>
  <c r="V38" i="95"/>
  <c r="V42" i="95"/>
  <c r="V46" i="95"/>
  <c r="V58" i="95"/>
  <c r="V66" i="95"/>
  <c r="V78" i="95"/>
  <c r="V82" i="95"/>
  <c r="L12" i="97"/>
  <c r="H19" i="97"/>
  <c r="J24" i="97"/>
  <c r="R27" i="97"/>
  <c r="R47" i="97"/>
  <c r="J54" i="97"/>
  <c r="Z64" i="97"/>
  <c r="X64" i="97"/>
  <c r="R72" i="97"/>
  <c r="Z16" i="98"/>
  <c r="T22" i="98"/>
  <c r="V19" i="99"/>
  <c r="Z25" i="100"/>
  <c r="X25" i="100"/>
  <c r="V19" i="95"/>
  <c r="L36" i="95"/>
  <c r="N36" i="95" s="1"/>
  <c r="V47" i="95"/>
  <c r="V55" i="95"/>
  <c r="X58" i="95"/>
  <c r="L64" i="95"/>
  <c r="V67" i="95"/>
  <c r="V71" i="95"/>
  <c r="V83" i="95"/>
  <c r="V93" i="95"/>
  <c r="N12" i="97"/>
  <c r="R16" i="97"/>
  <c r="J19" i="97"/>
  <c r="J26" i="97"/>
  <c r="J34" i="97"/>
  <c r="J44" i="97"/>
  <c r="J49" i="97"/>
  <c r="R63" i="97"/>
  <c r="F22" i="98"/>
  <c r="F20" i="98"/>
  <c r="F18" i="98"/>
  <c r="F16" i="98"/>
  <c r="F14" i="98"/>
  <c r="F24" i="98"/>
  <c r="D16" i="98"/>
  <c r="F29" i="98"/>
  <c r="F26" i="98"/>
  <c r="L12" i="98"/>
  <c r="V27" i="99"/>
  <c r="V28" i="95"/>
  <c r="V32" i="95"/>
  <c r="V56" i="95"/>
  <c r="V73" i="97"/>
  <c r="V69" i="97"/>
  <c r="V65" i="97"/>
  <c r="V57" i="97"/>
  <c r="V49" i="97"/>
  <c r="V21" i="97"/>
  <c r="V19" i="97"/>
  <c r="V17" i="97"/>
  <c r="V48" i="97"/>
  <c r="V40" i="97"/>
  <c r="V36" i="97"/>
  <c r="V32" i="97"/>
  <c r="V75" i="97"/>
  <c r="V59" i="97"/>
  <c r="V51" i="97"/>
  <c r="V91" i="97"/>
  <c r="V88" i="97"/>
  <c r="V86" i="97"/>
  <c r="V53" i="97"/>
  <c r="V41" i="97"/>
  <c r="V37" i="97"/>
  <c r="V33" i="97"/>
  <c r="V76" i="97"/>
  <c r="V60" i="97"/>
  <c r="V52" i="97"/>
  <c r="V44" i="97"/>
  <c r="V28" i="97"/>
  <c r="V24" i="97"/>
  <c r="V78" i="97"/>
  <c r="V62" i="97"/>
  <c r="V54" i="97"/>
  <c r="V46" i="97"/>
  <c r="V38" i="97"/>
  <c r="V34" i="97"/>
  <c r="V77" i="97"/>
  <c r="V61" i="97"/>
  <c r="V45" i="97"/>
  <c r="V29" i="97"/>
  <c r="V25" i="97"/>
  <c r="V72" i="97"/>
  <c r="V68" i="97"/>
  <c r="V64" i="97"/>
  <c r="V56" i="97"/>
  <c r="P19" i="97"/>
  <c r="F23" i="97"/>
  <c r="R39" i="97"/>
  <c r="F46" i="97"/>
  <c r="F51" i="97"/>
  <c r="F60" i="97"/>
  <c r="V63" i="97"/>
  <c r="J67" i="97"/>
  <c r="H22" i="98"/>
  <c r="N16" i="98"/>
  <c r="V14" i="99"/>
  <c r="V37" i="95"/>
  <c r="V41" i="95"/>
  <c r="V45" i="95"/>
  <c r="V65" i="95"/>
  <c r="V77" i="95"/>
  <c r="V81" i="95"/>
  <c r="X12" i="97"/>
  <c r="R19" i="97"/>
  <c r="J23" i="97"/>
  <c r="R24" i="97"/>
  <c r="R29" i="97"/>
  <c r="J71" i="97"/>
  <c r="Z81" i="97"/>
  <c r="X81" i="97"/>
  <c r="V54" i="95"/>
  <c r="V70" i="95"/>
  <c r="R82" i="97"/>
  <c r="R81" i="97"/>
  <c r="R31" i="97"/>
  <c r="R30" i="97"/>
  <c r="R26" i="97"/>
  <c r="R84" i="97"/>
  <c r="R73" i="97"/>
  <c r="R69" i="97"/>
  <c r="R65" i="97"/>
  <c r="R57" i="97"/>
  <c r="R22" i="97"/>
  <c r="R49" i="97"/>
  <c r="R48" i="97"/>
  <c r="R86" i="97"/>
  <c r="R75" i="97"/>
  <c r="R74" i="97"/>
  <c r="R70" i="97"/>
  <c r="R66" i="97"/>
  <c r="R59" i="97"/>
  <c r="R58" i="97"/>
  <c r="R51" i="97"/>
  <c r="R50" i="97"/>
  <c r="R91" i="97"/>
  <c r="R88" i="97"/>
  <c r="R42" i="97"/>
  <c r="R41" i="97"/>
  <c r="R37" i="97"/>
  <c r="R33" i="97"/>
  <c r="R76" i="97"/>
  <c r="R71" i="97"/>
  <c r="R67" i="97"/>
  <c r="R44" i="97"/>
  <c r="R43" i="97"/>
  <c r="R55" i="97"/>
  <c r="R54" i="97"/>
  <c r="R38" i="97"/>
  <c r="R34" i="97"/>
  <c r="R78" i="97"/>
  <c r="R77" i="97"/>
  <c r="R62" i="97"/>
  <c r="R61" i="97"/>
  <c r="R46" i="97"/>
  <c r="R45" i="97"/>
  <c r="T88" i="97"/>
  <c r="J38" i="97"/>
  <c r="J43" i="97"/>
  <c r="N53" i="97"/>
  <c r="L53" i="97"/>
  <c r="R56" i="97"/>
  <c r="V27" i="95"/>
  <c r="V31" i="95"/>
  <c r="V35" i="95"/>
  <c r="V63" i="95"/>
  <c r="V87" i="95"/>
  <c r="V89" i="95"/>
  <c r="X14" i="97"/>
  <c r="J53" i="97"/>
  <c r="R60" i="97"/>
  <c r="V46" i="99"/>
  <c r="V45" i="99"/>
  <c r="V57" i="99"/>
  <c r="V37" i="99"/>
  <c r="V33" i="99"/>
  <c r="V29" i="99"/>
  <c r="T16" i="99"/>
  <c r="V52" i="99"/>
  <c r="V24" i="99"/>
  <c r="V20" i="99"/>
  <c r="V48" i="99"/>
  <c r="V47" i="99"/>
  <c r="V42" i="99"/>
  <c r="V59" i="99"/>
  <c r="V34" i="99"/>
  <c r="V30" i="99"/>
  <c r="V53" i="99"/>
  <c r="V39" i="99"/>
  <c r="V38" i="99"/>
  <c r="V25" i="99"/>
  <c r="V21" i="99"/>
  <c r="V44" i="99"/>
  <c r="V43" i="99"/>
  <c r="V35" i="99"/>
  <c r="V31" i="99"/>
  <c r="V55" i="99"/>
  <c r="V26" i="99"/>
  <c r="V22" i="99"/>
  <c r="V62" i="99"/>
  <c r="V49" i="99"/>
  <c r="V41" i="99"/>
  <c r="V40" i="99"/>
  <c r="V36" i="99"/>
  <c r="V32" i="99"/>
  <c r="V28" i="99"/>
  <c r="Z12" i="99"/>
  <c r="T23" i="95"/>
  <c r="V36" i="95"/>
  <c r="V40" i="95"/>
  <c r="V44" i="95"/>
  <c r="V52" i="95"/>
  <c r="V64" i="95"/>
  <c r="V76" i="95"/>
  <c r="F54" i="97"/>
  <c r="F53" i="97"/>
  <c r="F38" i="97"/>
  <c r="F34" i="97"/>
  <c r="F77" i="97"/>
  <c r="F61" i="97"/>
  <c r="F45" i="97"/>
  <c r="F44" i="97"/>
  <c r="F29" i="97"/>
  <c r="F25" i="97"/>
  <c r="F72" i="97"/>
  <c r="F68" i="97"/>
  <c r="F56" i="97"/>
  <c r="F55" i="97"/>
  <c r="F30" i="97"/>
  <c r="F26" i="97"/>
  <c r="F82" i="97"/>
  <c r="F73" i="97"/>
  <c r="F69" i="97"/>
  <c r="F65" i="97"/>
  <c r="F64" i="97"/>
  <c r="F57" i="97"/>
  <c r="F17" i="97"/>
  <c r="F16" i="97"/>
  <c r="F81" i="97"/>
  <c r="F84" i="97"/>
  <c r="F86" i="97"/>
  <c r="F74" i="97"/>
  <c r="F70" i="97"/>
  <c r="F66" i="97"/>
  <c r="F58" i="97"/>
  <c r="F50" i="97"/>
  <c r="F49" i="97"/>
  <c r="F21" i="97"/>
  <c r="F19" i="97"/>
  <c r="F41" i="97"/>
  <c r="F37" i="97"/>
  <c r="Z19" i="97"/>
  <c r="R23" i="97"/>
  <c r="J28" i="97"/>
  <c r="Z46" i="97"/>
  <c r="V71" i="97"/>
  <c r="X12" i="99"/>
  <c r="N18" i="100"/>
  <c r="N18" i="103"/>
  <c r="L18" i="103"/>
  <c r="J43" i="99"/>
  <c r="J14" i="100"/>
  <c r="Z16" i="100"/>
  <c r="J23" i="100"/>
  <c r="P16" i="101"/>
  <c r="F82" i="103"/>
  <c r="F78" i="103"/>
  <c r="F46" i="103"/>
  <c r="F42" i="103"/>
  <c r="F38" i="103"/>
  <c r="F37" i="103"/>
  <c r="F73" i="103"/>
  <c r="F57" i="103"/>
  <c r="F56" i="103"/>
  <c r="F84" i="103"/>
  <c r="F83" i="103"/>
  <c r="F68" i="103"/>
  <c r="F20" i="103"/>
  <c r="F79" i="103"/>
  <c r="F75" i="103"/>
  <c r="F74" i="103"/>
  <c r="F59" i="103"/>
  <c r="F58" i="103"/>
  <c r="F47" i="103"/>
  <c r="F43" i="103"/>
  <c r="F39" i="103"/>
  <c r="F70" i="103"/>
  <c r="F69" i="103"/>
  <c r="F90" i="103"/>
  <c r="F80" i="103"/>
  <c r="F76" i="103"/>
  <c r="F71" i="103"/>
  <c r="F63" i="103"/>
  <c r="F62" i="103"/>
  <c r="F51" i="103"/>
  <c r="F50" i="103"/>
  <c r="F35" i="103"/>
  <c r="F31" i="103"/>
  <c r="F27" i="103"/>
  <c r="F26" i="103"/>
  <c r="F53" i="103"/>
  <c r="F41" i="103"/>
  <c r="F25" i="103"/>
  <c r="F65" i="103"/>
  <c r="F49" i="103"/>
  <c r="F77" i="103"/>
  <c r="F61" i="103"/>
  <c r="F44" i="103"/>
  <c r="F36" i="103"/>
  <c r="F34" i="103"/>
  <c r="F29" i="103"/>
  <c r="F86" i="103"/>
  <c r="F54" i="103"/>
  <c r="F81" i="103"/>
  <c r="F66" i="103"/>
  <c r="F45" i="103"/>
  <c r="F21" i="103"/>
  <c r="F52" i="103"/>
  <c r="F32" i="103"/>
  <c r="F30" i="103"/>
  <c r="F72" i="103"/>
  <c r="F64" i="103"/>
  <c r="F48" i="103"/>
  <c r="F40" i="103"/>
  <c r="F60" i="103"/>
  <c r="F55" i="103"/>
  <c r="N69" i="103"/>
  <c r="R32" i="105"/>
  <c r="P16" i="98"/>
  <c r="D16" i="99"/>
  <c r="J21" i="99"/>
  <c r="J25" i="99"/>
  <c r="J38" i="99"/>
  <c r="J48" i="99"/>
  <c r="L53" i="99"/>
  <c r="N53" i="99" s="1"/>
  <c r="J19" i="100"/>
  <c r="J37" i="100"/>
  <c r="V18" i="102"/>
  <c r="N49" i="102"/>
  <c r="J25" i="103"/>
  <c r="F67" i="103"/>
  <c r="N12" i="98"/>
  <c r="R14" i="98"/>
  <c r="R16" i="98"/>
  <c r="R18" i="98"/>
  <c r="R20" i="98"/>
  <c r="R22" i="98"/>
  <c r="J30" i="99"/>
  <c r="J34" i="99"/>
  <c r="L19" i="100"/>
  <c r="N19" i="100" s="1"/>
  <c r="X23" i="100"/>
  <c r="R32" i="100"/>
  <c r="J19" i="101"/>
  <c r="R86" i="103"/>
  <c r="R79" i="103"/>
  <c r="R70" i="103"/>
  <c r="R34" i="103"/>
  <c r="R30" i="103"/>
  <c r="R62" i="103"/>
  <c r="R61" i="103"/>
  <c r="R50" i="103"/>
  <c r="R49" i="103"/>
  <c r="R90" i="103"/>
  <c r="R80" i="103"/>
  <c r="R76" i="103"/>
  <c r="R44" i="103"/>
  <c r="R40" i="103"/>
  <c r="R25" i="103"/>
  <c r="R23" i="103"/>
  <c r="R71" i="103"/>
  <c r="R64" i="103"/>
  <c r="R63" i="103"/>
  <c r="R52" i="103"/>
  <c r="R51" i="103"/>
  <c r="R35" i="103"/>
  <c r="R31" i="103"/>
  <c r="R27" i="103"/>
  <c r="R72" i="103"/>
  <c r="R67" i="103"/>
  <c r="R56" i="103"/>
  <c r="R55" i="103"/>
  <c r="R83" i="103"/>
  <c r="R82" i="103"/>
  <c r="R78" i="103"/>
  <c r="R73" i="103"/>
  <c r="R29" i="103"/>
  <c r="R54" i="103"/>
  <c r="R42" i="103"/>
  <c r="R39" i="103"/>
  <c r="R37" i="103"/>
  <c r="R66" i="103"/>
  <c r="R59" i="103"/>
  <c r="R47" i="103"/>
  <c r="R45" i="103"/>
  <c r="R21" i="103"/>
  <c r="R81" i="103"/>
  <c r="R68" i="103"/>
  <c r="R57" i="103"/>
  <c r="R32" i="103"/>
  <c r="R74" i="103"/>
  <c r="R48" i="103"/>
  <c r="P23" i="103"/>
  <c r="R18" i="103"/>
  <c r="R60" i="103"/>
  <c r="R38" i="103"/>
  <c r="X12" i="103"/>
  <c r="R58" i="103"/>
  <c r="R43" i="103"/>
  <c r="R33" i="103"/>
  <c r="R28" i="103"/>
  <c r="R19" i="103"/>
  <c r="R69" i="103"/>
  <c r="R46" i="103"/>
  <c r="R41" i="103"/>
  <c r="R84" i="103"/>
  <c r="R53" i="103"/>
  <c r="R26" i="103"/>
  <c r="F33" i="103"/>
  <c r="J67" i="103"/>
  <c r="H16" i="99"/>
  <c r="J47" i="99"/>
  <c r="J59" i="99"/>
  <c r="X51" i="102"/>
  <c r="Z51" i="102" s="1"/>
  <c r="R85" i="105"/>
  <c r="R80" i="105"/>
  <c r="R76" i="105"/>
  <c r="R71" i="105"/>
  <c r="R64" i="105"/>
  <c r="R63" i="105"/>
  <c r="R87" i="105"/>
  <c r="R86" i="105"/>
  <c r="R81" i="105"/>
  <c r="R77" i="105"/>
  <c r="R66" i="105"/>
  <c r="R65" i="105"/>
  <c r="R88" i="105"/>
  <c r="R72" i="105"/>
  <c r="R82" i="105"/>
  <c r="R78" i="105"/>
  <c r="R74" i="105"/>
  <c r="R73" i="105"/>
  <c r="R84" i="105"/>
  <c r="R83" i="105"/>
  <c r="R79" i="105"/>
  <c r="R75" i="105"/>
  <c r="R69" i="105"/>
  <c r="R56" i="105"/>
  <c r="R55" i="105"/>
  <c r="R19" i="105"/>
  <c r="R46" i="105"/>
  <c r="R42" i="105"/>
  <c r="R38" i="105"/>
  <c r="R90" i="105"/>
  <c r="R70" i="105"/>
  <c r="R58" i="105"/>
  <c r="R57" i="105"/>
  <c r="R33" i="105"/>
  <c r="R29" i="105"/>
  <c r="R20" i="105"/>
  <c r="R67" i="105"/>
  <c r="R48" i="105"/>
  <c r="R47" i="105"/>
  <c r="R43" i="105"/>
  <c r="R39" i="105"/>
  <c r="R59" i="105"/>
  <c r="R34" i="105"/>
  <c r="R30" i="105"/>
  <c r="R60" i="105"/>
  <c r="R50" i="105"/>
  <c r="R49" i="105"/>
  <c r="R26" i="105"/>
  <c r="R21" i="105"/>
  <c r="R44" i="105"/>
  <c r="R40" i="105"/>
  <c r="R25" i="105"/>
  <c r="R23" i="105"/>
  <c r="R94" i="105"/>
  <c r="R68" i="105"/>
  <c r="R52" i="105"/>
  <c r="R51" i="105"/>
  <c r="R35" i="105"/>
  <c r="R31" i="105"/>
  <c r="R27" i="105"/>
  <c r="P23" i="105"/>
  <c r="R61" i="105"/>
  <c r="R45" i="105"/>
  <c r="R36" i="105"/>
  <c r="R53" i="105"/>
  <c r="X12" i="105"/>
  <c r="Z12" i="105" s="1"/>
  <c r="R28" i="105"/>
  <c r="R37" i="105"/>
  <c r="R54" i="105"/>
  <c r="R18" i="105"/>
  <c r="V14" i="98"/>
  <c r="V16" i="98"/>
  <c r="V18" i="98"/>
  <c r="V20" i="98"/>
  <c r="J14" i="99"/>
  <c r="J16" i="99"/>
  <c r="J18" i="99"/>
  <c r="J20" i="99"/>
  <c r="J24" i="99"/>
  <c r="R38" i="99"/>
  <c r="Z39" i="99"/>
  <c r="X48" i="99"/>
  <c r="J52" i="99"/>
  <c r="R53" i="99"/>
  <c r="R19" i="100"/>
  <c r="J23" i="101"/>
  <c r="X27" i="101"/>
  <c r="Z27" i="101" s="1"/>
  <c r="V43" i="102"/>
  <c r="Z49" i="102"/>
  <c r="V51" i="102"/>
  <c r="F19" i="103"/>
  <c r="F28" i="103"/>
  <c r="F38" i="99"/>
  <c r="F52" i="99"/>
  <c r="F53" i="99"/>
  <c r="F51" i="99"/>
  <c r="F42" i="99"/>
  <c r="F41" i="99"/>
  <c r="J19" i="99"/>
  <c r="J29" i="99"/>
  <c r="R30" i="99"/>
  <c r="J33" i="99"/>
  <c r="R34" i="99"/>
  <c r="J37" i="99"/>
  <c r="R48" i="99"/>
  <c r="N51" i="99"/>
  <c r="F57" i="99"/>
  <c r="F37" i="100"/>
  <c r="F34" i="100"/>
  <c r="F18" i="100"/>
  <c r="F16" i="100"/>
  <c r="F14" i="100"/>
  <c r="F24" i="100"/>
  <c r="F23" i="100"/>
  <c r="L12" i="100"/>
  <c r="F21" i="100"/>
  <c r="R22" i="100"/>
  <c r="F30" i="100"/>
  <c r="J19" i="103"/>
  <c r="R36" i="103"/>
  <c r="R65" i="103"/>
  <c r="N50" i="105"/>
  <c r="L50" i="105"/>
  <c r="J50" i="105"/>
  <c r="J49" i="99"/>
  <c r="J39" i="99"/>
  <c r="J53" i="99"/>
  <c r="J42" i="99"/>
  <c r="J55" i="99"/>
  <c r="J28" i="99"/>
  <c r="J51" i="99"/>
  <c r="J57" i="99"/>
  <c r="J22" i="100"/>
  <c r="J24" i="100"/>
  <c r="J25" i="100"/>
  <c r="J26" i="100"/>
  <c r="J30" i="100"/>
  <c r="J28" i="100"/>
  <c r="N12" i="100"/>
  <c r="H19" i="107"/>
  <c r="L12" i="99"/>
  <c r="J23" i="99"/>
  <c r="J27" i="99"/>
  <c r="J41" i="99"/>
  <c r="J45" i="99"/>
  <c r="R52" i="99"/>
  <c r="R30" i="100"/>
  <c r="R28" i="100"/>
  <c r="X12" i="100"/>
  <c r="R37" i="100"/>
  <c r="R34" i="100"/>
  <c r="R18" i="100"/>
  <c r="R16" i="100"/>
  <c r="R14" i="100"/>
  <c r="R21" i="100"/>
  <c r="R20" i="100"/>
  <c r="P16" i="100"/>
  <c r="H16" i="100"/>
  <c r="J21" i="100"/>
  <c r="J34" i="100"/>
  <c r="F36" i="101"/>
  <c r="F34" i="101"/>
  <c r="F38" i="101"/>
  <c r="F24" i="101"/>
  <c r="F20" i="101"/>
  <c r="F19" i="101"/>
  <c r="F18" i="101"/>
  <c r="F16" i="101"/>
  <c r="F14" i="101"/>
  <c r="F26" i="101"/>
  <c r="F25" i="101"/>
  <c r="D16" i="101"/>
  <c r="F43" i="101"/>
  <c r="F40" i="101"/>
  <c r="F21" i="101"/>
  <c r="F30" i="101"/>
  <c r="F29" i="101"/>
  <c r="F22" i="101"/>
  <c r="F28" i="101"/>
  <c r="N18" i="104"/>
  <c r="L18" i="104"/>
  <c r="J24" i="98"/>
  <c r="N12" i="99"/>
  <c r="J32" i="99"/>
  <c r="J36" i="99"/>
  <c r="P51" i="99"/>
  <c r="X51" i="99" s="1"/>
  <c r="J16" i="100"/>
  <c r="J38" i="101"/>
  <c r="J24" i="101"/>
  <c r="J20" i="101"/>
  <c r="J18" i="101"/>
  <c r="J16" i="101"/>
  <c r="J14" i="101"/>
  <c r="J25" i="101"/>
  <c r="H16" i="101"/>
  <c r="J43" i="101"/>
  <c r="J40" i="101"/>
  <c r="J26" i="101"/>
  <c r="J27" i="101"/>
  <c r="J21" i="101"/>
  <c r="J28" i="101"/>
  <c r="J30" i="101"/>
  <c r="J22" i="101"/>
  <c r="J31" i="101"/>
  <c r="J32" i="101"/>
  <c r="J34" i="101"/>
  <c r="V37" i="102"/>
  <c r="V33" i="102"/>
  <c r="V29" i="102"/>
  <c r="T16" i="102"/>
  <c r="V56" i="102"/>
  <c r="V54" i="102"/>
  <c r="V52" i="102"/>
  <c r="V44" i="102"/>
  <c r="V28" i="102"/>
  <c r="V24" i="102"/>
  <c r="V20" i="102"/>
  <c r="V46" i="102"/>
  <c r="V38" i="102"/>
  <c r="V34" i="102"/>
  <c r="V30" i="102"/>
  <c r="V45" i="102"/>
  <c r="V25" i="102"/>
  <c r="V21" i="102"/>
  <c r="V63" i="102"/>
  <c r="V60" i="102"/>
  <c r="V58" i="102"/>
  <c r="V40" i="102"/>
  <c r="V47" i="102"/>
  <c r="V39" i="102"/>
  <c r="V35" i="102"/>
  <c r="V31" i="102"/>
  <c r="V42" i="102"/>
  <c r="V26" i="102"/>
  <c r="V22" i="102"/>
  <c r="V49" i="102"/>
  <c r="V41" i="102"/>
  <c r="V48" i="102"/>
  <c r="V36" i="102"/>
  <c r="V32" i="102"/>
  <c r="Z12" i="102"/>
  <c r="V23" i="102"/>
  <c r="V27" i="102"/>
  <c r="N46" i="102"/>
  <c r="J82" i="103"/>
  <c r="J78" i="103"/>
  <c r="J83" i="103"/>
  <c r="J73" i="103"/>
  <c r="J57" i="103"/>
  <c r="J33" i="103"/>
  <c r="J29" i="103"/>
  <c r="J84" i="103"/>
  <c r="J74" i="103"/>
  <c r="J68" i="103"/>
  <c r="J58" i="103"/>
  <c r="J79" i="103"/>
  <c r="J75" i="103"/>
  <c r="J69" i="103"/>
  <c r="J59" i="103"/>
  <c r="J47" i="103"/>
  <c r="J43" i="103"/>
  <c r="J39" i="103"/>
  <c r="J86" i="103"/>
  <c r="J70" i="103"/>
  <c r="J60" i="103"/>
  <c r="J48" i="103"/>
  <c r="J34" i="103"/>
  <c r="J30" i="103"/>
  <c r="J61" i="103"/>
  <c r="J49" i="103"/>
  <c r="J71" i="103"/>
  <c r="J63" i="103"/>
  <c r="J51" i="103"/>
  <c r="J64" i="103"/>
  <c r="J52" i="103"/>
  <c r="J81" i="103"/>
  <c r="J77" i="103"/>
  <c r="J65" i="103"/>
  <c r="J53" i="103"/>
  <c r="J56" i="103"/>
  <c r="J31" i="103"/>
  <c r="J26" i="103"/>
  <c r="J44" i="103"/>
  <c r="J36" i="103"/>
  <c r="J20" i="103"/>
  <c r="J54" i="103"/>
  <c r="J27" i="103"/>
  <c r="J66" i="103"/>
  <c r="J42" i="103"/>
  <c r="J45" i="103"/>
  <c r="J37" i="103"/>
  <c r="J21" i="103"/>
  <c r="J50" i="103"/>
  <c r="J32" i="103"/>
  <c r="J76" i="103"/>
  <c r="J72" i="103"/>
  <c r="J62" i="103"/>
  <c r="J40" i="103"/>
  <c r="J35" i="103"/>
  <c r="J90" i="103"/>
  <c r="J55" i="103"/>
  <c r="J38" i="103"/>
  <c r="J28" i="103"/>
  <c r="H23" i="103"/>
  <c r="J18" i="103"/>
  <c r="N14" i="104"/>
  <c r="L14" i="104"/>
  <c r="H16" i="104"/>
  <c r="R55" i="99"/>
  <c r="R42" i="99"/>
  <c r="R57" i="99"/>
  <c r="R44" i="99"/>
  <c r="R43" i="99"/>
  <c r="R62" i="99"/>
  <c r="R59" i="99"/>
  <c r="R19" i="99"/>
  <c r="F22" i="99"/>
  <c r="F26" i="99"/>
  <c r="J40" i="99"/>
  <c r="R46" i="99"/>
  <c r="F49" i="99"/>
  <c r="R51" i="99"/>
  <c r="F55" i="99"/>
  <c r="F62" i="99"/>
  <c r="R25" i="100"/>
  <c r="F28" i="100"/>
  <c r="L12" i="101"/>
  <c r="Z18" i="101"/>
  <c r="X12" i="102"/>
  <c r="X19" i="102"/>
  <c r="Z19" i="102" s="1"/>
  <c r="L12" i="103"/>
  <c r="N12" i="103" s="1"/>
  <c r="D23" i="103"/>
  <c r="R41" i="105"/>
  <c r="V38" i="101"/>
  <c r="V40" i="101"/>
  <c r="V43" i="101"/>
  <c r="R41" i="102"/>
  <c r="R42" i="102"/>
  <c r="J46" i="102"/>
  <c r="J58" i="102"/>
  <c r="N56" i="105"/>
  <c r="Z60" i="105"/>
  <c r="T16" i="101"/>
  <c r="R19" i="101"/>
  <c r="V25" i="101"/>
  <c r="D16" i="102"/>
  <c r="J21" i="102"/>
  <c r="R22" i="102"/>
  <c r="J25" i="102"/>
  <c r="R26" i="102"/>
  <c r="J45" i="102"/>
  <c r="Z56" i="103"/>
  <c r="N62" i="103"/>
  <c r="D24" i="104"/>
  <c r="N37" i="105"/>
  <c r="Z52" i="105"/>
  <c r="V14" i="101"/>
  <c r="V16" i="101"/>
  <c r="V18" i="101"/>
  <c r="R23" i="101"/>
  <c r="R34" i="101"/>
  <c r="R36" i="101"/>
  <c r="J30" i="102"/>
  <c r="R31" i="102"/>
  <c r="J34" i="102"/>
  <c r="R35" i="102"/>
  <c r="J38" i="102"/>
  <c r="R39" i="102"/>
  <c r="R40" i="102"/>
  <c r="R47" i="102"/>
  <c r="J54" i="102"/>
  <c r="J56" i="102"/>
  <c r="R60" i="102"/>
  <c r="R63" i="102"/>
  <c r="V61" i="103"/>
  <c r="V49" i="103"/>
  <c r="V25" i="103"/>
  <c r="V21" i="103"/>
  <c r="V90" i="103"/>
  <c r="V80" i="103"/>
  <c r="V76" i="103"/>
  <c r="V64" i="103"/>
  <c r="V52" i="103"/>
  <c r="V71" i="103"/>
  <c r="V63" i="103"/>
  <c r="V51" i="103"/>
  <c r="V35" i="103"/>
  <c r="V31" i="103"/>
  <c r="V27" i="103"/>
  <c r="V66" i="103"/>
  <c r="V54" i="103"/>
  <c r="V81" i="103"/>
  <c r="V77" i="103"/>
  <c r="V65" i="103"/>
  <c r="V53" i="103"/>
  <c r="V45" i="103"/>
  <c r="V83" i="103"/>
  <c r="V67" i="103"/>
  <c r="V55" i="103"/>
  <c r="V82" i="103"/>
  <c r="V78" i="103"/>
  <c r="V74" i="103"/>
  <c r="V58" i="103"/>
  <c r="V46" i="103"/>
  <c r="V42" i="103"/>
  <c r="V38" i="103"/>
  <c r="V73" i="103"/>
  <c r="V69" i="103"/>
  <c r="V57" i="103"/>
  <c r="V26" i="103"/>
  <c r="V41" i="103"/>
  <c r="V56" i="103"/>
  <c r="Z69" i="103"/>
  <c r="Z16" i="104"/>
  <c r="T24" i="104"/>
  <c r="Z50" i="105"/>
  <c r="Z56" i="105"/>
  <c r="X56" i="105"/>
  <c r="Z15" i="109"/>
  <c r="T17" i="109"/>
  <c r="V15" i="109"/>
  <c r="H16" i="102"/>
  <c r="R58" i="102"/>
  <c r="V28" i="103"/>
  <c r="V33" i="103"/>
  <c r="V43" i="103"/>
  <c r="V14" i="100"/>
  <c r="V16" i="100"/>
  <c r="V18" i="100"/>
  <c r="V32" i="100"/>
  <c r="V34" i="100"/>
  <c r="V37" i="100"/>
  <c r="Z12" i="101"/>
  <c r="V32" i="101"/>
  <c r="V34" i="101"/>
  <c r="V36" i="101"/>
  <c r="J14" i="102"/>
  <c r="J16" i="102"/>
  <c r="J18" i="102"/>
  <c r="J20" i="102"/>
  <c r="R21" i="102"/>
  <c r="J24" i="102"/>
  <c r="R25" i="102"/>
  <c r="J28" i="102"/>
  <c r="F33" i="102"/>
  <c r="F37" i="102"/>
  <c r="J44" i="102"/>
  <c r="R45" i="102"/>
  <c r="R46" i="102"/>
  <c r="J52" i="102"/>
  <c r="Z12" i="103"/>
  <c r="X25" i="103"/>
  <c r="Z25" i="103" s="1"/>
  <c r="X60" i="103"/>
  <c r="Z60" i="103" s="1"/>
  <c r="N66" i="103"/>
  <c r="L66" i="103"/>
  <c r="V72" i="103"/>
  <c r="Z37" i="105"/>
  <c r="Z58" i="107"/>
  <c r="V19" i="100"/>
  <c r="R22" i="101"/>
  <c r="R30" i="101"/>
  <c r="R31" i="101"/>
  <c r="J19" i="102"/>
  <c r="R30" i="102"/>
  <c r="J33" i="102"/>
  <c r="R34" i="102"/>
  <c r="J37" i="102"/>
  <c r="R38" i="102"/>
  <c r="F49" i="102"/>
  <c r="F50" i="102"/>
  <c r="J51" i="102"/>
  <c r="T23" i="103"/>
  <c r="V30" i="103"/>
  <c r="V40" i="103"/>
  <c r="X48" i="103"/>
  <c r="Z48" i="103" s="1"/>
  <c r="N54" i="103"/>
  <c r="L54" i="103"/>
  <c r="V60" i="103"/>
  <c r="V62" i="103"/>
  <c r="L19" i="104"/>
  <c r="N26" i="105"/>
  <c r="L26" i="105"/>
  <c r="V22" i="101"/>
  <c r="V30" i="101"/>
  <c r="J50" i="102"/>
  <c r="R54" i="102"/>
  <c r="R56" i="102"/>
  <c r="V48" i="103"/>
  <c r="V50" i="103"/>
  <c r="V70" i="103"/>
  <c r="H96" i="105"/>
  <c r="X21" i="108"/>
  <c r="P20" i="108"/>
  <c r="X20" i="108" s="1"/>
  <c r="R29" i="101"/>
  <c r="V31" i="101"/>
  <c r="P16" i="102"/>
  <c r="R20" i="102"/>
  <c r="J23" i="102"/>
  <c r="R24" i="102"/>
  <c r="J27" i="102"/>
  <c r="R28" i="102"/>
  <c r="R29" i="102"/>
  <c r="J43" i="102"/>
  <c r="R44" i="102"/>
  <c r="J49" i="102"/>
  <c r="R52" i="102"/>
  <c r="L13" i="103"/>
  <c r="V32" i="103"/>
  <c r="V68" i="103"/>
  <c r="V79" i="103"/>
  <c r="Z66" i="105"/>
  <c r="V26" i="100"/>
  <c r="V28" i="100"/>
  <c r="N12" i="102"/>
  <c r="R14" i="102"/>
  <c r="R16" i="102"/>
  <c r="R18" i="102"/>
  <c r="J32" i="102"/>
  <c r="R33" i="102"/>
  <c r="J36" i="102"/>
  <c r="R37" i="102"/>
  <c r="F40" i="102"/>
  <c r="F41" i="102"/>
  <c r="J42" i="102"/>
  <c r="J48" i="102"/>
  <c r="F60" i="102"/>
  <c r="N26" i="103"/>
  <c r="V47" i="103"/>
  <c r="V59" i="103"/>
  <c r="Z86" i="103"/>
  <c r="X86" i="103"/>
  <c r="Z26" i="105"/>
  <c r="L60" i="105"/>
  <c r="X66" i="105"/>
  <c r="T86" i="107"/>
  <c r="V86" i="107" s="1"/>
  <c r="R19" i="102"/>
  <c r="R50" i="102"/>
  <c r="X37" i="103"/>
  <c r="Z37" i="103" s="1"/>
  <c r="V39" i="103"/>
  <c r="V86" i="103"/>
  <c r="N60" i="105"/>
  <c r="V37" i="105"/>
  <c r="V41" i="105"/>
  <c r="V45" i="105"/>
  <c r="J49" i="105"/>
  <c r="V53" i="105"/>
  <c r="J73" i="105"/>
  <c r="N52" i="107"/>
  <c r="R22" i="104"/>
  <c r="R24" i="104"/>
  <c r="V18" i="105"/>
  <c r="J30" i="105"/>
  <c r="J34" i="105"/>
  <c r="J48" i="105"/>
  <c r="V54" i="105"/>
  <c r="J59" i="105"/>
  <c r="V61" i="105"/>
  <c r="V65" i="105"/>
  <c r="P12" i="107"/>
  <c r="X13" i="107"/>
  <c r="Z13" i="107" s="1"/>
  <c r="L44" i="107"/>
  <c r="N44" i="107" s="1"/>
  <c r="N46" i="107"/>
  <c r="P16" i="104"/>
  <c r="V27" i="105"/>
  <c r="V31" i="105"/>
  <c r="V35" i="105"/>
  <c r="J39" i="105"/>
  <c r="J43" i="105"/>
  <c r="J47" i="105"/>
  <c r="V51" i="105"/>
  <c r="N64" i="105"/>
  <c r="J67" i="105"/>
  <c r="V68" i="105"/>
  <c r="V71" i="105"/>
  <c r="V75" i="105"/>
  <c r="V78" i="105"/>
  <c r="X50" i="107"/>
  <c r="Z50" i="107" s="1"/>
  <c r="Z52" i="107"/>
  <c r="F68" i="107"/>
  <c r="T23" i="105"/>
  <c r="V40" i="105"/>
  <c r="V44" i="105"/>
  <c r="V52" i="105"/>
  <c r="J58" i="105"/>
  <c r="J64" i="105"/>
  <c r="V83" i="105"/>
  <c r="V85" i="105"/>
  <c r="R19" i="104"/>
  <c r="D12" i="105"/>
  <c r="V21" i="105"/>
  <c r="V23" i="105"/>
  <c r="V25" i="105"/>
  <c r="J29" i="105"/>
  <c r="J33" i="105"/>
  <c r="V49" i="105"/>
  <c r="Z21" i="107"/>
  <c r="Z46" i="107"/>
  <c r="X70" i="107"/>
  <c r="V14" i="104"/>
  <c r="V16" i="104"/>
  <c r="V18" i="104"/>
  <c r="J94" i="105"/>
  <c r="J74" i="105"/>
  <c r="J83" i="105"/>
  <c r="J79" i="105"/>
  <c r="J75" i="105"/>
  <c r="J96" i="105"/>
  <c r="J84" i="105"/>
  <c r="J85" i="105"/>
  <c r="J80" i="105"/>
  <c r="J76" i="105"/>
  <c r="J70" i="105"/>
  <c r="J62" i="105"/>
  <c r="J71" i="105"/>
  <c r="J87" i="105"/>
  <c r="J81" i="105"/>
  <c r="J77" i="105"/>
  <c r="J65" i="105"/>
  <c r="J88" i="105"/>
  <c r="J72" i="105"/>
  <c r="J92" i="105"/>
  <c r="J90" i="105"/>
  <c r="J82" i="105"/>
  <c r="J78" i="105"/>
  <c r="X13" i="105"/>
  <c r="X25" i="105"/>
  <c r="Z25" i="105" s="1"/>
  <c r="V26" i="105"/>
  <c r="V30" i="105"/>
  <c r="V34" i="105"/>
  <c r="J38" i="105"/>
  <c r="J42" i="105"/>
  <c r="J46" i="105"/>
  <c r="V50" i="105"/>
  <c r="J56" i="105"/>
  <c r="V59" i="105"/>
  <c r="V60" i="105"/>
  <c r="J63" i="105"/>
  <c r="L90" i="105"/>
  <c r="Z70" i="107"/>
  <c r="F26" i="104"/>
  <c r="J19" i="105"/>
  <c r="J37" i="105"/>
  <c r="V39" i="105"/>
  <c r="V43" i="105"/>
  <c r="V47" i="105"/>
  <c r="J55" i="105"/>
  <c r="Z64" i="105"/>
  <c r="V67" i="105"/>
  <c r="J69" i="105"/>
  <c r="N74" i="105"/>
  <c r="F79" i="107"/>
  <c r="F78" i="107"/>
  <c r="F59" i="107"/>
  <c r="F58" i="107"/>
  <c r="F47" i="107"/>
  <c r="F46" i="107"/>
  <c r="F31" i="107"/>
  <c r="F27" i="107"/>
  <c r="F23" i="107"/>
  <c r="F22" i="107"/>
  <c r="F74" i="107"/>
  <c r="F21" i="107"/>
  <c r="F69" i="107"/>
  <c r="F61" i="107"/>
  <c r="F60" i="107"/>
  <c r="F49" i="107"/>
  <c r="F48" i="107"/>
  <c r="F41" i="107"/>
  <c r="F37" i="107"/>
  <c r="D19" i="107"/>
  <c r="F80" i="107"/>
  <c r="F32" i="107"/>
  <c r="F28" i="107"/>
  <c r="F24" i="107"/>
  <c r="F75" i="107"/>
  <c r="F71" i="107"/>
  <c r="F70" i="107"/>
  <c r="F63" i="107"/>
  <c r="F62" i="107"/>
  <c r="F51" i="107"/>
  <c r="F50" i="107"/>
  <c r="F82" i="107"/>
  <c r="F81" i="107"/>
  <c r="F42" i="107"/>
  <c r="F38" i="107"/>
  <c r="F34" i="107"/>
  <c r="F33" i="107"/>
  <c r="F65" i="107"/>
  <c r="F64" i="107"/>
  <c r="F53" i="107"/>
  <c r="F52" i="107"/>
  <c r="F29" i="107"/>
  <c r="F25" i="107"/>
  <c r="F76" i="107"/>
  <c r="F72" i="107"/>
  <c r="L12" i="107"/>
  <c r="N12" i="107" s="1"/>
  <c r="F84" i="107"/>
  <c r="F67" i="107"/>
  <c r="F66" i="107"/>
  <c r="F55" i="107"/>
  <c r="F54" i="107"/>
  <c r="F43" i="107"/>
  <c r="F39" i="107"/>
  <c r="F35" i="107"/>
  <c r="F77" i="107"/>
  <c r="F73" i="107"/>
  <c r="F57" i="107"/>
  <c r="F56" i="107"/>
  <c r="F45" i="107"/>
  <c r="F44" i="107"/>
  <c r="F17" i="107"/>
  <c r="F16" i="107"/>
  <c r="F22" i="104"/>
  <c r="F24" i="104"/>
  <c r="V20" i="105"/>
  <c r="J28" i="105"/>
  <c r="J32" i="105"/>
  <c r="J36" i="105"/>
  <c r="V48" i="105"/>
  <c r="J54" i="105"/>
  <c r="V64" i="105"/>
  <c r="J66" i="105"/>
  <c r="V79" i="105"/>
  <c r="J86" i="105"/>
  <c r="N22" i="107"/>
  <c r="V31" i="108"/>
  <c r="V28" i="108"/>
  <c r="V26" i="108"/>
  <c r="V20" i="108"/>
  <c r="V18" i="108"/>
  <c r="V16" i="108"/>
  <c r="V14" i="108"/>
  <c r="V22" i="108"/>
  <c r="V24" i="108"/>
  <c r="T16" i="108"/>
  <c r="Z12" i="108"/>
  <c r="V29" i="105"/>
  <c r="V33" i="105"/>
  <c r="J41" i="105"/>
  <c r="J45" i="105"/>
  <c r="J53" i="105"/>
  <c r="V57" i="105"/>
  <c r="Z58" i="105"/>
  <c r="Z70" i="105"/>
  <c r="L22" i="107"/>
  <c r="N58" i="107"/>
  <c r="L78" i="107"/>
  <c r="N78" i="107" s="1"/>
  <c r="L14" i="108"/>
  <c r="D16" i="108"/>
  <c r="V80" i="105"/>
  <c r="V76" i="105"/>
  <c r="V87" i="105"/>
  <c r="V86" i="105"/>
  <c r="V66" i="105"/>
  <c r="V81" i="105"/>
  <c r="V77" i="105"/>
  <c r="V90" i="105"/>
  <c r="V88" i="105"/>
  <c r="V72" i="105"/>
  <c r="V73" i="105"/>
  <c r="V94" i="105"/>
  <c r="V84" i="105"/>
  <c r="V70" i="105"/>
  <c r="V62" i="105"/>
  <c r="V38" i="105"/>
  <c r="V42" i="105"/>
  <c r="V46" i="105"/>
  <c r="J52" i="105"/>
  <c r="V58" i="105"/>
  <c r="J61" i="105"/>
  <c r="X84" i="105"/>
  <c r="Z84" i="105" s="1"/>
  <c r="L16" i="107"/>
  <c r="N16" i="107" s="1"/>
  <c r="X62" i="107"/>
  <c r="Z62" i="107" s="1"/>
  <c r="Z64" i="107"/>
  <c r="J22" i="107"/>
  <c r="V24" i="107"/>
  <c r="V28" i="107"/>
  <c r="V32" i="107"/>
  <c r="J36" i="107"/>
  <c r="J40" i="107"/>
  <c r="J46" i="107"/>
  <c r="V52" i="107"/>
  <c r="J58" i="107"/>
  <c r="V64" i="107"/>
  <c r="J68" i="107"/>
  <c r="J78" i="107"/>
  <c r="V80" i="107"/>
  <c r="P24" i="108"/>
  <c r="X16" i="108"/>
  <c r="D20" i="108"/>
  <c r="L20" i="108" s="1"/>
  <c r="J16" i="107"/>
  <c r="J26" i="107"/>
  <c r="J30" i="107"/>
  <c r="J44" i="107"/>
  <c r="V50" i="107"/>
  <c r="J56" i="107"/>
  <c r="V62" i="107"/>
  <c r="V70" i="107"/>
  <c r="V74" i="107"/>
  <c r="J88" i="107"/>
  <c r="X20" i="109"/>
  <c r="F50" i="109"/>
  <c r="V23" i="107"/>
  <c r="V27" i="107"/>
  <c r="V31" i="107"/>
  <c r="J35" i="107"/>
  <c r="J39" i="107"/>
  <c r="J43" i="107"/>
  <c r="V47" i="107"/>
  <c r="J55" i="107"/>
  <c r="V59" i="107"/>
  <c r="J67" i="107"/>
  <c r="V79" i="107"/>
  <c r="Z20" i="109"/>
  <c r="V36" i="107"/>
  <c r="V40" i="107"/>
  <c r="V48" i="107"/>
  <c r="J54" i="107"/>
  <c r="V60" i="107"/>
  <c r="J66" i="107"/>
  <c r="V68" i="107"/>
  <c r="J72" i="107"/>
  <c r="J76" i="107"/>
  <c r="J84" i="107"/>
  <c r="N48" i="109"/>
  <c r="V17" i="107"/>
  <c r="V19" i="107"/>
  <c r="V21" i="107"/>
  <c r="J25" i="107"/>
  <c r="J29" i="107"/>
  <c r="V45" i="107"/>
  <c r="J53" i="107"/>
  <c r="V57" i="107"/>
  <c r="J65" i="107"/>
  <c r="V73" i="107"/>
  <c r="V77" i="107"/>
  <c r="V88" i="107"/>
  <c r="X14" i="108"/>
  <c r="F31" i="109"/>
  <c r="N57" i="109"/>
  <c r="V22" i="107"/>
  <c r="V26" i="107"/>
  <c r="V30" i="107"/>
  <c r="J34" i="107"/>
  <c r="J38" i="107"/>
  <c r="J42" i="107"/>
  <c r="V46" i="107"/>
  <c r="J52" i="107"/>
  <c r="V58" i="107"/>
  <c r="J64" i="107"/>
  <c r="V78" i="107"/>
  <c r="J82" i="107"/>
  <c r="P12" i="109"/>
  <c r="X13" i="109"/>
  <c r="Z13" i="109" s="1"/>
  <c r="X90" i="105"/>
  <c r="J33" i="107"/>
  <c r="V35" i="107"/>
  <c r="V39" i="107"/>
  <c r="V43" i="107"/>
  <c r="J51" i="107"/>
  <c r="V55" i="107"/>
  <c r="J63" i="107"/>
  <c r="V67" i="107"/>
  <c r="J71" i="107"/>
  <c r="J75" i="107"/>
  <c r="J81" i="107"/>
  <c r="J21" i="108"/>
  <c r="J20" i="108"/>
  <c r="J18" i="108"/>
  <c r="J16" i="108"/>
  <c r="J14" i="108"/>
  <c r="J22" i="108"/>
  <c r="H16" i="108"/>
  <c r="J31" i="108"/>
  <c r="J28" i="108"/>
  <c r="N44" i="109"/>
  <c r="V16" i="107"/>
  <c r="J24" i="107"/>
  <c r="J28" i="107"/>
  <c r="J32" i="107"/>
  <c r="V44" i="107"/>
  <c r="J50" i="107"/>
  <c r="V56" i="107"/>
  <c r="J62" i="107"/>
  <c r="J70" i="107"/>
  <c r="V72" i="107"/>
  <c r="V76" i="107"/>
  <c r="J80" i="107"/>
  <c r="X44" i="109"/>
  <c r="X46" i="109"/>
  <c r="Z46" i="109" s="1"/>
  <c r="V29" i="107"/>
  <c r="J37" i="107"/>
  <c r="J41" i="107"/>
  <c r="J49" i="107"/>
  <c r="V53" i="107"/>
  <c r="J61" i="107"/>
  <c r="V65" i="107"/>
  <c r="J69" i="107"/>
  <c r="X15" i="109"/>
  <c r="Z44" i="109"/>
  <c r="V34" i="107"/>
  <c r="V38" i="107"/>
  <c r="V42" i="107"/>
  <c r="J48" i="107"/>
  <c r="V54" i="107"/>
  <c r="J60" i="107"/>
  <c r="V66" i="107"/>
  <c r="J74" i="107"/>
  <c r="V82" i="107"/>
  <c r="V84" i="107"/>
  <c r="R24" i="108"/>
  <c r="R26" i="108"/>
  <c r="R31" i="108"/>
  <c r="R28" i="108"/>
  <c r="X12" i="108"/>
  <c r="F41" i="109"/>
  <c r="F37" i="109"/>
  <c r="F33" i="109"/>
  <c r="F72" i="109"/>
  <c r="F60" i="109"/>
  <c r="F52" i="109"/>
  <c r="F51" i="109"/>
  <c r="F28" i="109"/>
  <c r="F24" i="109"/>
  <c r="F43" i="109"/>
  <c r="F42" i="109"/>
  <c r="F62" i="109"/>
  <c r="F61" i="109"/>
  <c r="F54" i="109"/>
  <c r="F53" i="109"/>
  <c r="F38" i="109"/>
  <c r="F34" i="109"/>
  <c r="F45" i="109"/>
  <c r="F44" i="109"/>
  <c r="F29" i="109"/>
  <c r="F25" i="109"/>
  <c r="F21" i="109"/>
  <c r="F20" i="109"/>
  <c r="F56" i="109"/>
  <c r="F55" i="109"/>
  <c r="F19" i="109"/>
  <c r="F17" i="109"/>
  <c r="F15" i="109"/>
  <c r="F63" i="109"/>
  <c r="F47" i="109"/>
  <c r="F46" i="109"/>
  <c r="F39" i="109"/>
  <c r="F35" i="109"/>
  <c r="F58" i="109"/>
  <c r="F57" i="109"/>
  <c r="F30" i="109"/>
  <c r="F26" i="109"/>
  <c r="F22" i="109"/>
  <c r="L12" i="109"/>
  <c r="N12" i="109" s="1"/>
  <c r="F65" i="109"/>
  <c r="F64" i="109"/>
  <c r="F49" i="109"/>
  <c r="F48" i="109"/>
  <c r="F68" i="109"/>
  <c r="F59" i="109"/>
  <c r="F27" i="109"/>
  <c r="F23" i="109"/>
  <c r="D67" i="109"/>
  <c r="L67" i="109" s="1"/>
  <c r="N67" i="109" s="1"/>
  <c r="L68" i="109"/>
  <c r="N68" i="109" s="1"/>
  <c r="V34" i="109"/>
  <c r="V38" i="109"/>
  <c r="V46" i="109"/>
  <c r="J50" i="109"/>
  <c r="V54" i="109"/>
  <c r="V62" i="109"/>
  <c r="V20" i="109"/>
  <c r="V24" i="109"/>
  <c r="V28" i="109"/>
  <c r="J32" i="109"/>
  <c r="J36" i="109"/>
  <c r="J40" i="109"/>
  <c r="V44" i="109"/>
  <c r="V52" i="109"/>
  <c r="X55" i="109"/>
  <c r="Z55" i="109" s="1"/>
  <c r="V60" i="109"/>
  <c r="V72" i="109"/>
  <c r="F26" i="108"/>
  <c r="J31" i="109"/>
  <c r="V33" i="109"/>
  <c r="V37" i="109"/>
  <c r="V41" i="109"/>
  <c r="J49" i="109"/>
  <c r="V53" i="109"/>
  <c r="V61" i="109"/>
  <c r="J65" i="109"/>
  <c r="J22" i="109"/>
  <c r="J26" i="109"/>
  <c r="J30" i="109"/>
  <c r="V42" i="109"/>
  <c r="J48" i="109"/>
  <c r="V50" i="109"/>
  <c r="J58" i="109"/>
  <c r="J64" i="109"/>
  <c r="V23" i="109"/>
  <c r="V27" i="109"/>
  <c r="J35" i="109"/>
  <c r="J39" i="109"/>
  <c r="J47" i="109"/>
  <c r="V51" i="109"/>
  <c r="J57" i="109"/>
  <c r="V59" i="109"/>
  <c r="J63" i="109"/>
  <c r="H17" i="109"/>
  <c r="L17" i="109" s="1"/>
  <c r="V32" i="109"/>
  <c r="V36" i="109"/>
  <c r="V40" i="109"/>
  <c r="J46" i="109"/>
  <c r="J56" i="109"/>
  <c r="V68" i="109"/>
  <c r="J15" i="109"/>
  <c r="J19" i="109"/>
  <c r="J21" i="109"/>
  <c r="J25" i="109"/>
  <c r="J29" i="109"/>
  <c r="J45" i="109"/>
  <c r="V49" i="109"/>
  <c r="J55" i="109"/>
  <c r="V65" i="109"/>
  <c r="V67" i="109"/>
  <c r="J20" i="109"/>
  <c r="V22" i="109"/>
  <c r="V26" i="109"/>
  <c r="V30" i="109"/>
  <c r="J34" i="109"/>
  <c r="J38" i="109"/>
  <c r="J44" i="109"/>
  <c r="J54" i="109"/>
  <c r="V58" i="109"/>
  <c r="J62" i="109"/>
  <c r="V31" i="109"/>
  <c r="V35" i="109"/>
  <c r="V39" i="109"/>
  <c r="J43" i="109"/>
  <c r="V47" i="109"/>
  <c r="J53" i="109"/>
  <c r="J61" i="109"/>
  <c r="V63" i="109"/>
  <c r="J24" i="109"/>
  <c r="J28" i="109"/>
  <c r="J42" i="109"/>
  <c r="V48" i="109"/>
  <c r="J52" i="109"/>
  <c r="V56" i="109"/>
  <c r="J60" i="109"/>
  <c r="D28" i="104" l="1"/>
  <c r="H91" i="95"/>
  <c r="X32" i="24"/>
  <c r="P88" i="24"/>
  <c r="H27" i="47"/>
  <c r="N18" i="47"/>
  <c r="T27" i="20"/>
  <c r="Z18" i="20"/>
  <c r="X18" i="8"/>
  <c r="P27" i="8"/>
  <c r="T70" i="109"/>
  <c r="V17" i="109"/>
  <c r="R137" i="74"/>
  <c r="R98" i="74"/>
  <c r="R97" i="74"/>
  <c r="R89" i="74"/>
  <c r="R85" i="74"/>
  <c r="R117" i="74"/>
  <c r="R116" i="74"/>
  <c r="R109" i="74"/>
  <c r="R108" i="74"/>
  <c r="R81" i="74"/>
  <c r="R80" i="74"/>
  <c r="R76" i="74"/>
  <c r="R72" i="74"/>
  <c r="P68" i="74"/>
  <c r="R118" i="74"/>
  <c r="R111" i="74"/>
  <c r="R110" i="74"/>
  <c r="R90" i="74"/>
  <c r="R86" i="74"/>
  <c r="R82" i="74"/>
  <c r="R141" i="74"/>
  <c r="R130" i="74"/>
  <c r="R129" i="74"/>
  <c r="R102" i="74"/>
  <c r="R101" i="74"/>
  <c r="R77" i="74"/>
  <c r="R73" i="74"/>
  <c r="R124" i="74"/>
  <c r="R113" i="74"/>
  <c r="R112" i="74"/>
  <c r="R114" i="74"/>
  <c r="R78" i="74"/>
  <c r="R74" i="74"/>
  <c r="R135" i="74"/>
  <c r="R134" i="74"/>
  <c r="R115" i="74"/>
  <c r="R96" i="74"/>
  <c r="R95" i="74"/>
  <c r="R79" i="74"/>
  <c r="R75" i="74"/>
  <c r="R136" i="74"/>
  <c r="R126" i="74"/>
  <c r="R122" i="74"/>
  <c r="R107" i="74"/>
  <c r="R106" i="74"/>
  <c r="R71" i="74"/>
  <c r="R88" i="74"/>
  <c r="R66" i="74"/>
  <c r="R56" i="74"/>
  <c r="R131" i="74"/>
  <c r="R103" i="74"/>
  <c r="R93" i="74"/>
  <c r="R84" i="74"/>
  <c r="R63" i="74"/>
  <c r="R60" i="74"/>
  <c r="X12" i="74"/>
  <c r="Z12" i="74" s="1"/>
  <c r="R127" i="74"/>
  <c r="R125" i="74"/>
  <c r="R123" i="74"/>
  <c r="R121" i="74"/>
  <c r="R99" i="74"/>
  <c r="R53" i="74"/>
  <c r="R64" i="74"/>
  <c r="R57" i="74"/>
  <c r="R94" i="74"/>
  <c r="R91" i="74"/>
  <c r="R61" i="74"/>
  <c r="R128" i="74"/>
  <c r="R119" i="74"/>
  <c r="R87" i="74"/>
  <c r="R54" i="74"/>
  <c r="R50" i="74"/>
  <c r="R132" i="74"/>
  <c r="R104" i="74"/>
  <c r="R100" i="74"/>
  <c r="R83" i="74"/>
  <c r="R70" i="74"/>
  <c r="R58" i="74"/>
  <c r="R92" i="74"/>
  <c r="R65" i="74"/>
  <c r="R51" i="74"/>
  <c r="R59" i="74"/>
  <c r="R105" i="74"/>
  <c r="R52" i="74"/>
  <c r="R62" i="74"/>
  <c r="R120" i="74"/>
  <c r="R55" i="74"/>
  <c r="R86" i="68"/>
  <c r="R72" i="68"/>
  <c r="R71" i="68"/>
  <c r="R78" i="68"/>
  <c r="R80" i="68"/>
  <c r="R79" i="68"/>
  <c r="R81" i="68"/>
  <c r="R76" i="68"/>
  <c r="R69" i="68"/>
  <c r="R68" i="68"/>
  <c r="R57" i="68"/>
  <c r="R70" i="68"/>
  <c r="R66" i="68"/>
  <c r="R49" i="68"/>
  <c r="R27" i="68"/>
  <c r="R63" i="68"/>
  <c r="R84" i="68"/>
  <c r="R67" i="68"/>
  <c r="R59" i="68"/>
  <c r="R58" i="68"/>
  <c r="R53" i="68"/>
  <c r="R46" i="68"/>
  <c r="R41" i="68"/>
  <c r="R37" i="68"/>
  <c r="R77" i="68"/>
  <c r="R74" i="68"/>
  <c r="R50" i="68"/>
  <c r="R28" i="68"/>
  <c r="R75" i="68"/>
  <c r="R54" i="68"/>
  <c r="R47" i="68"/>
  <c r="R42" i="68"/>
  <c r="R38" i="68"/>
  <c r="R90" i="68"/>
  <c r="R64" i="68"/>
  <c r="R61" i="68"/>
  <c r="R60" i="68"/>
  <c r="R55" i="68"/>
  <c r="R29" i="68"/>
  <c r="R82" i="68"/>
  <c r="R51" i="68"/>
  <c r="R25" i="68"/>
  <c r="R83" i="68"/>
  <c r="R65" i="68"/>
  <c r="R35" i="68"/>
  <c r="R30" i="68"/>
  <c r="R26" i="68"/>
  <c r="X12" i="68"/>
  <c r="Z12" i="68" s="1"/>
  <c r="R62" i="68"/>
  <c r="R52" i="68"/>
  <c r="R34" i="68"/>
  <c r="R32" i="68"/>
  <c r="R40" i="68"/>
  <c r="R44" i="68"/>
  <c r="R39" i="68"/>
  <c r="R48" i="68"/>
  <c r="R36" i="68"/>
  <c r="R56" i="68"/>
  <c r="R43" i="68"/>
  <c r="R45" i="68"/>
  <c r="P32" i="68"/>
  <c r="R73" i="68"/>
  <c r="T27" i="112"/>
  <c r="Z18" i="112"/>
  <c r="P27" i="32"/>
  <c r="X18" i="32"/>
  <c r="L18" i="20"/>
  <c r="D27" i="20"/>
  <c r="H27" i="26"/>
  <c r="N18" i="26"/>
  <c r="P28" i="108"/>
  <c r="L19" i="107"/>
  <c r="D86" i="107"/>
  <c r="T55" i="99"/>
  <c r="Z16" i="99"/>
  <c r="X16" i="99"/>
  <c r="Z22" i="98"/>
  <c r="T26" i="98"/>
  <c r="P55" i="99"/>
  <c r="T26" i="89"/>
  <c r="Z22" i="89"/>
  <c r="F110" i="84"/>
  <c r="F109" i="84"/>
  <c r="F102" i="84"/>
  <c r="F101" i="84"/>
  <c r="F112" i="84"/>
  <c r="F105" i="84"/>
  <c r="F104" i="84"/>
  <c r="F103" i="84"/>
  <c r="F100" i="84"/>
  <c r="F97" i="84"/>
  <c r="F85" i="84"/>
  <c r="F84" i="84"/>
  <c r="F57" i="84"/>
  <c r="F53" i="84"/>
  <c r="F106" i="84"/>
  <c r="F92" i="84"/>
  <c r="F91" i="84"/>
  <c r="F64" i="84"/>
  <c r="F63" i="84"/>
  <c r="F48" i="84"/>
  <c r="F44" i="84"/>
  <c r="F75" i="84"/>
  <c r="F35" i="84"/>
  <c r="F86" i="84"/>
  <c r="F66" i="84"/>
  <c r="F65" i="84"/>
  <c r="F58" i="84"/>
  <c r="F54" i="84"/>
  <c r="F107" i="84"/>
  <c r="F98" i="84"/>
  <c r="F93" i="84"/>
  <c r="F77" i="84"/>
  <c r="F76" i="84"/>
  <c r="F88" i="84"/>
  <c r="F87" i="84"/>
  <c r="F68" i="84"/>
  <c r="F67" i="84"/>
  <c r="F39" i="84"/>
  <c r="F37" i="84"/>
  <c r="F95" i="84"/>
  <c r="F94" i="84"/>
  <c r="F79" i="84"/>
  <c r="F78" i="84"/>
  <c r="F59" i="84"/>
  <c r="F55" i="84"/>
  <c r="F51" i="84"/>
  <c r="F50" i="84"/>
  <c r="D37" i="84"/>
  <c r="F70" i="84"/>
  <c r="F69" i="84"/>
  <c r="F46" i="84"/>
  <c r="F42" i="84"/>
  <c r="L12" i="84"/>
  <c r="N12" i="84" s="1"/>
  <c r="F116" i="84"/>
  <c r="F83" i="84"/>
  <c r="F82" i="84"/>
  <c r="F47" i="84"/>
  <c r="F43" i="84"/>
  <c r="F90" i="84"/>
  <c r="F74" i="84"/>
  <c r="F73" i="84"/>
  <c r="F62" i="84"/>
  <c r="F61" i="84"/>
  <c r="F34" i="84"/>
  <c r="F33" i="84"/>
  <c r="F96" i="84"/>
  <c r="F89" i="84"/>
  <c r="F52" i="84"/>
  <c r="F108" i="84"/>
  <c r="F56" i="84"/>
  <c r="F45" i="84"/>
  <c r="F60" i="84"/>
  <c r="F40" i="84"/>
  <c r="F72" i="84"/>
  <c r="F80" i="84"/>
  <c r="F81" i="84"/>
  <c r="F71" i="84"/>
  <c r="F41" i="84"/>
  <c r="F49" i="84"/>
  <c r="F99" i="84"/>
  <c r="L16" i="58"/>
  <c r="D73" i="58"/>
  <c r="H67" i="59"/>
  <c r="L67" i="59" s="1"/>
  <c r="N16" i="59"/>
  <c r="H64" i="61"/>
  <c r="D71" i="59"/>
  <c r="H31" i="55"/>
  <c r="N16" i="55"/>
  <c r="F73" i="57"/>
  <c r="F60" i="57"/>
  <c r="F44" i="57"/>
  <c r="F43" i="57"/>
  <c r="F28" i="57"/>
  <c r="F24" i="57"/>
  <c r="F75" i="57"/>
  <c r="F62" i="57"/>
  <c r="F61" i="57"/>
  <c r="F54" i="57"/>
  <c r="F46" i="57"/>
  <c r="F45" i="57"/>
  <c r="F38" i="57"/>
  <c r="F34" i="57"/>
  <c r="F29" i="57"/>
  <c r="F25" i="57"/>
  <c r="F21" i="57"/>
  <c r="F20" i="57"/>
  <c r="F47" i="57"/>
  <c r="F39" i="57"/>
  <c r="F35" i="57"/>
  <c r="F31" i="57"/>
  <c r="F30" i="57"/>
  <c r="D17" i="57"/>
  <c r="F66" i="57"/>
  <c r="F65" i="57"/>
  <c r="F58" i="57"/>
  <c r="F57" i="57"/>
  <c r="F26" i="57"/>
  <c r="F22" i="57"/>
  <c r="L12" i="57"/>
  <c r="F49" i="57"/>
  <c r="F48" i="57"/>
  <c r="F69" i="57"/>
  <c r="F40" i="57"/>
  <c r="F36" i="57"/>
  <c r="F32" i="57"/>
  <c r="F71" i="57"/>
  <c r="F42" i="57"/>
  <c r="F41" i="57"/>
  <c r="F63" i="57"/>
  <c r="F50" i="57"/>
  <c r="F64" i="57"/>
  <c r="F55" i="57"/>
  <c r="F53" i="57"/>
  <c r="F15" i="57"/>
  <c r="F80" i="57"/>
  <c r="F51" i="57"/>
  <c r="F23" i="57"/>
  <c r="F19" i="57"/>
  <c r="F70" i="57"/>
  <c r="F27" i="57"/>
  <c r="F77" i="57"/>
  <c r="F56" i="57"/>
  <c r="F59" i="57"/>
  <c r="F17" i="57"/>
  <c r="F52" i="57"/>
  <c r="F33" i="57"/>
  <c r="F37" i="57"/>
  <c r="F68" i="57"/>
  <c r="T102" i="45"/>
  <c r="T124" i="36"/>
  <c r="L26" i="33"/>
  <c r="N26" i="33" s="1"/>
  <c r="D79" i="33"/>
  <c r="H108" i="27"/>
  <c r="H230" i="18"/>
  <c r="H106" i="9"/>
  <c r="T27" i="111"/>
  <c r="Z18" i="111"/>
  <c r="X18" i="111"/>
  <c r="P27" i="111"/>
  <c r="H27" i="53"/>
  <c r="N18" i="53"/>
  <c r="H27" i="37"/>
  <c r="N18" i="37"/>
  <c r="L18" i="34"/>
  <c r="D27" i="34"/>
  <c r="X18" i="31"/>
  <c r="P27" i="31"/>
  <c r="H27" i="35"/>
  <c r="N18" i="35"/>
  <c r="H27" i="28"/>
  <c r="N18" i="28"/>
  <c r="Z18" i="28"/>
  <c r="T27" i="28"/>
  <c r="H27" i="13"/>
  <c r="N18" i="13"/>
  <c r="H27" i="20"/>
  <c r="N18" i="20"/>
  <c r="T27" i="4"/>
  <c r="Z18" i="4"/>
  <c r="L18" i="16"/>
  <c r="D27" i="16"/>
  <c r="P78" i="92"/>
  <c r="X18" i="92"/>
  <c r="Z16" i="63"/>
  <c r="T96" i="63"/>
  <c r="H98" i="45"/>
  <c r="J23" i="45"/>
  <c r="H61" i="60"/>
  <c r="L16" i="108"/>
  <c r="D24" i="108"/>
  <c r="P56" i="102"/>
  <c r="X16" i="102"/>
  <c r="T91" i="97"/>
  <c r="P84" i="97"/>
  <c r="X19" i="97"/>
  <c r="R56" i="94"/>
  <c r="R55" i="94"/>
  <c r="R44" i="94"/>
  <c r="R43" i="94"/>
  <c r="R39" i="94"/>
  <c r="R35" i="94"/>
  <c r="R74" i="94"/>
  <c r="R66" i="94"/>
  <c r="R67" i="94"/>
  <c r="R48" i="94"/>
  <c r="R47" i="94"/>
  <c r="R31" i="94"/>
  <c r="R27" i="94"/>
  <c r="R80" i="94"/>
  <c r="R59" i="94"/>
  <c r="R58" i="94"/>
  <c r="R71" i="94"/>
  <c r="R70" i="94"/>
  <c r="R63" i="94"/>
  <c r="R62" i="94"/>
  <c r="R42" i="94"/>
  <c r="R36" i="94"/>
  <c r="R33" i="94"/>
  <c r="R32" i="94"/>
  <c r="R29" i="94"/>
  <c r="R45" i="94"/>
  <c r="R26" i="94"/>
  <c r="R72" i="94"/>
  <c r="R64" i="94"/>
  <c r="R49" i="94"/>
  <c r="R20" i="94"/>
  <c r="X12" i="94"/>
  <c r="R76" i="94"/>
  <c r="R53" i="94"/>
  <c r="R46" i="94"/>
  <c r="R40" i="94"/>
  <c r="R37" i="94"/>
  <c r="P20" i="94"/>
  <c r="R73" i="94"/>
  <c r="R65" i="94"/>
  <c r="R50" i="94"/>
  <c r="R34" i="94"/>
  <c r="R30" i="94"/>
  <c r="R23" i="94"/>
  <c r="R22" i="94"/>
  <c r="R24" i="94"/>
  <c r="R68" i="94"/>
  <c r="R60" i="94"/>
  <c r="R57" i="94"/>
  <c r="R54" i="94"/>
  <c r="R41" i="94"/>
  <c r="R38" i="94"/>
  <c r="R52" i="94"/>
  <c r="R69" i="94"/>
  <c r="R28" i="94"/>
  <c r="R51" i="94"/>
  <c r="R18" i="94"/>
  <c r="R61" i="94"/>
  <c r="R17" i="94"/>
  <c r="R25" i="94"/>
  <c r="P32" i="88"/>
  <c r="X16" i="88"/>
  <c r="P98" i="76"/>
  <c r="X45" i="76"/>
  <c r="N19" i="72"/>
  <c r="J19" i="72"/>
  <c r="H68" i="72"/>
  <c r="R100" i="70"/>
  <c r="R85" i="70"/>
  <c r="R84" i="70"/>
  <c r="R68" i="70"/>
  <c r="R64" i="70"/>
  <c r="R49" i="70"/>
  <c r="R33" i="70"/>
  <c r="R103" i="70"/>
  <c r="R102" i="70"/>
  <c r="R76" i="70"/>
  <c r="R75" i="70"/>
  <c r="R59" i="70"/>
  <c r="R55" i="70"/>
  <c r="R51" i="70"/>
  <c r="P47" i="70"/>
  <c r="R47" i="70" s="1"/>
  <c r="R105" i="70"/>
  <c r="R78" i="70"/>
  <c r="R77" i="70"/>
  <c r="R69" i="70"/>
  <c r="R65" i="70"/>
  <c r="R88" i="70"/>
  <c r="R61" i="70"/>
  <c r="R60" i="70"/>
  <c r="R56" i="70"/>
  <c r="R52" i="70"/>
  <c r="R96" i="70"/>
  <c r="R95" i="70"/>
  <c r="R80" i="70"/>
  <c r="R79" i="70"/>
  <c r="R43" i="70"/>
  <c r="R39" i="70"/>
  <c r="R35" i="70"/>
  <c r="R70" i="70"/>
  <c r="R66" i="70"/>
  <c r="R62" i="70"/>
  <c r="R109" i="70"/>
  <c r="R97" i="70"/>
  <c r="R90" i="70"/>
  <c r="R89" i="70"/>
  <c r="R82" i="70"/>
  <c r="R81" i="70"/>
  <c r="R57" i="70"/>
  <c r="R53" i="70"/>
  <c r="R44" i="70"/>
  <c r="R40" i="70"/>
  <c r="R36" i="70"/>
  <c r="R99" i="70"/>
  <c r="R98" i="70"/>
  <c r="R58" i="70"/>
  <c r="R54" i="70"/>
  <c r="X12" i="70"/>
  <c r="Z12" i="70" s="1"/>
  <c r="R93" i="70"/>
  <c r="R74" i="70"/>
  <c r="R73" i="70"/>
  <c r="R50" i="70"/>
  <c r="R45" i="70"/>
  <c r="R41" i="70"/>
  <c r="R37" i="70"/>
  <c r="R104" i="70"/>
  <c r="R63" i="70"/>
  <c r="R91" i="70"/>
  <c r="R34" i="70"/>
  <c r="R86" i="70"/>
  <c r="R38" i="70"/>
  <c r="R67" i="70"/>
  <c r="R42" i="70"/>
  <c r="R71" i="70"/>
  <c r="R92" i="70"/>
  <c r="R87" i="70"/>
  <c r="R94" i="70"/>
  <c r="R72" i="70"/>
  <c r="R83" i="70"/>
  <c r="P60" i="61"/>
  <c r="X16" i="61"/>
  <c r="N17" i="56"/>
  <c r="H75" i="56"/>
  <c r="T77" i="58"/>
  <c r="T70" i="48"/>
  <c r="Z17" i="48"/>
  <c r="L16" i="55"/>
  <c r="D31" i="55"/>
  <c r="R116" i="39"/>
  <c r="R115" i="39"/>
  <c r="R100" i="39"/>
  <c r="R96" i="39"/>
  <c r="R61" i="39"/>
  <c r="R60" i="39"/>
  <c r="R53" i="39"/>
  <c r="R52" i="39"/>
  <c r="R24" i="39"/>
  <c r="X12" i="39"/>
  <c r="Z12" i="39" s="1"/>
  <c r="R117" i="39"/>
  <c r="R92" i="39"/>
  <c r="R91" i="39"/>
  <c r="R79" i="39"/>
  <c r="R72" i="39"/>
  <c r="R71" i="39"/>
  <c r="R47" i="39"/>
  <c r="R43" i="39"/>
  <c r="R118" i="39"/>
  <c r="R107" i="39"/>
  <c r="R106" i="39"/>
  <c r="R86" i="39"/>
  <c r="R63" i="39"/>
  <c r="R62" i="39"/>
  <c r="R55" i="39"/>
  <c r="R54" i="39"/>
  <c r="R38" i="39"/>
  <c r="R34" i="39"/>
  <c r="R119" i="39"/>
  <c r="R101" i="39"/>
  <c r="R97" i="39"/>
  <c r="R93" i="39"/>
  <c r="R74" i="39"/>
  <c r="R73" i="39"/>
  <c r="R30" i="39"/>
  <c r="R25" i="39"/>
  <c r="R109" i="39"/>
  <c r="R108" i="39"/>
  <c r="R110" i="39"/>
  <c r="R102" i="39"/>
  <c r="R98" i="39"/>
  <c r="R94" i="39"/>
  <c r="R82" i="39"/>
  <c r="R66" i="39"/>
  <c r="R58" i="39"/>
  <c r="R123" i="39"/>
  <c r="R77" i="39"/>
  <c r="R49" i="39"/>
  <c r="R45" i="39"/>
  <c r="R41" i="39"/>
  <c r="R22" i="39"/>
  <c r="R88" i="39"/>
  <c r="R36" i="39"/>
  <c r="R32" i="39"/>
  <c r="R95" i="39"/>
  <c r="R75" i="39"/>
  <c r="R42" i="39"/>
  <c r="R68" i="39"/>
  <c r="R56" i="39"/>
  <c r="R80" i="39"/>
  <c r="R76" i="39"/>
  <c r="R99" i="39"/>
  <c r="R89" i="39"/>
  <c r="R87" i="39"/>
  <c r="R85" i="39"/>
  <c r="R78" i="39"/>
  <c r="R27" i="39"/>
  <c r="R113" i="39"/>
  <c r="R111" i="39"/>
  <c r="R105" i="39"/>
  <c r="R103" i="39"/>
  <c r="R59" i="39"/>
  <c r="P27" i="39"/>
  <c r="R83" i="39"/>
  <c r="R64" i="39"/>
  <c r="R57" i="39"/>
  <c r="R81" i="39"/>
  <c r="R69" i="39"/>
  <c r="R104" i="39"/>
  <c r="R84" i="39"/>
  <c r="R65" i="39"/>
  <c r="R29" i="39"/>
  <c r="R40" i="39"/>
  <c r="R31" i="39"/>
  <c r="R112" i="39"/>
  <c r="R44" i="39"/>
  <c r="R33" i="39"/>
  <c r="R67" i="39"/>
  <c r="R35" i="39"/>
  <c r="R48" i="39"/>
  <c r="R46" i="39"/>
  <c r="R37" i="39"/>
  <c r="R50" i="39"/>
  <c r="R39" i="39"/>
  <c r="R23" i="39"/>
  <c r="R90" i="39"/>
  <c r="R51" i="39"/>
  <c r="R70" i="39"/>
  <c r="R126" i="36"/>
  <c r="R119" i="36"/>
  <c r="R118" i="36"/>
  <c r="R120" i="36"/>
  <c r="R121" i="36"/>
  <c r="R107" i="36"/>
  <c r="R106" i="36"/>
  <c r="R102" i="36"/>
  <c r="R98" i="36"/>
  <c r="R87" i="36"/>
  <c r="R86" i="36"/>
  <c r="R71" i="36"/>
  <c r="R70" i="36"/>
  <c r="R51" i="36"/>
  <c r="R50" i="36"/>
  <c r="R46" i="36"/>
  <c r="R42" i="36"/>
  <c r="R114" i="36"/>
  <c r="R81" i="36"/>
  <c r="R37" i="36"/>
  <c r="R33" i="36"/>
  <c r="R108" i="36"/>
  <c r="R93" i="36"/>
  <c r="R92" i="36"/>
  <c r="R88" i="36"/>
  <c r="R73" i="36"/>
  <c r="R72" i="36"/>
  <c r="R61" i="36"/>
  <c r="R60" i="36"/>
  <c r="R53" i="36"/>
  <c r="R52" i="36"/>
  <c r="R29" i="36"/>
  <c r="R24" i="36"/>
  <c r="R115" i="36"/>
  <c r="R103" i="36"/>
  <c r="R99" i="36"/>
  <c r="R47" i="36"/>
  <c r="R43" i="36"/>
  <c r="R28" i="36"/>
  <c r="R26" i="36"/>
  <c r="R95" i="36"/>
  <c r="R94" i="36"/>
  <c r="R82" i="36"/>
  <c r="R75" i="36"/>
  <c r="R74" i="36"/>
  <c r="R63" i="36"/>
  <c r="R62" i="36"/>
  <c r="R55" i="36"/>
  <c r="R54" i="36"/>
  <c r="R38" i="36"/>
  <c r="R34" i="36"/>
  <c r="R30" i="36"/>
  <c r="P26" i="36"/>
  <c r="X12" i="36"/>
  <c r="Z12" i="36" s="1"/>
  <c r="R110" i="36"/>
  <c r="R109" i="36"/>
  <c r="R89" i="36"/>
  <c r="R104" i="36"/>
  <c r="R100" i="36"/>
  <c r="R96" i="36"/>
  <c r="R77" i="36"/>
  <c r="R76" i="36"/>
  <c r="R65" i="36"/>
  <c r="R64" i="36"/>
  <c r="R57" i="36"/>
  <c r="R56" i="36"/>
  <c r="R48" i="36"/>
  <c r="R44" i="36"/>
  <c r="R21" i="36"/>
  <c r="R112" i="36"/>
  <c r="R111" i="36"/>
  <c r="R84" i="36"/>
  <c r="R83" i="36"/>
  <c r="R40" i="36"/>
  <c r="R39" i="36"/>
  <c r="R35" i="36"/>
  <c r="R31" i="36"/>
  <c r="R80" i="36"/>
  <c r="R69" i="36"/>
  <c r="R68" i="36"/>
  <c r="R36" i="36"/>
  <c r="R32" i="36"/>
  <c r="R22" i="36"/>
  <c r="R113" i="36"/>
  <c r="R101" i="36"/>
  <c r="R90" i="36"/>
  <c r="R78" i="36"/>
  <c r="R41" i="36"/>
  <c r="R49" i="36"/>
  <c r="R45" i="36"/>
  <c r="R105" i="36"/>
  <c r="R66" i="36"/>
  <c r="R122" i="36"/>
  <c r="R79" i="36"/>
  <c r="R58" i="36"/>
  <c r="R23" i="36"/>
  <c r="R91" i="36"/>
  <c r="R116" i="36"/>
  <c r="R67" i="36"/>
  <c r="R59" i="36"/>
  <c r="R97" i="36"/>
  <c r="R85" i="36"/>
  <c r="F88" i="39"/>
  <c r="F36" i="39"/>
  <c r="F32" i="39"/>
  <c r="F111" i="39"/>
  <c r="F103" i="39"/>
  <c r="F99" i="39"/>
  <c r="F95" i="39"/>
  <c r="F83" i="39"/>
  <c r="F67" i="39"/>
  <c r="F59" i="39"/>
  <c r="F23" i="39"/>
  <c r="F22" i="39"/>
  <c r="F78" i="39"/>
  <c r="F50" i="39"/>
  <c r="F46" i="39"/>
  <c r="F42" i="39"/>
  <c r="F113" i="39"/>
  <c r="F112" i="39"/>
  <c r="F105" i="39"/>
  <c r="F104" i="39"/>
  <c r="F89" i="39"/>
  <c r="F85" i="39"/>
  <c r="F84" i="39"/>
  <c r="F69" i="39"/>
  <c r="F68" i="39"/>
  <c r="F37" i="39"/>
  <c r="F33" i="39"/>
  <c r="F100" i="39"/>
  <c r="F96" i="39"/>
  <c r="F116" i="39"/>
  <c r="F117" i="39"/>
  <c r="F115" i="39"/>
  <c r="F106" i="39"/>
  <c r="F86" i="39"/>
  <c r="F62" i="39"/>
  <c r="F61" i="39"/>
  <c r="F54" i="39"/>
  <c r="F53" i="39"/>
  <c r="F38" i="39"/>
  <c r="F34" i="39"/>
  <c r="F118" i="39"/>
  <c r="F101" i="39"/>
  <c r="F97" i="39"/>
  <c r="F93" i="39"/>
  <c r="F92" i="39"/>
  <c r="F73" i="39"/>
  <c r="F72" i="39"/>
  <c r="F25" i="39"/>
  <c r="F119" i="39"/>
  <c r="F108" i="39"/>
  <c r="F107" i="39"/>
  <c r="F80" i="39"/>
  <c r="F64" i="39"/>
  <c r="F63" i="39"/>
  <c r="F56" i="39"/>
  <c r="F55" i="39"/>
  <c r="F48" i="39"/>
  <c r="F44" i="39"/>
  <c r="F98" i="39"/>
  <c r="F79" i="39"/>
  <c r="F77" i="39"/>
  <c r="F102" i="39"/>
  <c r="F65" i="39"/>
  <c r="F60" i="39"/>
  <c r="F29" i="39"/>
  <c r="F70" i="39"/>
  <c r="F51" i="39"/>
  <c r="F110" i="39"/>
  <c r="F75" i="39"/>
  <c r="F58" i="39"/>
  <c r="F40" i="39"/>
  <c r="F91" i="39"/>
  <c r="F82" i="39"/>
  <c r="L12" i="39"/>
  <c r="N12" i="39" s="1"/>
  <c r="F49" i="39"/>
  <c r="F47" i="39"/>
  <c r="F30" i="39"/>
  <c r="F123" i="39"/>
  <c r="F87" i="39"/>
  <c r="F76" i="39"/>
  <c r="F71" i="39"/>
  <c r="F66" i="39"/>
  <c r="F45" i="39"/>
  <c r="F24" i="39"/>
  <c r="F81" i="39"/>
  <c r="F74" i="39"/>
  <c r="F43" i="39"/>
  <c r="F94" i="39"/>
  <c r="F90" i="39"/>
  <c r="F57" i="39"/>
  <c r="F31" i="39"/>
  <c r="D27" i="39"/>
  <c r="F27" i="39" s="1"/>
  <c r="F52" i="39"/>
  <c r="F35" i="39"/>
  <c r="F39" i="39"/>
  <c r="F41" i="39"/>
  <c r="F109" i="39"/>
  <c r="D124" i="36"/>
  <c r="L26" i="36"/>
  <c r="F26" i="36"/>
  <c r="R204" i="15"/>
  <c r="R172" i="15"/>
  <c r="R161" i="15"/>
  <c r="R160" i="15"/>
  <c r="R112" i="15"/>
  <c r="R108" i="15"/>
  <c r="R205" i="15"/>
  <c r="R195" i="15"/>
  <c r="R187" i="15"/>
  <c r="R183" i="15"/>
  <c r="R167" i="15"/>
  <c r="R151" i="15"/>
  <c r="R144" i="15"/>
  <c r="R143" i="15"/>
  <c r="R135" i="15"/>
  <c r="R99" i="15"/>
  <c r="R95" i="15"/>
  <c r="R91" i="15"/>
  <c r="R87" i="15"/>
  <c r="R83" i="15"/>
  <c r="R79" i="15"/>
  <c r="R75" i="15"/>
  <c r="R179" i="15"/>
  <c r="R178" i="15"/>
  <c r="R162" i="15"/>
  <c r="R127" i="15"/>
  <c r="R126" i="15"/>
  <c r="R122" i="15"/>
  <c r="R118" i="15"/>
  <c r="R173" i="15"/>
  <c r="R146" i="15"/>
  <c r="R145" i="15"/>
  <c r="R113" i="15"/>
  <c r="R109" i="15"/>
  <c r="R196" i="15"/>
  <c r="R189" i="15"/>
  <c r="R188" i="15"/>
  <c r="R184" i="15"/>
  <c r="R180" i="15"/>
  <c r="R168" i="15"/>
  <c r="R153" i="15"/>
  <c r="R152" i="15"/>
  <c r="R137" i="15"/>
  <c r="R136" i="15"/>
  <c r="R129" i="15"/>
  <c r="R128" i="15"/>
  <c r="R105" i="15"/>
  <c r="R100" i="15"/>
  <c r="R96" i="15"/>
  <c r="R92" i="15"/>
  <c r="R88" i="15"/>
  <c r="R84" i="15"/>
  <c r="R80" i="15"/>
  <c r="R76" i="15"/>
  <c r="R209" i="15"/>
  <c r="R163" i="15"/>
  <c r="R147" i="15"/>
  <c r="R123" i="15"/>
  <c r="R119" i="15"/>
  <c r="R190" i="15"/>
  <c r="R174" i="15"/>
  <c r="R155" i="15"/>
  <c r="R154" i="15"/>
  <c r="R139" i="15"/>
  <c r="R138" i="15"/>
  <c r="R130" i="15"/>
  <c r="R114" i="15"/>
  <c r="R110" i="15"/>
  <c r="R106" i="15"/>
  <c r="P102" i="15"/>
  <c r="R198" i="15"/>
  <c r="R197" i="15"/>
  <c r="R185" i="15"/>
  <c r="R181" i="15"/>
  <c r="R169" i="15"/>
  <c r="R97" i="15"/>
  <c r="R93" i="15"/>
  <c r="R89" i="15"/>
  <c r="R85" i="15"/>
  <c r="R81" i="15"/>
  <c r="R77" i="15"/>
  <c r="R164" i="15"/>
  <c r="R157" i="15"/>
  <c r="R156" i="15"/>
  <c r="R149" i="15"/>
  <c r="R148" i="15"/>
  <c r="R140" i="15"/>
  <c r="R124" i="15"/>
  <c r="R120" i="15"/>
  <c r="X12" i="15"/>
  <c r="Z12" i="15" s="1"/>
  <c r="R201" i="15"/>
  <c r="R175" i="15"/>
  <c r="R166" i="15"/>
  <c r="R116" i="15"/>
  <c r="R78" i="15"/>
  <c r="R74" i="15"/>
  <c r="R158" i="15"/>
  <c r="R142" i="15"/>
  <c r="R104" i="15"/>
  <c r="R203" i="15"/>
  <c r="R98" i="15"/>
  <c r="R176" i="15"/>
  <c r="R170" i="15"/>
  <c r="R94" i="15"/>
  <c r="R193" i="15"/>
  <c r="R182" i="15"/>
  <c r="R199" i="15"/>
  <c r="R191" i="15"/>
  <c r="R159" i="15"/>
  <c r="R133" i="15"/>
  <c r="R90" i="15"/>
  <c r="R202" i="15"/>
  <c r="R165" i="15"/>
  <c r="R117" i="15"/>
  <c r="R111" i="15"/>
  <c r="R107" i="15"/>
  <c r="R102" i="15"/>
  <c r="R186" i="15"/>
  <c r="R141" i="15"/>
  <c r="R131" i="15"/>
  <c r="R121" i="15"/>
  <c r="R115" i="15"/>
  <c r="R86" i="15"/>
  <c r="R194" i="15"/>
  <c r="R192" i="15"/>
  <c r="R177" i="15"/>
  <c r="R82" i="15"/>
  <c r="R171" i="15"/>
  <c r="R134" i="15"/>
  <c r="R125" i="15"/>
  <c r="R150" i="15"/>
  <c r="R132" i="15"/>
  <c r="T99" i="21"/>
  <c r="T234" i="18"/>
  <c r="H248" i="3"/>
  <c r="R152" i="30"/>
  <c r="D27" i="46"/>
  <c r="L18" i="46"/>
  <c r="X18" i="53"/>
  <c r="P27" i="53"/>
  <c r="P27" i="46"/>
  <c r="X18" i="46"/>
  <c r="L18" i="47"/>
  <c r="D27" i="47"/>
  <c r="T27" i="43"/>
  <c r="Z18" i="43"/>
  <c r="L18" i="25"/>
  <c r="D27" i="25"/>
  <c r="T27" i="25"/>
  <c r="Z18" i="25"/>
  <c r="H27" i="19"/>
  <c r="N18" i="19"/>
  <c r="T27" i="17"/>
  <c r="Z18" i="17"/>
  <c r="Z18" i="14"/>
  <c r="T27" i="14"/>
  <c r="T27" i="10"/>
  <c r="Z18" i="10"/>
  <c r="T114" i="84"/>
  <c r="T81" i="79"/>
  <c r="X18" i="41"/>
  <c r="P27" i="41"/>
  <c r="T27" i="29"/>
  <c r="Z18" i="29"/>
  <c r="J17" i="109"/>
  <c r="P92" i="105"/>
  <c r="X23" i="105"/>
  <c r="P36" i="101"/>
  <c r="X16" i="101"/>
  <c r="H114" i="84"/>
  <c r="F42" i="82"/>
  <c r="F33" i="82"/>
  <c r="F29" i="82"/>
  <c r="F20" i="82"/>
  <c r="F47" i="82"/>
  <c r="F39" i="82"/>
  <c r="F34" i="82"/>
  <c r="F30" i="82"/>
  <c r="F43" i="82"/>
  <c r="F21" i="82"/>
  <c r="F51" i="82"/>
  <c r="F40" i="82"/>
  <c r="F36" i="82"/>
  <c r="F35" i="82"/>
  <c r="F31" i="82"/>
  <c r="F27" i="82"/>
  <c r="F26" i="82"/>
  <c r="F44" i="82"/>
  <c r="F25" i="82"/>
  <c r="F23" i="82"/>
  <c r="F45" i="82"/>
  <c r="F19" i="82"/>
  <c r="F18" i="82"/>
  <c r="F38" i="82"/>
  <c r="F32" i="82"/>
  <c r="F28" i="82"/>
  <c r="L12" i="82"/>
  <c r="N12" i="82" s="1"/>
  <c r="F37" i="82"/>
  <c r="F41" i="82"/>
  <c r="D23" i="82"/>
  <c r="T87" i="83"/>
  <c r="X23" i="82"/>
  <c r="P49" i="82"/>
  <c r="T68" i="72"/>
  <c r="F60" i="80"/>
  <c r="F70" i="80"/>
  <c r="F68" i="80"/>
  <c r="F43" i="80"/>
  <c r="F42" i="80"/>
  <c r="F72" i="80"/>
  <c r="F54" i="80"/>
  <c r="F38" i="80"/>
  <c r="F34" i="80"/>
  <c r="F61" i="80"/>
  <c r="F45" i="80"/>
  <c r="F44" i="80"/>
  <c r="F29" i="80"/>
  <c r="F25" i="80"/>
  <c r="F56" i="80"/>
  <c r="F55" i="80"/>
  <c r="F16" i="80"/>
  <c r="F15" i="80"/>
  <c r="F62" i="80"/>
  <c r="F30" i="80"/>
  <c r="F26" i="80"/>
  <c r="L12" i="80"/>
  <c r="F59" i="80"/>
  <c r="F58" i="80"/>
  <c r="F51" i="80"/>
  <c r="F50" i="80"/>
  <c r="F27" i="80"/>
  <c r="F23" i="80"/>
  <c r="F22" i="80"/>
  <c r="F66" i="80"/>
  <c r="F65" i="80"/>
  <c r="F21" i="80"/>
  <c r="F19" i="80"/>
  <c r="F53" i="80"/>
  <c r="F47" i="80"/>
  <c r="F39" i="80"/>
  <c r="F37" i="80"/>
  <c r="F63" i="80"/>
  <c r="F35" i="80"/>
  <c r="F33" i="80"/>
  <c r="D19" i="80"/>
  <c r="F24" i="80"/>
  <c r="F77" i="80"/>
  <c r="F48" i="80"/>
  <c r="F40" i="80"/>
  <c r="F64" i="80"/>
  <c r="F31" i="80"/>
  <c r="F32" i="80"/>
  <c r="F17" i="80"/>
  <c r="F57" i="80"/>
  <c r="F52" i="80"/>
  <c r="F49" i="80"/>
  <c r="F46" i="80"/>
  <c r="F41" i="80"/>
  <c r="F74" i="80"/>
  <c r="F36" i="80"/>
  <c r="F28" i="80"/>
  <c r="P96" i="63"/>
  <c r="X16" i="63"/>
  <c r="X16" i="54"/>
  <c r="P22" i="54"/>
  <c r="R106" i="42"/>
  <c r="R98" i="42"/>
  <c r="R94" i="42"/>
  <c r="R90" i="42"/>
  <c r="R119" i="42"/>
  <c r="R73" i="42"/>
  <c r="R62" i="42"/>
  <c r="R61" i="42"/>
  <c r="R54" i="42"/>
  <c r="R53" i="42"/>
  <c r="R45" i="42"/>
  <c r="R41" i="42"/>
  <c r="R26" i="42"/>
  <c r="R24" i="42"/>
  <c r="R84" i="42"/>
  <c r="R109" i="42"/>
  <c r="R101" i="42"/>
  <c r="R86" i="42"/>
  <c r="R85" i="42"/>
  <c r="R81" i="42"/>
  <c r="R66" i="42"/>
  <c r="R65" i="42"/>
  <c r="R112" i="42"/>
  <c r="R111" i="42"/>
  <c r="R96" i="42"/>
  <c r="R92" i="42"/>
  <c r="R115" i="42"/>
  <c r="R97" i="42"/>
  <c r="R93" i="42"/>
  <c r="R89" i="42"/>
  <c r="R70" i="42"/>
  <c r="R69" i="42"/>
  <c r="R58" i="42"/>
  <c r="R57" i="42"/>
  <c r="R50" i="42"/>
  <c r="R49" i="42"/>
  <c r="R21" i="42"/>
  <c r="R104" i="42"/>
  <c r="R83" i="42"/>
  <c r="R76" i="42"/>
  <c r="R48" i="42"/>
  <c r="R102" i="42"/>
  <c r="X12" i="42"/>
  <c r="Z12" i="42" s="1"/>
  <c r="R114" i="42"/>
  <c r="R107" i="42"/>
  <c r="R77" i="42"/>
  <c r="R34" i="42"/>
  <c r="R31" i="42"/>
  <c r="R28" i="42"/>
  <c r="R42" i="42"/>
  <c r="R39" i="42"/>
  <c r="R78" i="42"/>
  <c r="R105" i="42"/>
  <c r="R103" i="42"/>
  <c r="R87" i="42"/>
  <c r="R74" i="42"/>
  <c r="R55" i="42"/>
  <c r="R35" i="42"/>
  <c r="R32" i="42"/>
  <c r="R108" i="42"/>
  <c r="R99" i="42"/>
  <c r="R88" i="42"/>
  <c r="R82" i="42"/>
  <c r="R79" i="42"/>
  <c r="R71" i="42"/>
  <c r="R67" i="42"/>
  <c r="R63" i="42"/>
  <c r="R59" i="42"/>
  <c r="R46" i="42"/>
  <c r="R43" i="42"/>
  <c r="R40" i="42"/>
  <c r="R29" i="42"/>
  <c r="R22" i="42"/>
  <c r="R19" i="42"/>
  <c r="R113" i="42"/>
  <c r="R95" i="42"/>
  <c r="R75" i="42"/>
  <c r="R51" i="42"/>
  <c r="R36" i="42"/>
  <c r="R72" i="42"/>
  <c r="R56" i="42"/>
  <c r="R20" i="42"/>
  <c r="R47" i="42"/>
  <c r="R30" i="42"/>
  <c r="R68" i="42"/>
  <c r="R52" i="42"/>
  <c r="R37" i="42"/>
  <c r="R80" i="42"/>
  <c r="P24" i="42"/>
  <c r="R64" i="42"/>
  <c r="R27" i="42"/>
  <c r="R33" i="42"/>
  <c r="R91" i="42"/>
  <c r="R60" i="42"/>
  <c r="R100" i="42"/>
  <c r="R44" i="42"/>
  <c r="R38" i="42"/>
  <c r="D70" i="48"/>
  <c r="L17" i="48"/>
  <c r="D22" i="6"/>
  <c r="L16" i="6"/>
  <c r="D106" i="9"/>
  <c r="L102" i="9"/>
  <c r="N102" i="9" s="1"/>
  <c r="R239" i="3"/>
  <c r="X18" i="50"/>
  <c r="P27" i="50"/>
  <c r="H27" i="43"/>
  <c r="N18" i="43"/>
  <c r="H27" i="40"/>
  <c r="N18" i="40"/>
  <c r="T27" i="38"/>
  <c r="Z18" i="38"/>
  <c r="T27" i="41"/>
  <c r="Z18" i="41"/>
  <c r="D27" i="32"/>
  <c r="L18" i="32"/>
  <c r="T27" i="31"/>
  <c r="Z18" i="31"/>
  <c r="X18" i="29"/>
  <c r="P27" i="29"/>
  <c r="X18" i="19"/>
  <c r="P27" i="19"/>
  <c r="L18" i="29"/>
  <c r="D27" i="29"/>
  <c r="T27" i="16"/>
  <c r="Z18" i="16"/>
  <c r="X18" i="10"/>
  <c r="P27" i="10"/>
  <c r="Z18" i="13"/>
  <c r="T27" i="13"/>
  <c r="N17" i="109"/>
  <c r="H70" i="109"/>
  <c r="X16" i="89"/>
  <c r="P22" i="89"/>
  <c r="N19" i="87"/>
  <c r="H86" i="87"/>
  <c r="D32" i="88"/>
  <c r="L16" i="88"/>
  <c r="H70" i="80"/>
  <c r="N19" i="80"/>
  <c r="V77" i="79"/>
  <c r="X19" i="72"/>
  <c r="Z19" i="72" s="1"/>
  <c r="P68" i="72"/>
  <c r="H139" i="74"/>
  <c r="T107" i="70"/>
  <c r="T71" i="59"/>
  <c r="P73" i="57"/>
  <c r="X17" i="57"/>
  <c r="T75" i="56"/>
  <c r="Z17" i="56"/>
  <c r="T125" i="39"/>
  <c r="T121" i="42"/>
  <c r="V117" i="42"/>
  <c r="H161" i="30"/>
  <c r="J157" i="30"/>
  <c r="F244" i="3"/>
  <c r="F211" i="3"/>
  <c r="F207" i="3"/>
  <c r="F206" i="3"/>
  <c r="F195" i="3"/>
  <c r="F194" i="3"/>
  <c r="F183" i="3"/>
  <c r="F167" i="3"/>
  <c r="F134" i="3"/>
  <c r="F132" i="3"/>
  <c r="F127" i="3"/>
  <c r="F123" i="3"/>
  <c r="F119" i="3"/>
  <c r="F115" i="3"/>
  <c r="F111" i="3"/>
  <c r="F107" i="3"/>
  <c r="F103" i="3"/>
  <c r="F245" i="3"/>
  <c r="F234" i="3"/>
  <c r="F226" i="3"/>
  <c r="F222" i="3"/>
  <c r="F218" i="3"/>
  <c r="F202" i="3"/>
  <c r="F201" i="3"/>
  <c r="F178" i="3"/>
  <c r="F177" i="3"/>
  <c r="F154" i="3"/>
  <c r="F150" i="3"/>
  <c r="D132" i="3"/>
  <c r="F246" i="3"/>
  <c r="F213" i="3"/>
  <c r="F212" i="3"/>
  <c r="F197" i="3"/>
  <c r="F196" i="3"/>
  <c r="F185" i="3"/>
  <c r="F184" i="3"/>
  <c r="F169" i="3"/>
  <c r="F168" i="3"/>
  <c r="F161" i="3"/>
  <c r="F228" i="3"/>
  <c r="F227" i="3"/>
  <c r="F208" i="3"/>
  <c r="F128" i="3"/>
  <c r="F124" i="3"/>
  <c r="F120" i="3"/>
  <c r="F116" i="3"/>
  <c r="F112" i="3"/>
  <c r="F108" i="3"/>
  <c r="F104" i="3"/>
  <c r="F100" i="3"/>
  <c r="F96" i="3"/>
  <c r="F235" i="3"/>
  <c r="F223" i="3"/>
  <c r="F219" i="3"/>
  <c r="F203" i="3"/>
  <c r="F187" i="3"/>
  <c r="F186" i="3"/>
  <c r="F179" i="3"/>
  <c r="F171" i="3"/>
  <c r="F170" i="3"/>
  <c r="F163" i="3"/>
  <c r="F162" i="3"/>
  <c r="F155" i="3"/>
  <c r="F151" i="3"/>
  <c r="F147" i="3"/>
  <c r="F146" i="3"/>
  <c r="F224" i="3"/>
  <c r="F220" i="3"/>
  <c r="F216" i="3"/>
  <c r="F215" i="3"/>
  <c r="F204" i="3"/>
  <c r="F172" i="3"/>
  <c r="F156" i="3"/>
  <c r="F152" i="3"/>
  <c r="F148" i="3"/>
  <c r="F242" i="3"/>
  <c r="F233" i="3"/>
  <c r="F232" i="3"/>
  <c r="F225" i="3"/>
  <c r="F221" i="3"/>
  <c r="F217" i="3"/>
  <c r="F205" i="3"/>
  <c r="F193" i="3"/>
  <c r="F192" i="3"/>
  <c r="F153" i="3"/>
  <c r="F149" i="3"/>
  <c r="F210" i="3"/>
  <c r="F176" i="3"/>
  <c r="F138" i="3"/>
  <c r="F136" i="3"/>
  <c r="F106" i="3"/>
  <c r="F173" i="3"/>
  <c r="F166" i="3"/>
  <c r="F142" i="3"/>
  <c r="F99" i="3"/>
  <c r="F157" i="3"/>
  <c r="F121" i="3"/>
  <c r="F113" i="3"/>
  <c r="F165" i="3"/>
  <c r="F130" i="3"/>
  <c r="F240" i="3"/>
  <c r="F230" i="3"/>
  <c r="F188" i="3"/>
  <c r="F144" i="3"/>
  <c r="F140" i="3"/>
  <c r="F126" i="3"/>
  <c r="F118" i="3"/>
  <c r="F110" i="3"/>
  <c r="F102" i="3"/>
  <c r="F198" i="3"/>
  <c r="F191" i="3"/>
  <c r="F181" i="3"/>
  <c r="F164" i="3"/>
  <c r="F160" i="3"/>
  <c r="F237" i="3"/>
  <c r="F175" i="3"/>
  <c r="F98" i="3"/>
  <c r="F129" i="3"/>
  <c r="F105" i="3"/>
  <c r="F250" i="3"/>
  <c r="F200" i="3"/>
  <c r="F174" i="3"/>
  <c r="F97" i="3"/>
  <c r="F94" i="3"/>
  <c r="F243" i="3"/>
  <c r="F241" i="3"/>
  <c r="F231" i="3"/>
  <c r="F137" i="3"/>
  <c r="F141" i="3"/>
  <c r="F95" i="3"/>
  <c r="L12" i="3"/>
  <c r="N12" i="3" s="1"/>
  <c r="F254" i="3"/>
  <c r="F214" i="3"/>
  <c r="F209" i="3"/>
  <c r="F189" i="3"/>
  <c r="F143" i="3"/>
  <c r="F139" i="3"/>
  <c r="F182" i="3"/>
  <c r="F158" i="3"/>
  <c r="F145" i="3"/>
  <c r="F114" i="3"/>
  <c r="F239" i="3"/>
  <c r="F229" i="3"/>
  <c r="F199" i="3"/>
  <c r="F180" i="3"/>
  <c r="F125" i="3"/>
  <c r="F117" i="3"/>
  <c r="F109" i="3"/>
  <c r="F101" i="3"/>
  <c r="F255" i="3"/>
  <c r="F236" i="3"/>
  <c r="F190" i="3"/>
  <c r="F159" i="3"/>
  <c r="F122" i="3"/>
  <c r="F135" i="3"/>
  <c r="D214" i="12"/>
  <c r="L106" i="12"/>
  <c r="X18" i="110"/>
  <c r="P27" i="110"/>
  <c r="H27" i="112"/>
  <c r="N18" i="112"/>
  <c r="X18" i="49"/>
  <c r="P27" i="49"/>
  <c r="T27" i="50"/>
  <c r="Z18" i="50"/>
  <c r="X18" i="38"/>
  <c r="P27" i="38"/>
  <c r="T27" i="40"/>
  <c r="Z18" i="40"/>
  <c r="L18" i="35"/>
  <c r="D27" i="35"/>
  <c r="P27" i="35"/>
  <c r="X18" i="35"/>
  <c r="L18" i="26"/>
  <c r="D27" i="26"/>
  <c r="L18" i="23"/>
  <c r="D27" i="23"/>
  <c r="X18" i="11"/>
  <c r="P27" i="11"/>
  <c r="P27" i="22"/>
  <c r="X18" i="22"/>
  <c r="D27" i="4"/>
  <c r="L18" i="4"/>
  <c r="D27" i="5"/>
  <c r="L18" i="5"/>
  <c r="L18" i="8"/>
  <c r="D27" i="8"/>
  <c r="T83" i="75"/>
  <c r="D77" i="79"/>
  <c r="L21" i="79"/>
  <c r="H27" i="29"/>
  <c r="N18" i="29"/>
  <c r="H27" i="17"/>
  <c r="N18" i="17"/>
  <c r="R32" i="24"/>
  <c r="X16" i="104"/>
  <c r="P24" i="104"/>
  <c r="T88" i="103"/>
  <c r="H86" i="107"/>
  <c r="N19" i="107"/>
  <c r="J19" i="107"/>
  <c r="P88" i="103"/>
  <c r="X23" i="103"/>
  <c r="Z23" i="103" s="1"/>
  <c r="T78" i="92"/>
  <c r="Z18" i="92"/>
  <c r="X19" i="93"/>
  <c r="P77" i="93"/>
  <c r="D82" i="92"/>
  <c r="P22" i="90"/>
  <c r="X16" i="90"/>
  <c r="D26" i="90"/>
  <c r="J83" i="83"/>
  <c r="H87" i="83"/>
  <c r="H98" i="76"/>
  <c r="L19" i="72"/>
  <c r="D68" i="72"/>
  <c r="D70" i="69"/>
  <c r="T64" i="61"/>
  <c r="P75" i="56"/>
  <c r="X17" i="56"/>
  <c r="R79" i="51"/>
  <c r="R87" i="51"/>
  <c r="R81" i="51"/>
  <c r="R80" i="51"/>
  <c r="R76" i="51"/>
  <c r="R42" i="51"/>
  <c r="R38" i="51"/>
  <c r="R34" i="51"/>
  <c r="R70" i="51"/>
  <c r="R69" i="51"/>
  <c r="R65" i="51"/>
  <c r="R61" i="51"/>
  <c r="R94" i="51"/>
  <c r="R88" i="51"/>
  <c r="R56" i="51"/>
  <c r="R52" i="51"/>
  <c r="R82" i="51"/>
  <c r="R77" i="51"/>
  <c r="R72" i="51"/>
  <c r="R71" i="51"/>
  <c r="R48" i="51"/>
  <c r="R43" i="51"/>
  <c r="R39" i="51"/>
  <c r="R35" i="51"/>
  <c r="R95" i="51"/>
  <c r="R83" i="51"/>
  <c r="R66" i="51"/>
  <c r="R62" i="51"/>
  <c r="R47" i="51"/>
  <c r="R45" i="51"/>
  <c r="R100" i="51"/>
  <c r="R89" i="51"/>
  <c r="R78" i="51"/>
  <c r="R57" i="51"/>
  <c r="R53" i="51"/>
  <c r="R49" i="51"/>
  <c r="P45" i="51"/>
  <c r="R96" i="51"/>
  <c r="R84" i="51"/>
  <c r="R73" i="51"/>
  <c r="R40" i="51"/>
  <c r="R85" i="51"/>
  <c r="R74" i="51"/>
  <c r="R67" i="51"/>
  <c r="R63" i="51"/>
  <c r="R32" i="51"/>
  <c r="R90" i="51"/>
  <c r="R59" i="51"/>
  <c r="R58" i="51"/>
  <c r="R54" i="51"/>
  <c r="R50" i="51"/>
  <c r="R91" i="51"/>
  <c r="R41" i="51"/>
  <c r="R37" i="51"/>
  <c r="R33" i="51"/>
  <c r="R51" i="51"/>
  <c r="R55" i="51"/>
  <c r="X12" i="51"/>
  <c r="Z12" i="51" s="1"/>
  <c r="R75" i="51"/>
  <c r="R64" i="51"/>
  <c r="R60" i="51"/>
  <c r="R92" i="51"/>
  <c r="R68" i="51"/>
  <c r="R36" i="51"/>
  <c r="R86" i="51"/>
  <c r="F75" i="51"/>
  <c r="F74" i="51"/>
  <c r="F79" i="51"/>
  <c r="F78" i="51"/>
  <c r="F90" i="51"/>
  <c r="F58" i="51"/>
  <c r="F54" i="51"/>
  <c r="F50" i="51"/>
  <c r="F85" i="51"/>
  <c r="F41" i="51"/>
  <c r="F37" i="51"/>
  <c r="F33" i="51"/>
  <c r="F32" i="51"/>
  <c r="F86" i="51"/>
  <c r="F68" i="51"/>
  <c r="F64" i="51"/>
  <c r="F60" i="51"/>
  <c r="F59" i="51"/>
  <c r="L12" i="51"/>
  <c r="N12" i="51" s="1"/>
  <c r="F92" i="51"/>
  <c r="F91" i="51"/>
  <c r="F55" i="51"/>
  <c r="F51" i="51"/>
  <c r="F80" i="51"/>
  <c r="F42" i="51"/>
  <c r="F38" i="51"/>
  <c r="F34" i="51"/>
  <c r="F87" i="51"/>
  <c r="F76" i="51"/>
  <c r="F69" i="51"/>
  <c r="F65" i="51"/>
  <c r="F61" i="51"/>
  <c r="F88" i="51"/>
  <c r="F81" i="51"/>
  <c r="F56" i="51"/>
  <c r="F52" i="51"/>
  <c r="F94" i="51"/>
  <c r="F82" i="51"/>
  <c r="F77" i="51"/>
  <c r="F71" i="51"/>
  <c r="F70" i="51"/>
  <c r="F43" i="51"/>
  <c r="F39" i="51"/>
  <c r="F35" i="51"/>
  <c r="F100" i="51"/>
  <c r="F95" i="51"/>
  <c r="F66" i="51"/>
  <c r="F62" i="51"/>
  <c r="F89" i="51"/>
  <c r="F72" i="51"/>
  <c r="F57" i="51"/>
  <c r="F53" i="51"/>
  <c r="F49" i="51"/>
  <c r="F48" i="51"/>
  <c r="F47" i="51"/>
  <c r="F40" i="51"/>
  <c r="F36" i="51"/>
  <c r="F45" i="51"/>
  <c r="D45" i="51"/>
  <c r="F83" i="51"/>
  <c r="F73" i="51"/>
  <c r="F63" i="51"/>
  <c r="F84" i="51"/>
  <c r="F67" i="51"/>
  <c r="F96" i="51"/>
  <c r="F152" i="30"/>
  <c r="R94" i="27"/>
  <c r="R75" i="27"/>
  <c r="R74" i="27"/>
  <c r="R51" i="27"/>
  <c r="R46" i="27"/>
  <c r="R42" i="27"/>
  <c r="R38" i="27"/>
  <c r="R101" i="27"/>
  <c r="R86" i="27"/>
  <c r="R85" i="27"/>
  <c r="R69" i="27"/>
  <c r="R65" i="27"/>
  <c r="R50" i="27"/>
  <c r="R48" i="27"/>
  <c r="R34" i="27"/>
  <c r="R104" i="27"/>
  <c r="R103" i="27"/>
  <c r="R77" i="27"/>
  <c r="R76" i="27"/>
  <c r="R60" i="27"/>
  <c r="R56" i="27"/>
  <c r="R52" i="27"/>
  <c r="P48" i="27"/>
  <c r="R105" i="27"/>
  <c r="R95" i="27"/>
  <c r="R88" i="27"/>
  <c r="R87" i="27"/>
  <c r="R43" i="27"/>
  <c r="R39" i="27"/>
  <c r="R35" i="27"/>
  <c r="R106" i="27"/>
  <c r="R79" i="27"/>
  <c r="R78" i="27"/>
  <c r="R70" i="27"/>
  <c r="R66" i="27"/>
  <c r="R97" i="27"/>
  <c r="R96" i="27"/>
  <c r="R81" i="27"/>
  <c r="R80" i="27"/>
  <c r="R44" i="27"/>
  <c r="R40" i="27"/>
  <c r="R36" i="27"/>
  <c r="R71" i="27"/>
  <c r="R67" i="27"/>
  <c r="R63" i="27"/>
  <c r="R110" i="27"/>
  <c r="R98" i="27"/>
  <c r="R91" i="27"/>
  <c r="R90" i="27"/>
  <c r="R83" i="27"/>
  <c r="R82" i="27"/>
  <c r="R58" i="27"/>
  <c r="R54" i="27"/>
  <c r="R92" i="27"/>
  <c r="R68" i="27"/>
  <c r="R100" i="27"/>
  <c r="R37" i="27"/>
  <c r="R73" i="27"/>
  <c r="R93" i="27"/>
  <c r="R53" i="27"/>
  <c r="R84" i="27"/>
  <c r="R61" i="27"/>
  <c r="R59" i="27"/>
  <c r="R57" i="27"/>
  <c r="R55" i="27"/>
  <c r="X12" i="27"/>
  <c r="Z12" i="27" s="1"/>
  <c r="R64" i="27"/>
  <c r="R45" i="27"/>
  <c r="R41" i="27"/>
  <c r="R99" i="27"/>
  <c r="R72" i="27"/>
  <c r="R62" i="27"/>
  <c r="R89" i="27"/>
  <c r="T115" i="27"/>
  <c r="F164" i="15"/>
  <c r="F156" i="15"/>
  <c r="F155" i="15"/>
  <c r="F148" i="15"/>
  <c r="F140" i="15"/>
  <c r="F139" i="15"/>
  <c r="F124" i="15"/>
  <c r="F120" i="15"/>
  <c r="D102" i="15"/>
  <c r="F102" i="15" s="1"/>
  <c r="L12" i="15"/>
  <c r="N12" i="15" s="1"/>
  <c r="F199" i="15"/>
  <c r="F198" i="15"/>
  <c r="F191" i="15"/>
  <c r="F175" i="15"/>
  <c r="F131" i="15"/>
  <c r="F115" i="15"/>
  <c r="F111" i="15"/>
  <c r="F107" i="15"/>
  <c r="F186" i="15"/>
  <c r="F182" i="15"/>
  <c r="F170" i="15"/>
  <c r="F158" i="15"/>
  <c r="F157" i="15"/>
  <c r="F150" i="15"/>
  <c r="F149" i="15"/>
  <c r="F98" i="15"/>
  <c r="F94" i="15"/>
  <c r="F90" i="15"/>
  <c r="F86" i="15"/>
  <c r="F82" i="15"/>
  <c r="F78" i="15"/>
  <c r="F202" i="15"/>
  <c r="F193" i="15"/>
  <c r="F192" i="15"/>
  <c r="F177" i="15"/>
  <c r="F176" i="15"/>
  <c r="F165" i="15"/>
  <c r="F141" i="15"/>
  <c r="F133" i="15"/>
  <c r="F132" i="15"/>
  <c r="F125" i="15"/>
  <c r="F121" i="15"/>
  <c r="F117" i="15"/>
  <c r="F116" i="15"/>
  <c r="F203" i="15"/>
  <c r="F201" i="15"/>
  <c r="F172" i="15"/>
  <c r="F171" i="15"/>
  <c r="F160" i="15"/>
  <c r="F159" i="15"/>
  <c r="F112" i="15"/>
  <c r="F108" i="15"/>
  <c r="F204" i="15"/>
  <c r="F195" i="15"/>
  <c r="F194" i="15"/>
  <c r="F187" i="15"/>
  <c r="F183" i="15"/>
  <c r="F167" i="15"/>
  <c r="F166" i="15"/>
  <c r="F151" i="15"/>
  <c r="F143" i="15"/>
  <c r="F142" i="15"/>
  <c r="F135" i="15"/>
  <c r="F134" i="15"/>
  <c r="F205" i="15"/>
  <c r="F178" i="15"/>
  <c r="F162" i="15"/>
  <c r="F161" i="15"/>
  <c r="F126" i="15"/>
  <c r="F122" i="15"/>
  <c r="F118" i="15"/>
  <c r="F173" i="15"/>
  <c r="F145" i="15"/>
  <c r="F144" i="15"/>
  <c r="F113" i="15"/>
  <c r="F109" i="15"/>
  <c r="F196" i="15"/>
  <c r="F188" i="15"/>
  <c r="F184" i="15"/>
  <c r="F180" i="15"/>
  <c r="F179" i="15"/>
  <c r="F168" i="15"/>
  <c r="F152" i="15"/>
  <c r="F136" i="15"/>
  <c r="F128" i="15"/>
  <c r="F127" i="15"/>
  <c r="F100" i="15"/>
  <c r="F96" i="15"/>
  <c r="F92" i="15"/>
  <c r="F88" i="15"/>
  <c r="F84" i="15"/>
  <c r="F80" i="15"/>
  <c r="F76" i="15"/>
  <c r="F181" i="15"/>
  <c r="F190" i="15"/>
  <c r="F93" i="15"/>
  <c r="F91" i="15"/>
  <c r="F146" i="15"/>
  <c r="F89" i="15"/>
  <c r="F87" i="15"/>
  <c r="F74" i="15"/>
  <c r="F185" i="15"/>
  <c r="F154" i="15"/>
  <c r="F138" i="15"/>
  <c r="F130" i="15"/>
  <c r="F114" i="15"/>
  <c r="F110" i="15"/>
  <c r="F106" i="15"/>
  <c r="F209" i="15"/>
  <c r="F104" i="15"/>
  <c r="F85" i="15"/>
  <c r="F83" i="15"/>
  <c r="F189" i="15"/>
  <c r="F174" i="15"/>
  <c r="F147" i="15"/>
  <c r="F81" i="15"/>
  <c r="F79" i="15"/>
  <c r="F75" i="15"/>
  <c r="F123" i="15"/>
  <c r="F119" i="15"/>
  <c r="F169" i="15"/>
  <c r="F105" i="15"/>
  <c r="F77" i="15"/>
  <c r="F163" i="15"/>
  <c r="F99" i="15"/>
  <c r="F97" i="15"/>
  <c r="F95" i="15"/>
  <c r="F129" i="15"/>
  <c r="F197" i="15"/>
  <c r="F137" i="15"/>
  <c r="F153" i="15"/>
  <c r="J124" i="18"/>
  <c r="R172" i="12"/>
  <c r="R171" i="12"/>
  <c r="R155" i="12"/>
  <c r="R148" i="12"/>
  <c r="R206" i="12"/>
  <c r="R199" i="12"/>
  <c r="R198" i="12"/>
  <c r="R183" i="12"/>
  <c r="R182" i="12"/>
  <c r="R178" i="12"/>
  <c r="R167" i="12"/>
  <c r="R166" i="12"/>
  <c r="R131" i="12"/>
  <c r="R130" i="12"/>
  <c r="R126" i="12"/>
  <c r="R122" i="12"/>
  <c r="R209" i="12"/>
  <c r="R208" i="12"/>
  <c r="R193" i="12"/>
  <c r="R189" i="12"/>
  <c r="R173" i="12"/>
  <c r="R150" i="12"/>
  <c r="R149" i="12"/>
  <c r="R117" i="12"/>
  <c r="R113" i="12"/>
  <c r="R210" i="12"/>
  <c r="R201" i="12"/>
  <c r="R200" i="12"/>
  <c r="R184" i="12"/>
  <c r="R168" i="12"/>
  <c r="R157" i="12"/>
  <c r="R156" i="12"/>
  <c r="R141" i="12"/>
  <c r="R140" i="12"/>
  <c r="R133" i="12"/>
  <c r="R132" i="12"/>
  <c r="R109" i="12"/>
  <c r="R211" i="12"/>
  <c r="R179" i="12"/>
  <c r="R151" i="12"/>
  <c r="R180" i="12"/>
  <c r="R161" i="12"/>
  <c r="R160" i="12"/>
  <c r="R153" i="12"/>
  <c r="R152" i="12"/>
  <c r="R144" i="12"/>
  <c r="R128" i="12"/>
  <c r="R124" i="12"/>
  <c r="R203" i="12"/>
  <c r="R196" i="12"/>
  <c r="R195" i="12"/>
  <c r="R191" i="12"/>
  <c r="R187" i="12"/>
  <c r="R175" i="12"/>
  <c r="R136" i="12"/>
  <c r="R135" i="12"/>
  <c r="R120" i="12"/>
  <c r="R119" i="12"/>
  <c r="R115" i="12"/>
  <c r="R111" i="12"/>
  <c r="R216" i="12"/>
  <c r="R205" i="12"/>
  <c r="R112" i="12"/>
  <c r="R139" i="12"/>
  <c r="R134" i="12"/>
  <c r="R110" i="12"/>
  <c r="R185" i="12"/>
  <c r="R177" i="12"/>
  <c r="R142" i="12"/>
  <c r="R102" i="12"/>
  <c r="R99" i="12"/>
  <c r="R96" i="12"/>
  <c r="R93" i="12"/>
  <c r="R90" i="12"/>
  <c r="R87" i="12"/>
  <c r="R84" i="12"/>
  <c r="R81" i="12"/>
  <c r="R78" i="12"/>
  <c r="R164" i="12"/>
  <c r="R159" i="12"/>
  <c r="R154" i="12"/>
  <c r="R137" i="12"/>
  <c r="P106" i="12"/>
  <c r="R181" i="12"/>
  <c r="R147" i="12"/>
  <c r="R129" i="12"/>
  <c r="R127" i="12"/>
  <c r="R194" i="12"/>
  <c r="R190" i="12"/>
  <c r="R186" i="12"/>
  <c r="R169" i="12"/>
  <c r="R145" i="12"/>
  <c r="R76" i="12"/>
  <c r="R192" i="12"/>
  <c r="R188" i="12"/>
  <c r="R143" i="12"/>
  <c r="R125" i="12"/>
  <c r="R108" i="12"/>
  <c r="R103" i="12"/>
  <c r="R100" i="12"/>
  <c r="R97" i="12"/>
  <c r="R94" i="12"/>
  <c r="R91" i="12"/>
  <c r="R88" i="12"/>
  <c r="R85" i="12"/>
  <c r="R82" i="12"/>
  <c r="R79" i="12"/>
  <c r="R165" i="12"/>
  <c r="R162" i="12"/>
  <c r="R138" i="12"/>
  <c r="R123" i="12"/>
  <c r="R204" i="12"/>
  <c r="R202" i="12"/>
  <c r="R121" i="12"/>
  <c r="R118" i="12"/>
  <c r="R176" i="12"/>
  <c r="R163" i="12"/>
  <c r="R116" i="12"/>
  <c r="R104" i="12"/>
  <c r="R101" i="12"/>
  <c r="R98" i="12"/>
  <c r="R95" i="12"/>
  <c r="R92" i="12"/>
  <c r="R89" i="12"/>
  <c r="R86" i="12"/>
  <c r="R83" i="12"/>
  <c r="R80" i="12"/>
  <c r="R77" i="12"/>
  <c r="R212" i="12"/>
  <c r="R158" i="12"/>
  <c r="R170" i="12"/>
  <c r="R146" i="12"/>
  <c r="R174" i="12"/>
  <c r="R114" i="12"/>
  <c r="R197" i="12"/>
  <c r="X12" i="12"/>
  <c r="Z12" i="12" s="1"/>
  <c r="T257" i="3"/>
  <c r="H27" i="110"/>
  <c r="N18" i="110"/>
  <c r="L18" i="110"/>
  <c r="D27" i="110"/>
  <c r="X18" i="112"/>
  <c r="P27" i="112"/>
  <c r="X18" i="47"/>
  <c r="P27" i="47"/>
  <c r="Z18" i="47"/>
  <c r="T27" i="47"/>
  <c r="X18" i="44"/>
  <c r="P27" i="44"/>
  <c r="D27" i="44"/>
  <c r="L18" i="44"/>
  <c r="L18" i="40"/>
  <c r="D27" i="40"/>
  <c r="L18" i="43"/>
  <c r="D27" i="43"/>
  <c r="Z18" i="32"/>
  <c r="T27" i="32"/>
  <c r="P27" i="25"/>
  <c r="X18" i="25"/>
  <c r="T27" i="19"/>
  <c r="Z18" i="19"/>
  <c r="T27" i="23"/>
  <c r="Z18" i="23"/>
  <c r="L18" i="14"/>
  <c r="D27" i="14"/>
  <c r="L18" i="7"/>
  <c r="D27" i="7"/>
  <c r="P27" i="14"/>
  <c r="X18" i="14"/>
  <c r="X18" i="5"/>
  <c r="P27" i="5"/>
  <c r="X18" i="4"/>
  <c r="P27" i="4"/>
  <c r="T27" i="7"/>
  <c r="Z18" i="7"/>
  <c r="P27" i="13"/>
  <c r="X18" i="13"/>
  <c r="X18" i="7"/>
  <c r="P27" i="7"/>
  <c r="H24" i="104"/>
  <c r="N16" i="104"/>
  <c r="N16" i="99"/>
  <c r="H55" i="99"/>
  <c r="N17" i="57"/>
  <c r="H73" i="57"/>
  <c r="D75" i="56"/>
  <c r="L17" i="56"/>
  <c r="D27" i="50"/>
  <c r="L18" i="50"/>
  <c r="P27" i="40"/>
  <c r="X18" i="40"/>
  <c r="T24" i="108"/>
  <c r="Z16" i="108"/>
  <c r="H88" i="103"/>
  <c r="F67" i="109"/>
  <c r="Z24" i="104"/>
  <c r="T28" i="104"/>
  <c r="T56" i="102"/>
  <c r="Z16" i="102"/>
  <c r="H26" i="98"/>
  <c r="N22" i="98"/>
  <c r="Z19" i="93"/>
  <c r="T77" i="93"/>
  <c r="T84" i="91"/>
  <c r="H80" i="91"/>
  <c r="N16" i="91"/>
  <c r="Z16" i="88"/>
  <c r="T32" i="88"/>
  <c r="T86" i="87"/>
  <c r="Z19" i="87"/>
  <c r="D22" i="89"/>
  <c r="L16" i="89"/>
  <c r="T139" i="74"/>
  <c r="F21" i="79"/>
  <c r="F79" i="76"/>
  <c r="F78" i="76"/>
  <c r="F55" i="76"/>
  <c r="F51" i="76"/>
  <c r="F100" i="76"/>
  <c r="F42" i="76"/>
  <c r="F38" i="76"/>
  <c r="F34" i="76"/>
  <c r="F89" i="76"/>
  <c r="F69" i="76"/>
  <c r="F65" i="76"/>
  <c r="F61" i="76"/>
  <c r="F80" i="76"/>
  <c r="F56" i="76"/>
  <c r="F52" i="76"/>
  <c r="F71" i="76"/>
  <c r="F70" i="76"/>
  <c r="F43" i="76"/>
  <c r="F39" i="76"/>
  <c r="F35" i="76"/>
  <c r="F90" i="76"/>
  <c r="F82" i="76"/>
  <c r="F81" i="76"/>
  <c r="F66" i="76"/>
  <c r="F62" i="76"/>
  <c r="F73" i="76"/>
  <c r="F72" i="76"/>
  <c r="F57" i="76"/>
  <c r="F53" i="76"/>
  <c r="F49" i="76"/>
  <c r="F48" i="76"/>
  <c r="F92" i="76"/>
  <c r="F91" i="76"/>
  <c r="F84" i="76"/>
  <c r="F83" i="76"/>
  <c r="F47" i="76"/>
  <c r="F45" i="76"/>
  <c r="F40" i="76"/>
  <c r="F36" i="76"/>
  <c r="F96" i="76"/>
  <c r="F94" i="76"/>
  <c r="F77" i="76"/>
  <c r="F76" i="76"/>
  <c r="F41" i="76"/>
  <c r="F37" i="76"/>
  <c r="F33" i="76"/>
  <c r="F32" i="76"/>
  <c r="F88" i="76"/>
  <c r="F87" i="76"/>
  <c r="F68" i="76"/>
  <c r="F64" i="76"/>
  <c r="F60" i="76"/>
  <c r="F59" i="76"/>
  <c r="L12" i="76"/>
  <c r="N12" i="76" s="1"/>
  <c r="F63" i="76"/>
  <c r="D45" i="76"/>
  <c r="F74" i="76"/>
  <c r="F50" i="76"/>
  <c r="F86" i="76"/>
  <c r="F67" i="76"/>
  <c r="F54" i="76"/>
  <c r="F58" i="76"/>
  <c r="F75" i="76"/>
  <c r="F95" i="76"/>
  <c r="F85" i="76"/>
  <c r="D100" i="63"/>
  <c r="D31" i="54"/>
  <c r="T79" i="33"/>
  <c r="P79" i="33"/>
  <c r="X26" i="33"/>
  <c r="Z26" i="33" s="1"/>
  <c r="R26" i="33"/>
  <c r="T88" i="24"/>
  <c r="Z32" i="24"/>
  <c r="T22" i="6"/>
  <c r="Z16" i="6"/>
  <c r="N16" i="6"/>
  <c r="H22" i="6"/>
  <c r="L18" i="111"/>
  <c r="D27" i="111"/>
  <c r="T27" i="110"/>
  <c r="Z18" i="110"/>
  <c r="H27" i="52"/>
  <c r="N18" i="52"/>
  <c r="P27" i="52"/>
  <c r="X18" i="52"/>
  <c r="T27" i="44"/>
  <c r="Z18" i="44"/>
  <c r="H27" i="38"/>
  <c r="N18" i="38"/>
  <c r="X18" i="34"/>
  <c r="P27" i="34"/>
  <c r="H27" i="34"/>
  <c r="N18" i="34"/>
  <c r="Z18" i="35"/>
  <c r="T27" i="35"/>
  <c r="L18" i="28"/>
  <c r="D27" i="28"/>
  <c r="H27" i="23"/>
  <c r="N18" i="23"/>
  <c r="L18" i="10"/>
  <c r="D27" i="10"/>
  <c r="H27" i="8"/>
  <c r="N18" i="8"/>
  <c r="L18" i="22"/>
  <c r="D27" i="22"/>
  <c r="H27" i="5"/>
  <c r="N18" i="5"/>
  <c r="N16" i="108"/>
  <c r="H24" i="108"/>
  <c r="F90" i="105"/>
  <c r="F94" i="105"/>
  <c r="F83" i="105"/>
  <c r="F79" i="105"/>
  <c r="F75" i="105"/>
  <c r="F74" i="105"/>
  <c r="F85" i="105"/>
  <c r="F84" i="105"/>
  <c r="F69" i="105"/>
  <c r="F61" i="105"/>
  <c r="F60" i="105"/>
  <c r="F80" i="105"/>
  <c r="F76" i="105"/>
  <c r="F86" i="105"/>
  <c r="F81" i="105"/>
  <c r="F77" i="105"/>
  <c r="F67" i="105"/>
  <c r="F66" i="105"/>
  <c r="F51" i="105"/>
  <c r="F50" i="105"/>
  <c r="F35" i="105"/>
  <c r="F31" i="105"/>
  <c r="F27" i="105"/>
  <c r="F26" i="105"/>
  <c r="F82" i="105"/>
  <c r="F25" i="105"/>
  <c r="F53" i="105"/>
  <c r="F52" i="105"/>
  <c r="F45" i="105"/>
  <c r="F41" i="105"/>
  <c r="D23" i="105"/>
  <c r="F23" i="105" s="1"/>
  <c r="F72" i="105"/>
  <c r="F62" i="105"/>
  <c r="F36" i="105"/>
  <c r="F32" i="105"/>
  <c r="F28" i="105"/>
  <c r="L12" i="105"/>
  <c r="N12" i="105" s="1"/>
  <c r="F55" i="105"/>
  <c r="F54" i="105"/>
  <c r="F19" i="105"/>
  <c r="F18" i="105"/>
  <c r="F63" i="105"/>
  <c r="F46" i="105"/>
  <c r="F42" i="105"/>
  <c r="F38" i="105"/>
  <c r="F37" i="105"/>
  <c r="F70" i="105"/>
  <c r="F57" i="105"/>
  <c r="F56" i="105"/>
  <c r="F33" i="105"/>
  <c r="F29" i="105"/>
  <c r="F87" i="105"/>
  <c r="F20" i="105"/>
  <c r="F64" i="105"/>
  <c r="F58" i="105"/>
  <c r="F47" i="105"/>
  <c r="F43" i="105"/>
  <c r="F39" i="105"/>
  <c r="F78" i="105"/>
  <c r="F59" i="105"/>
  <c r="F34" i="105"/>
  <c r="F30" i="105"/>
  <c r="F88" i="105"/>
  <c r="F73" i="105"/>
  <c r="F49" i="105"/>
  <c r="F68" i="105"/>
  <c r="F40" i="105"/>
  <c r="F44" i="105"/>
  <c r="F48" i="105"/>
  <c r="F21" i="105"/>
  <c r="F65" i="105"/>
  <c r="F71" i="105"/>
  <c r="H28" i="85"/>
  <c r="J20" i="85"/>
  <c r="T32" i="85"/>
  <c r="V28" i="85"/>
  <c r="F44" i="70"/>
  <c r="F40" i="70"/>
  <c r="F36" i="70"/>
  <c r="F91" i="70"/>
  <c r="F90" i="70"/>
  <c r="F83" i="70"/>
  <c r="F82" i="70"/>
  <c r="F71" i="70"/>
  <c r="F67" i="70"/>
  <c r="F63" i="70"/>
  <c r="F93" i="70"/>
  <c r="F92" i="70"/>
  <c r="F73" i="70"/>
  <c r="F72" i="70"/>
  <c r="F45" i="70"/>
  <c r="F41" i="70"/>
  <c r="F37" i="70"/>
  <c r="F100" i="70"/>
  <c r="F99" i="70"/>
  <c r="F84" i="70"/>
  <c r="F68" i="70"/>
  <c r="F64" i="70"/>
  <c r="F75" i="70"/>
  <c r="F74" i="70"/>
  <c r="F59" i="70"/>
  <c r="F55" i="70"/>
  <c r="F51" i="70"/>
  <c r="F50" i="70"/>
  <c r="F103" i="70"/>
  <c r="F94" i="70"/>
  <c r="F86" i="70"/>
  <c r="F85" i="70"/>
  <c r="F49" i="70"/>
  <c r="F42" i="70"/>
  <c r="F38" i="70"/>
  <c r="F34" i="70"/>
  <c r="F33" i="70"/>
  <c r="F104" i="70"/>
  <c r="F102" i="70"/>
  <c r="F77" i="70"/>
  <c r="F76" i="70"/>
  <c r="F69" i="70"/>
  <c r="F65" i="70"/>
  <c r="D47" i="70"/>
  <c r="F47" i="70" s="1"/>
  <c r="F105" i="70"/>
  <c r="F88" i="70"/>
  <c r="F87" i="70"/>
  <c r="F60" i="70"/>
  <c r="F56" i="70"/>
  <c r="F52" i="70"/>
  <c r="F70" i="70"/>
  <c r="F66" i="70"/>
  <c r="F62" i="70"/>
  <c r="F61" i="70"/>
  <c r="F109" i="70"/>
  <c r="F97" i="70"/>
  <c r="F96" i="70"/>
  <c r="F89" i="70"/>
  <c r="F81" i="70"/>
  <c r="F80" i="70"/>
  <c r="F57" i="70"/>
  <c r="F53" i="70"/>
  <c r="F43" i="70"/>
  <c r="F98" i="70"/>
  <c r="F78" i="70"/>
  <c r="F54" i="70"/>
  <c r="F58" i="70"/>
  <c r="F95" i="70"/>
  <c r="L12" i="70"/>
  <c r="N12" i="70" s="1"/>
  <c r="F35" i="70"/>
  <c r="F39" i="70"/>
  <c r="F79" i="70"/>
  <c r="J24" i="21"/>
  <c r="H99" i="21"/>
  <c r="R83" i="83"/>
  <c r="R81" i="83"/>
  <c r="R67" i="83"/>
  <c r="R66" i="83"/>
  <c r="R43" i="83"/>
  <c r="R42" i="83"/>
  <c r="R38" i="83"/>
  <c r="R34" i="83"/>
  <c r="R73" i="83"/>
  <c r="R61" i="83"/>
  <c r="R54" i="83"/>
  <c r="R53" i="83"/>
  <c r="R29" i="83"/>
  <c r="R25" i="83"/>
  <c r="R85" i="83"/>
  <c r="R56" i="83"/>
  <c r="R55" i="83"/>
  <c r="R39" i="83"/>
  <c r="R35" i="83"/>
  <c r="R16" i="83"/>
  <c r="R58" i="83"/>
  <c r="R57" i="83"/>
  <c r="R17" i="83"/>
  <c r="R76" i="83"/>
  <c r="R64" i="83"/>
  <c r="R49" i="83"/>
  <c r="R48" i="83"/>
  <c r="R40" i="83"/>
  <c r="R36" i="83"/>
  <c r="R71" i="83"/>
  <c r="R59" i="83"/>
  <c r="R32" i="83"/>
  <c r="R31" i="83"/>
  <c r="R27" i="83"/>
  <c r="R72" i="83"/>
  <c r="R79" i="83"/>
  <c r="R65" i="83"/>
  <c r="R63" i="83"/>
  <c r="X12" i="83"/>
  <c r="Z12" i="83" s="1"/>
  <c r="R51" i="83"/>
  <c r="R22" i="83"/>
  <c r="R46" i="83"/>
  <c r="R90" i="83"/>
  <c r="R75" i="83"/>
  <c r="R68" i="83"/>
  <c r="R23" i="83"/>
  <c r="R52" i="83"/>
  <c r="R18" i="83"/>
  <c r="R77" i="83"/>
  <c r="R30" i="83"/>
  <c r="R87" i="83"/>
  <c r="R69" i="83"/>
  <c r="R47" i="83"/>
  <c r="R44" i="83"/>
  <c r="R41" i="83"/>
  <c r="R37" i="83"/>
  <c r="R28" i="83"/>
  <c r="R78" i="83"/>
  <c r="R45" i="83"/>
  <c r="P20" i="83"/>
  <c r="R74" i="83"/>
  <c r="R70" i="83"/>
  <c r="R60" i="83"/>
  <c r="R62" i="83"/>
  <c r="R20" i="83"/>
  <c r="R50" i="83"/>
  <c r="R33" i="83"/>
  <c r="R26" i="83"/>
  <c r="R24" i="83"/>
  <c r="L16" i="102"/>
  <c r="D56" i="102"/>
  <c r="J23" i="103"/>
  <c r="T91" i="95"/>
  <c r="V23" i="95"/>
  <c r="T70" i="80"/>
  <c r="Z19" i="80"/>
  <c r="R110" i="84"/>
  <c r="R102" i="84"/>
  <c r="R116" i="84"/>
  <c r="R98" i="84"/>
  <c r="R106" i="84"/>
  <c r="R105" i="84"/>
  <c r="R107" i="84"/>
  <c r="R94" i="84"/>
  <c r="R93" i="84"/>
  <c r="R78" i="84"/>
  <c r="R77" i="84"/>
  <c r="R50" i="84"/>
  <c r="R49" i="84"/>
  <c r="R45" i="84"/>
  <c r="R41" i="84"/>
  <c r="P37" i="84"/>
  <c r="R104" i="84"/>
  <c r="R88" i="84"/>
  <c r="R69" i="84"/>
  <c r="R68" i="84"/>
  <c r="R95" i="84"/>
  <c r="R80" i="84"/>
  <c r="R79" i="84"/>
  <c r="R59" i="84"/>
  <c r="R55" i="84"/>
  <c r="R51" i="84"/>
  <c r="R71" i="84"/>
  <c r="R70" i="84"/>
  <c r="R46" i="84"/>
  <c r="R42" i="84"/>
  <c r="X12" i="84"/>
  <c r="Z12" i="84" s="1"/>
  <c r="R99" i="84"/>
  <c r="R89" i="84"/>
  <c r="R82" i="84"/>
  <c r="R81" i="84"/>
  <c r="R108" i="84"/>
  <c r="R96" i="84"/>
  <c r="R73" i="84"/>
  <c r="R72" i="84"/>
  <c r="R61" i="84"/>
  <c r="R60" i="84"/>
  <c r="R56" i="84"/>
  <c r="R52" i="84"/>
  <c r="R33" i="84"/>
  <c r="R84" i="84"/>
  <c r="R83" i="84"/>
  <c r="R47" i="84"/>
  <c r="R43" i="84"/>
  <c r="R91" i="84"/>
  <c r="R90" i="84"/>
  <c r="R74" i="84"/>
  <c r="R63" i="84"/>
  <c r="R62" i="84"/>
  <c r="R34" i="84"/>
  <c r="R76" i="84"/>
  <c r="R75" i="84"/>
  <c r="R40" i="84"/>
  <c r="R35" i="84"/>
  <c r="R101" i="84"/>
  <c r="R87" i="84"/>
  <c r="R86" i="84"/>
  <c r="R67" i="84"/>
  <c r="R66" i="84"/>
  <c r="R58" i="84"/>
  <c r="R54" i="84"/>
  <c r="R39" i="84"/>
  <c r="R48" i="84"/>
  <c r="R100" i="84"/>
  <c r="R64" i="84"/>
  <c r="R97" i="84"/>
  <c r="R109" i="84"/>
  <c r="R53" i="84"/>
  <c r="R57" i="84"/>
  <c r="R65" i="84"/>
  <c r="R85" i="84"/>
  <c r="R103" i="84"/>
  <c r="R44" i="84"/>
  <c r="R112" i="84"/>
  <c r="R92" i="84"/>
  <c r="R23" i="82"/>
  <c r="R94" i="76"/>
  <c r="H107" i="70"/>
  <c r="F82" i="68"/>
  <c r="F71" i="68"/>
  <c r="F78" i="68"/>
  <c r="F86" i="68"/>
  <c r="F73" i="68"/>
  <c r="F72" i="68"/>
  <c r="F53" i="68"/>
  <c r="F49" i="68"/>
  <c r="F45" i="68"/>
  <c r="F90" i="68"/>
  <c r="F64" i="68"/>
  <c r="F63" i="68"/>
  <c r="F76" i="68"/>
  <c r="F61" i="68"/>
  <c r="F56" i="68"/>
  <c r="F55" i="68"/>
  <c r="F48" i="68"/>
  <c r="F43" i="68"/>
  <c r="F39" i="68"/>
  <c r="F83" i="68"/>
  <c r="F69" i="68"/>
  <c r="F65" i="68"/>
  <c r="F62" i="68"/>
  <c r="F30" i="68"/>
  <c r="F26" i="68"/>
  <c r="F25" i="68"/>
  <c r="L12" i="68"/>
  <c r="N12" i="68" s="1"/>
  <c r="F52" i="68"/>
  <c r="F44" i="68"/>
  <c r="F81" i="68"/>
  <c r="F70" i="68"/>
  <c r="F40" i="68"/>
  <c r="F36" i="68"/>
  <c r="F35" i="68"/>
  <c r="F66" i="68"/>
  <c r="F57" i="68"/>
  <c r="F34" i="68"/>
  <c r="F32" i="68"/>
  <c r="F27" i="68"/>
  <c r="F79" i="68"/>
  <c r="D32" i="68"/>
  <c r="F84" i="68"/>
  <c r="F77" i="68"/>
  <c r="F74" i="68"/>
  <c r="F58" i="68"/>
  <c r="F46" i="68"/>
  <c r="F41" i="68"/>
  <c r="F37" i="68"/>
  <c r="F67" i="68"/>
  <c r="F50" i="68"/>
  <c r="F28" i="68"/>
  <c r="F54" i="68"/>
  <c r="F47" i="68"/>
  <c r="F42" i="68"/>
  <c r="F38" i="68"/>
  <c r="F80" i="68"/>
  <c r="F75" i="68"/>
  <c r="F60" i="68"/>
  <c r="F29" i="68"/>
  <c r="F51" i="68"/>
  <c r="F68" i="68"/>
  <c r="F59" i="68"/>
  <c r="T98" i="51"/>
  <c r="H124" i="36"/>
  <c r="N26" i="36"/>
  <c r="F110" i="27"/>
  <c r="F98" i="27"/>
  <c r="F97" i="27"/>
  <c r="F90" i="27"/>
  <c r="F82" i="27"/>
  <c r="F81" i="27"/>
  <c r="F58" i="27"/>
  <c r="F54" i="27"/>
  <c r="F45" i="27"/>
  <c r="F41" i="27"/>
  <c r="F37" i="27"/>
  <c r="F92" i="27"/>
  <c r="F91" i="27"/>
  <c r="F84" i="27"/>
  <c r="F83" i="27"/>
  <c r="F72" i="27"/>
  <c r="F68" i="27"/>
  <c r="F64" i="27"/>
  <c r="F99" i="27"/>
  <c r="F59" i="27"/>
  <c r="F55" i="27"/>
  <c r="F94" i="27"/>
  <c r="F93" i="27"/>
  <c r="F74" i="27"/>
  <c r="F73" i="27"/>
  <c r="F46" i="27"/>
  <c r="F42" i="27"/>
  <c r="F38" i="27"/>
  <c r="F101" i="27"/>
  <c r="F100" i="27"/>
  <c r="F76" i="27"/>
  <c r="F75" i="27"/>
  <c r="F60" i="27"/>
  <c r="F56" i="27"/>
  <c r="F52" i="27"/>
  <c r="F51" i="27"/>
  <c r="F104" i="27"/>
  <c r="F95" i="27"/>
  <c r="F87" i="27"/>
  <c r="F86" i="27"/>
  <c r="F50" i="27"/>
  <c r="F43" i="27"/>
  <c r="F39" i="27"/>
  <c r="F35" i="27"/>
  <c r="F34" i="27"/>
  <c r="F105" i="27"/>
  <c r="F103" i="27"/>
  <c r="F78" i="27"/>
  <c r="F77" i="27"/>
  <c r="F70" i="27"/>
  <c r="F66" i="27"/>
  <c r="D48" i="27"/>
  <c r="F48" i="27" s="1"/>
  <c r="F89" i="27"/>
  <c r="F36" i="27"/>
  <c r="F106" i="27"/>
  <c r="F80" i="27"/>
  <c r="F85" i="27"/>
  <c r="F62" i="27"/>
  <c r="F96" i="27"/>
  <c r="F79" i="27"/>
  <c r="F65" i="27"/>
  <c r="F44" i="27"/>
  <c r="F88" i="27"/>
  <c r="F69" i="27"/>
  <c r="F61" i="27"/>
  <c r="F57" i="27"/>
  <c r="L12" i="27"/>
  <c r="N12" i="27" s="1"/>
  <c r="F40" i="27"/>
  <c r="F71" i="27"/>
  <c r="F63" i="27"/>
  <c r="F53" i="27"/>
  <c r="F67" i="27"/>
  <c r="T207" i="15"/>
  <c r="N106" i="12"/>
  <c r="H214" i="12"/>
  <c r="P157" i="30"/>
  <c r="X68" i="30"/>
  <c r="Z68" i="30" s="1"/>
  <c r="T102" i="9"/>
  <c r="Z17" i="9"/>
  <c r="T27" i="53"/>
  <c r="Z18" i="53"/>
  <c r="T27" i="49"/>
  <c r="Z18" i="49"/>
  <c r="D27" i="41"/>
  <c r="L18" i="41"/>
  <c r="X18" i="37"/>
  <c r="P27" i="37"/>
  <c r="H27" i="31"/>
  <c r="N18" i="31"/>
  <c r="L18" i="31"/>
  <c r="D27" i="31"/>
  <c r="X18" i="20"/>
  <c r="P27" i="20"/>
  <c r="L18" i="13"/>
  <c r="D27" i="13"/>
  <c r="X18" i="17"/>
  <c r="P27" i="17"/>
  <c r="P27" i="23"/>
  <c r="X18" i="23"/>
  <c r="D27" i="11"/>
  <c r="L18" i="11"/>
  <c r="T27" i="8"/>
  <c r="Z18" i="8"/>
  <c r="T27" i="11"/>
  <c r="Z18" i="11"/>
  <c r="H27" i="7"/>
  <c r="N18" i="7"/>
  <c r="P73" i="58"/>
  <c r="X16" i="58"/>
  <c r="H22" i="89"/>
  <c r="N16" i="89"/>
  <c r="H77" i="79"/>
  <c r="N21" i="79"/>
  <c r="H88" i="24"/>
  <c r="H27" i="50"/>
  <c r="N18" i="50"/>
  <c r="J23" i="95"/>
  <c r="R46" i="109"/>
  <c r="R45" i="109"/>
  <c r="R29" i="109"/>
  <c r="R25" i="109"/>
  <c r="R21" i="109"/>
  <c r="P17" i="109"/>
  <c r="R57" i="109"/>
  <c r="R56" i="109"/>
  <c r="R64" i="109"/>
  <c r="R63" i="109"/>
  <c r="R48" i="109"/>
  <c r="R47" i="109"/>
  <c r="R39" i="109"/>
  <c r="R35" i="109"/>
  <c r="R58" i="109"/>
  <c r="R31" i="109"/>
  <c r="R30" i="109"/>
  <c r="R26" i="109"/>
  <c r="R22" i="109"/>
  <c r="X12" i="109"/>
  <c r="Z12" i="109" s="1"/>
  <c r="R65" i="109"/>
  <c r="R49" i="109"/>
  <c r="R68" i="109"/>
  <c r="R67" i="109"/>
  <c r="R40" i="109"/>
  <c r="R36" i="109"/>
  <c r="R32" i="109"/>
  <c r="R59" i="109"/>
  <c r="R27" i="109"/>
  <c r="R23" i="109"/>
  <c r="R51" i="109"/>
  <c r="R50" i="109"/>
  <c r="R42" i="109"/>
  <c r="R41" i="109"/>
  <c r="R37" i="109"/>
  <c r="R33" i="109"/>
  <c r="R44" i="109"/>
  <c r="R43" i="109"/>
  <c r="R20" i="109"/>
  <c r="R53" i="109"/>
  <c r="R15" i="109"/>
  <c r="R61" i="109"/>
  <c r="R55" i="109"/>
  <c r="R19" i="109"/>
  <c r="R24" i="109"/>
  <c r="R72" i="109"/>
  <c r="R28" i="109"/>
  <c r="R54" i="109"/>
  <c r="R52" i="109"/>
  <c r="R62" i="109"/>
  <c r="R60" i="109"/>
  <c r="R34" i="109"/>
  <c r="R38" i="109"/>
  <c r="R88" i="107"/>
  <c r="R75" i="107"/>
  <c r="R71" i="107"/>
  <c r="R64" i="107"/>
  <c r="R63" i="107"/>
  <c r="R52" i="107"/>
  <c r="R51" i="107"/>
  <c r="R82" i="107"/>
  <c r="R42" i="107"/>
  <c r="R38" i="107"/>
  <c r="R34" i="107"/>
  <c r="R84" i="107"/>
  <c r="R66" i="107"/>
  <c r="R65" i="107"/>
  <c r="R54" i="107"/>
  <c r="R53" i="107"/>
  <c r="R29" i="107"/>
  <c r="R25" i="107"/>
  <c r="R76" i="107"/>
  <c r="R72" i="107"/>
  <c r="X12" i="107"/>
  <c r="Z12" i="107" s="1"/>
  <c r="R67" i="107"/>
  <c r="R56" i="107"/>
  <c r="R55" i="107"/>
  <c r="R44" i="107"/>
  <c r="R43" i="107"/>
  <c r="R39" i="107"/>
  <c r="R35" i="107"/>
  <c r="R16" i="107"/>
  <c r="R30" i="107"/>
  <c r="R26" i="107"/>
  <c r="R78" i="107"/>
  <c r="R77" i="107"/>
  <c r="R73" i="107"/>
  <c r="R58" i="107"/>
  <c r="R57" i="107"/>
  <c r="R46" i="107"/>
  <c r="R45" i="107"/>
  <c r="R22" i="107"/>
  <c r="R68" i="107"/>
  <c r="R40" i="107"/>
  <c r="R36" i="107"/>
  <c r="R21" i="107"/>
  <c r="R79" i="107"/>
  <c r="R60" i="107"/>
  <c r="R59" i="107"/>
  <c r="R48" i="107"/>
  <c r="R47" i="107"/>
  <c r="R31" i="107"/>
  <c r="R27" i="107"/>
  <c r="R23" i="107"/>
  <c r="P19" i="107"/>
  <c r="R19" i="107" s="1"/>
  <c r="R70" i="107"/>
  <c r="R69" i="107"/>
  <c r="R62" i="107"/>
  <c r="R61" i="107"/>
  <c r="R50" i="107"/>
  <c r="R49" i="107"/>
  <c r="R41" i="107"/>
  <c r="R37" i="107"/>
  <c r="R80" i="107"/>
  <c r="R33" i="107"/>
  <c r="R24" i="107"/>
  <c r="R17" i="107"/>
  <c r="R81" i="107"/>
  <c r="R28" i="107"/>
  <c r="R32" i="107"/>
  <c r="R74" i="107"/>
  <c r="H99" i="105"/>
  <c r="D36" i="101"/>
  <c r="L16" i="101"/>
  <c r="D55" i="99"/>
  <c r="L16" i="99"/>
  <c r="D22" i="98"/>
  <c r="L16" i="98"/>
  <c r="N20" i="94"/>
  <c r="H78" i="94"/>
  <c r="R86" i="95"/>
  <c r="R85" i="95"/>
  <c r="R69" i="95"/>
  <c r="R62" i="95"/>
  <c r="R61" i="95"/>
  <c r="R26" i="95"/>
  <c r="R21" i="95"/>
  <c r="R80" i="95"/>
  <c r="R76" i="95"/>
  <c r="R53" i="95"/>
  <c r="R52" i="95"/>
  <c r="R44" i="95"/>
  <c r="R40" i="95"/>
  <c r="R25" i="95"/>
  <c r="R23" i="95"/>
  <c r="R87" i="95"/>
  <c r="R64" i="95"/>
  <c r="R63" i="95"/>
  <c r="R36" i="95"/>
  <c r="R35" i="95"/>
  <c r="R31" i="95"/>
  <c r="R27" i="95"/>
  <c r="R89" i="95"/>
  <c r="R70" i="95"/>
  <c r="R54" i="95"/>
  <c r="R81" i="95"/>
  <c r="R77" i="95"/>
  <c r="R65" i="95"/>
  <c r="R45" i="95"/>
  <c r="R41" i="95"/>
  <c r="R37" i="95"/>
  <c r="R18" i="95"/>
  <c r="R32" i="95"/>
  <c r="R28" i="95"/>
  <c r="X12" i="95"/>
  <c r="Z12" i="95" s="1"/>
  <c r="R93" i="95"/>
  <c r="R71" i="95"/>
  <c r="R56" i="95"/>
  <c r="R55" i="95"/>
  <c r="R19" i="95"/>
  <c r="R83" i="95"/>
  <c r="R82" i="95"/>
  <c r="R78" i="95"/>
  <c r="R67" i="95"/>
  <c r="R66" i="95"/>
  <c r="R47" i="95"/>
  <c r="R46" i="95"/>
  <c r="R42" i="95"/>
  <c r="R38" i="95"/>
  <c r="R84" i="95"/>
  <c r="R73" i="95"/>
  <c r="R72" i="95"/>
  <c r="R68" i="95"/>
  <c r="R49" i="95"/>
  <c r="R48" i="95"/>
  <c r="R20" i="95"/>
  <c r="P23" i="95"/>
  <c r="R34" i="95"/>
  <c r="R30" i="95"/>
  <c r="R79" i="95"/>
  <c r="R50" i="95"/>
  <c r="R59" i="95"/>
  <c r="R51" i="95"/>
  <c r="R39" i="95"/>
  <c r="R57" i="95"/>
  <c r="R43" i="95"/>
  <c r="R33" i="95"/>
  <c r="R29" i="95"/>
  <c r="R60" i="95"/>
  <c r="R74" i="95"/>
  <c r="R75" i="95"/>
  <c r="R58" i="95"/>
  <c r="H81" i="93"/>
  <c r="X19" i="87"/>
  <c r="P86" i="87"/>
  <c r="V83" i="83"/>
  <c r="F24" i="85"/>
  <c r="F23" i="85"/>
  <c r="F22" i="85"/>
  <c r="F20" i="85"/>
  <c r="D20" i="85"/>
  <c r="F28" i="85"/>
  <c r="F26" i="85"/>
  <c r="F17" i="85"/>
  <c r="L12" i="85"/>
  <c r="N12" i="85" s="1"/>
  <c r="F30" i="85"/>
  <c r="F35" i="85"/>
  <c r="F18" i="85"/>
  <c r="F32" i="85"/>
  <c r="F16" i="85"/>
  <c r="T49" i="82"/>
  <c r="Z23" i="82"/>
  <c r="R45" i="76"/>
  <c r="H63" i="69"/>
  <c r="N18" i="69"/>
  <c r="H95" i="68"/>
  <c r="F125" i="74"/>
  <c r="F121" i="74"/>
  <c r="F120" i="74"/>
  <c r="F93" i="74"/>
  <c r="F92" i="74"/>
  <c r="F132" i="74"/>
  <c r="F104" i="74"/>
  <c r="F88" i="74"/>
  <c r="F84" i="74"/>
  <c r="F135" i="74"/>
  <c r="F126" i="74"/>
  <c r="F122" i="74"/>
  <c r="F106" i="74"/>
  <c r="F105" i="74"/>
  <c r="F136" i="74"/>
  <c r="F134" i="74"/>
  <c r="F97" i="74"/>
  <c r="F96" i="74"/>
  <c r="F89" i="74"/>
  <c r="F85" i="74"/>
  <c r="F137" i="74"/>
  <c r="F116" i="74"/>
  <c r="F108" i="74"/>
  <c r="F107" i="74"/>
  <c r="F80" i="74"/>
  <c r="F76" i="74"/>
  <c r="F72" i="74"/>
  <c r="F71" i="74"/>
  <c r="F118" i="74"/>
  <c r="F117" i="74"/>
  <c r="F110" i="74"/>
  <c r="F109" i="74"/>
  <c r="F90" i="74"/>
  <c r="F86" i="74"/>
  <c r="F82" i="74"/>
  <c r="F81" i="74"/>
  <c r="D68" i="74"/>
  <c r="F131" i="74"/>
  <c r="F130" i="74"/>
  <c r="F119" i="74"/>
  <c r="F103" i="74"/>
  <c r="F102" i="74"/>
  <c r="F91" i="74"/>
  <c r="F87" i="74"/>
  <c r="F83" i="74"/>
  <c r="F114" i="74"/>
  <c r="F113" i="74"/>
  <c r="F78" i="74"/>
  <c r="F74" i="74"/>
  <c r="F141" i="74"/>
  <c r="F73" i="74"/>
  <c r="F70" i="74"/>
  <c r="F65" i="74"/>
  <c r="F51" i="74"/>
  <c r="F95" i="74"/>
  <c r="F62" i="74"/>
  <c r="F55" i="74"/>
  <c r="F59" i="74"/>
  <c r="F129" i="74"/>
  <c r="F98" i="74"/>
  <c r="F75" i="74"/>
  <c r="F52" i="74"/>
  <c r="F112" i="74"/>
  <c r="F101" i="74"/>
  <c r="F66" i="74"/>
  <c r="F56" i="74"/>
  <c r="F127" i="74"/>
  <c r="F123" i="74"/>
  <c r="F63" i="74"/>
  <c r="F60" i="74"/>
  <c r="L12" i="74"/>
  <c r="N12" i="74" s="1"/>
  <c r="F99" i="74"/>
  <c r="F77" i="74"/>
  <c r="F79" i="74"/>
  <c r="F53" i="74"/>
  <c r="F115" i="74"/>
  <c r="F64" i="74"/>
  <c r="F57" i="74"/>
  <c r="F128" i="74"/>
  <c r="F111" i="74"/>
  <c r="F54" i="74"/>
  <c r="F124" i="74"/>
  <c r="F100" i="74"/>
  <c r="F58" i="74"/>
  <c r="F50" i="74"/>
  <c r="F68" i="74"/>
  <c r="F94" i="74"/>
  <c r="F61" i="74"/>
  <c r="T67" i="69"/>
  <c r="T88" i="68"/>
  <c r="V32" i="68"/>
  <c r="T31" i="55"/>
  <c r="Z16" i="55"/>
  <c r="P35" i="55"/>
  <c r="P61" i="60"/>
  <c r="X57" i="60"/>
  <c r="P70" i="48"/>
  <c r="X17" i="48"/>
  <c r="D99" i="21"/>
  <c r="L24" i="21"/>
  <c r="N24" i="21" s="1"/>
  <c r="X16" i="6"/>
  <c r="P22" i="6"/>
  <c r="J207" i="15"/>
  <c r="H211" i="15"/>
  <c r="F221" i="18"/>
  <c r="F220" i="18"/>
  <c r="F213" i="18"/>
  <c r="F197" i="18"/>
  <c r="F208" i="18"/>
  <c r="F204" i="18"/>
  <c r="F192" i="18"/>
  <c r="F180" i="18"/>
  <c r="F179" i="18"/>
  <c r="F224" i="18"/>
  <c r="F215" i="18"/>
  <c r="F214" i="18"/>
  <c r="F199" i="18"/>
  <c r="F198" i="18"/>
  <c r="F187" i="18"/>
  <c r="F163" i="18"/>
  <c r="F155" i="18"/>
  <c r="F154" i="18"/>
  <c r="F225" i="18"/>
  <c r="F223" i="18"/>
  <c r="F194" i="18"/>
  <c r="F193" i="18"/>
  <c r="F226" i="18"/>
  <c r="F217" i="18"/>
  <c r="F216" i="18"/>
  <c r="F209" i="18"/>
  <c r="F205" i="18"/>
  <c r="F228" i="18"/>
  <c r="F195" i="18"/>
  <c r="F218" i="18"/>
  <c r="F210" i="18"/>
  <c r="F206" i="18"/>
  <c r="F202" i="18"/>
  <c r="F201" i="18"/>
  <c r="F190" i="18"/>
  <c r="F174" i="18"/>
  <c r="F219" i="18"/>
  <c r="F207" i="18"/>
  <c r="F203" i="18"/>
  <c r="F191" i="18"/>
  <c r="F232" i="18"/>
  <c r="F164" i="18"/>
  <c r="F160" i="18"/>
  <c r="F159" i="18"/>
  <c r="F148" i="18"/>
  <c r="F144" i="18"/>
  <c r="F140" i="18"/>
  <c r="F185" i="18"/>
  <c r="F182" i="18"/>
  <c r="F178" i="18"/>
  <c r="F135" i="18"/>
  <c r="F131" i="18"/>
  <c r="F170" i="18"/>
  <c r="F165" i="18"/>
  <c r="F150" i="18"/>
  <c r="F149" i="18"/>
  <c r="F122" i="18"/>
  <c r="F118" i="18"/>
  <c r="F114" i="18"/>
  <c r="F110" i="18"/>
  <c r="F106" i="18"/>
  <c r="F102" i="18"/>
  <c r="F98" i="18"/>
  <c r="F94" i="18"/>
  <c r="F90" i="18"/>
  <c r="F161" i="18"/>
  <c r="F145" i="18"/>
  <c r="F141" i="18"/>
  <c r="F211" i="18"/>
  <c r="F188" i="18"/>
  <c r="F166" i="18"/>
  <c r="F162" i="18"/>
  <c r="F156" i="18"/>
  <c r="F152" i="18"/>
  <c r="F151" i="18"/>
  <c r="F136" i="18"/>
  <c r="F132" i="18"/>
  <c r="F128" i="18"/>
  <c r="F127" i="18"/>
  <c r="F227" i="18"/>
  <c r="F186" i="18"/>
  <c r="F183" i="18"/>
  <c r="F126" i="18"/>
  <c r="F119" i="18"/>
  <c r="F115" i="18"/>
  <c r="F111" i="18"/>
  <c r="F107" i="18"/>
  <c r="F103" i="18"/>
  <c r="F99" i="18"/>
  <c r="F95" i="18"/>
  <c r="F91" i="18"/>
  <c r="F200" i="18"/>
  <c r="F175" i="18"/>
  <c r="F171" i="18"/>
  <c r="F167" i="18"/>
  <c r="F157" i="18"/>
  <c r="F146" i="18"/>
  <c r="F142" i="18"/>
  <c r="D124" i="18"/>
  <c r="F176" i="18"/>
  <c r="F137" i="18"/>
  <c r="F133" i="18"/>
  <c r="F129" i="18"/>
  <c r="F189" i="18"/>
  <c r="F184" i="18"/>
  <c r="F172" i="18"/>
  <c r="F153" i="18"/>
  <c r="F120" i="18"/>
  <c r="F116" i="18"/>
  <c r="F112" i="18"/>
  <c r="F108" i="18"/>
  <c r="F104" i="18"/>
  <c r="F100" i="18"/>
  <c r="F96" i="18"/>
  <c r="F92" i="18"/>
  <c r="L12" i="18"/>
  <c r="N12" i="18" s="1"/>
  <c r="F88" i="18"/>
  <c r="F196" i="18"/>
  <c r="F168" i="18"/>
  <c r="F139" i="18"/>
  <c r="F158" i="18"/>
  <c r="F143" i="18"/>
  <c r="F212" i="18"/>
  <c r="F130" i="18"/>
  <c r="F89" i="18"/>
  <c r="F147" i="18"/>
  <c r="F181" i="18"/>
  <c r="F134" i="18"/>
  <c r="F93" i="18"/>
  <c r="F97" i="18"/>
  <c r="F121" i="18"/>
  <c r="F101" i="18"/>
  <c r="F105" i="18"/>
  <c r="F169" i="18"/>
  <c r="F109" i="18"/>
  <c r="F113" i="18"/>
  <c r="F117" i="18"/>
  <c r="F173" i="18"/>
  <c r="F177" i="18"/>
  <c r="F138" i="18"/>
  <c r="L18" i="112"/>
  <c r="D27" i="112"/>
  <c r="L18" i="53"/>
  <c r="D27" i="53"/>
  <c r="L18" i="49"/>
  <c r="D27" i="49"/>
  <c r="L18" i="38"/>
  <c r="D27" i="38"/>
  <c r="H27" i="41"/>
  <c r="N18" i="41"/>
  <c r="H27" i="25"/>
  <c r="N18" i="25"/>
  <c r="X18" i="26"/>
  <c r="P27" i="26"/>
  <c r="T27" i="5"/>
  <c r="Z18" i="5"/>
  <c r="H27" i="10"/>
  <c r="N18" i="10"/>
  <c r="P30" i="100"/>
  <c r="X16" i="100"/>
  <c r="P80" i="91"/>
  <c r="X16" i="91"/>
  <c r="H22" i="90"/>
  <c r="L22" i="90" s="1"/>
  <c r="N16" i="90"/>
  <c r="R227" i="18"/>
  <c r="R217" i="18"/>
  <c r="R209" i="18"/>
  <c r="R205" i="18"/>
  <c r="R228" i="18"/>
  <c r="R201" i="18"/>
  <c r="R200" i="18"/>
  <c r="R184" i="18"/>
  <c r="R195" i="18"/>
  <c r="R168" i="18"/>
  <c r="R167" i="18"/>
  <c r="R218" i="18"/>
  <c r="R211" i="18"/>
  <c r="R210" i="18"/>
  <c r="R206" i="18"/>
  <c r="R202" i="18"/>
  <c r="R190" i="18"/>
  <c r="R220" i="18"/>
  <c r="R219" i="18"/>
  <c r="R207" i="18"/>
  <c r="R203" i="18"/>
  <c r="R191" i="18"/>
  <c r="R186" i="18"/>
  <c r="R179" i="18"/>
  <c r="R178" i="18"/>
  <c r="R171" i="18"/>
  <c r="R170" i="18"/>
  <c r="R225" i="18"/>
  <c r="R216" i="18"/>
  <c r="R215" i="18"/>
  <c r="R199" i="18"/>
  <c r="R188" i="18"/>
  <c r="R187" i="18"/>
  <c r="R164" i="18"/>
  <c r="R163" i="18"/>
  <c r="R156" i="18"/>
  <c r="R155" i="18"/>
  <c r="R192" i="18"/>
  <c r="R152" i="18"/>
  <c r="R136" i="18"/>
  <c r="R132" i="18"/>
  <c r="R128" i="18"/>
  <c r="P124" i="18"/>
  <c r="R183" i="18"/>
  <c r="R175" i="18"/>
  <c r="R162" i="18"/>
  <c r="R119" i="18"/>
  <c r="R115" i="18"/>
  <c r="R111" i="18"/>
  <c r="R107" i="18"/>
  <c r="R103" i="18"/>
  <c r="R99" i="18"/>
  <c r="R95" i="18"/>
  <c r="R91" i="18"/>
  <c r="R193" i="18"/>
  <c r="R157" i="18"/>
  <c r="R146" i="18"/>
  <c r="R142" i="18"/>
  <c r="R214" i="18"/>
  <c r="R198" i="18"/>
  <c r="R176" i="18"/>
  <c r="R138" i="18"/>
  <c r="R137" i="18"/>
  <c r="R133" i="18"/>
  <c r="R129" i="18"/>
  <c r="R172" i="18"/>
  <c r="R153" i="18"/>
  <c r="R120" i="18"/>
  <c r="R116" i="18"/>
  <c r="R112" i="18"/>
  <c r="R108" i="18"/>
  <c r="R104" i="18"/>
  <c r="R100" i="18"/>
  <c r="R96" i="18"/>
  <c r="R92" i="18"/>
  <c r="X12" i="18"/>
  <c r="Z12" i="18" s="1"/>
  <c r="R212" i="18"/>
  <c r="R189" i="18"/>
  <c r="R180" i="18"/>
  <c r="R177" i="18"/>
  <c r="R158" i="18"/>
  <c r="R147" i="18"/>
  <c r="R143" i="18"/>
  <c r="R139" i="18"/>
  <c r="R88" i="18"/>
  <c r="R223" i="18"/>
  <c r="R204" i="18"/>
  <c r="R196" i="18"/>
  <c r="R181" i="18"/>
  <c r="R159" i="18"/>
  <c r="R154" i="18"/>
  <c r="R134" i="18"/>
  <c r="R130" i="18"/>
  <c r="R173" i="18"/>
  <c r="R169" i="18"/>
  <c r="R121" i="18"/>
  <c r="R117" i="18"/>
  <c r="R113" i="18"/>
  <c r="R109" i="18"/>
  <c r="R105" i="18"/>
  <c r="R101" i="18"/>
  <c r="R97" i="18"/>
  <c r="R93" i="18"/>
  <c r="R89" i="18"/>
  <c r="R232" i="18"/>
  <c r="R208" i="18"/>
  <c r="R194" i="18"/>
  <c r="R160" i="18"/>
  <c r="R149" i="18"/>
  <c r="R148" i="18"/>
  <c r="R144" i="18"/>
  <c r="R140" i="18"/>
  <c r="R226" i="18"/>
  <c r="R213" i="18"/>
  <c r="R131" i="18"/>
  <c r="R122" i="18"/>
  <c r="R118" i="18"/>
  <c r="R114" i="18"/>
  <c r="R110" i="18"/>
  <c r="R106" i="18"/>
  <c r="R102" i="18"/>
  <c r="R98" i="18"/>
  <c r="R94" i="18"/>
  <c r="R90" i="18"/>
  <c r="R166" i="18"/>
  <c r="R135" i="18"/>
  <c r="R182" i="18"/>
  <c r="R174" i="18"/>
  <c r="R126" i="18"/>
  <c r="R141" i="18"/>
  <c r="R151" i="18"/>
  <c r="R145" i="18"/>
  <c r="R197" i="18"/>
  <c r="R161" i="18"/>
  <c r="R127" i="18"/>
  <c r="R221" i="18"/>
  <c r="R224" i="18"/>
  <c r="R185" i="18"/>
  <c r="R165" i="18"/>
  <c r="R150" i="18"/>
  <c r="X132" i="3"/>
  <c r="Z132" i="3" s="1"/>
  <c r="P248" i="3"/>
  <c r="H27" i="22"/>
  <c r="N18" i="22"/>
  <c r="T214" i="12"/>
  <c r="F19" i="107"/>
  <c r="H36" i="101"/>
  <c r="N16" i="101"/>
  <c r="X16" i="98"/>
  <c r="P22" i="98"/>
  <c r="F85" i="94"/>
  <c r="F82" i="94"/>
  <c r="F51" i="94"/>
  <c r="F50" i="94"/>
  <c r="F22" i="94"/>
  <c r="F20" i="94"/>
  <c r="F70" i="94"/>
  <c r="F69" i="94"/>
  <c r="F62" i="94"/>
  <c r="F61" i="94"/>
  <c r="F42" i="94"/>
  <c r="F72" i="94"/>
  <c r="F71" i="94"/>
  <c r="F64" i="94"/>
  <c r="F63" i="94"/>
  <c r="F55" i="94"/>
  <c r="F54" i="94"/>
  <c r="F43" i="94"/>
  <c r="F39" i="94"/>
  <c r="F35" i="94"/>
  <c r="F74" i="94"/>
  <c r="F73" i="94"/>
  <c r="F66" i="94"/>
  <c r="F65" i="94"/>
  <c r="F80" i="94"/>
  <c r="F58" i="94"/>
  <c r="F31" i="94"/>
  <c r="F44" i="94"/>
  <c r="F28" i="94"/>
  <c r="F25" i="94"/>
  <c r="F48" i="94"/>
  <c r="F17" i="94"/>
  <c r="F52" i="94"/>
  <c r="F18" i="94"/>
  <c r="F36" i="94"/>
  <c r="F32" i="94"/>
  <c r="F29" i="94"/>
  <c r="F26" i="94"/>
  <c r="F49" i="94"/>
  <c r="F45" i="94"/>
  <c r="F76" i="94"/>
  <c r="F67" i="94"/>
  <c r="F56" i="94"/>
  <c r="F53" i="94"/>
  <c r="F33" i="94"/>
  <c r="L12" i="94"/>
  <c r="F40" i="94"/>
  <c r="F37" i="94"/>
  <c r="F34" i="94"/>
  <c r="F30" i="94"/>
  <c r="F57" i="94"/>
  <c r="F47" i="94"/>
  <c r="F41" i="94"/>
  <c r="F38" i="94"/>
  <c r="F24" i="94"/>
  <c r="F23" i="94"/>
  <c r="F68" i="94"/>
  <c r="F59" i="94"/>
  <c r="F27" i="94"/>
  <c r="D20" i="94"/>
  <c r="F46" i="94"/>
  <c r="F60" i="94"/>
  <c r="F78" i="94"/>
  <c r="H78" i="92"/>
  <c r="N18" i="92"/>
  <c r="H36" i="88"/>
  <c r="R24" i="85"/>
  <c r="P20" i="85"/>
  <c r="R30" i="85"/>
  <c r="X12" i="85"/>
  <c r="Z12" i="85" s="1"/>
  <c r="R16" i="85"/>
  <c r="R17" i="85"/>
  <c r="R22" i="85"/>
  <c r="R26" i="85"/>
  <c r="R23" i="85"/>
  <c r="R18" i="85"/>
  <c r="F50" i="83"/>
  <c r="F49" i="83"/>
  <c r="F77" i="83"/>
  <c r="F65" i="83"/>
  <c r="F41" i="83"/>
  <c r="F37" i="83"/>
  <c r="F33" i="83"/>
  <c r="F32" i="83"/>
  <c r="F79" i="83"/>
  <c r="F78" i="83"/>
  <c r="F51" i="83"/>
  <c r="F22" i="83"/>
  <c r="F20" i="83"/>
  <c r="F73" i="83"/>
  <c r="F61" i="83"/>
  <c r="F53" i="83"/>
  <c r="F52" i="83"/>
  <c r="F29" i="83"/>
  <c r="F25" i="83"/>
  <c r="F83" i="83"/>
  <c r="F81" i="83"/>
  <c r="F68" i="83"/>
  <c r="F67" i="83"/>
  <c r="F44" i="83"/>
  <c r="F43" i="83"/>
  <c r="L12" i="83"/>
  <c r="N12" i="83" s="1"/>
  <c r="F85" i="83"/>
  <c r="F55" i="83"/>
  <c r="F54" i="83"/>
  <c r="F39" i="83"/>
  <c r="F35" i="83"/>
  <c r="F90" i="83"/>
  <c r="F87" i="83"/>
  <c r="F76" i="83"/>
  <c r="F75" i="83"/>
  <c r="F71" i="83"/>
  <c r="F59" i="83"/>
  <c r="F58" i="83"/>
  <c r="F24" i="83"/>
  <c r="F16" i="83"/>
  <c r="F74" i="83"/>
  <c r="F72" i="83"/>
  <c r="F70" i="83"/>
  <c r="F56" i="83"/>
  <c r="F45" i="83"/>
  <c r="F42" i="83"/>
  <c r="F40" i="83"/>
  <c r="D20" i="83"/>
  <c r="F48" i="83"/>
  <c r="F38" i="83"/>
  <c r="F31" i="83"/>
  <c r="F63" i="83"/>
  <c r="F36" i="83"/>
  <c r="F34" i="83"/>
  <c r="F46" i="83"/>
  <c r="F27" i="83"/>
  <c r="F17" i="83"/>
  <c r="F62" i="83"/>
  <c r="F28" i="83"/>
  <c r="F26" i="83"/>
  <c r="F23" i="83"/>
  <c r="F69" i="83"/>
  <c r="F60" i="83"/>
  <c r="F47" i="83"/>
  <c r="F30" i="83"/>
  <c r="F64" i="83"/>
  <c r="F66" i="83"/>
  <c r="F57" i="83"/>
  <c r="F18" i="83"/>
  <c r="L77" i="93"/>
  <c r="N77" i="93" s="1"/>
  <c r="D81" i="93"/>
  <c r="P70" i="80"/>
  <c r="X19" i="80"/>
  <c r="H49" i="82"/>
  <c r="J23" i="82"/>
  <c r="J68" i="74"/>
  <c r="P79" i="75"/>
  <c r="X26" i="75"/>
  <c r="Z26" i="75" s="1"/>
  <c r="N16" i="58"/>
  <c r="H73" i="58"/>
  <c r="N16" i="54"/>
  <c r="H22" i="54"/>
  <c r="L16" i="54"/>
  <c r="H98" i="51"/>
  <c r="J45" i="51"/>
  <c r="F112" i="42"/>
  <c r="F113" i="42"/>
  <c r="F111" i="42"/>
  <c r="F102" i="42"/>
  <c r="F114" i="42"/>
  <c r="F97" i="42"/>
  <c r="F93" i="42"/>
  <c r="F89" i="42"/>
  <c r="F88" i="42"/>
  <c r="F69" i="42"/>
  <c r="F68" i="42"/>
  <c r="F57" i="42"/>
  <c r="F49" i="42"/>
  <c r="F48" i="42"/>
  <c r="F21" i="42"/>
  <c r="F115" i="42"/>
  <c r="F104" i="42"/>
  <c r="F103" i="42"/>
  <c r="F106" i="42"/>
  <c r="F105" i="42"/>
  <c r="F119" i="42"/>
  <c r="F73" i="42"/>
  <c r="F72" i="42"/>
  <c r="F61" i="42"/>
  <c r="F60" i="42"/>
  <c r="F109" i="42"/>
  <c r="F108" i="42"/>
  <c r="F101" i="42"/>
  <c r="F100" i="42"/>
  <c r="F85" i="42"/>
  <c r="F81" i="42"/>
  <c r="F80" i="42"/>
  <c r="F65" i="42"/>
  <c r="F64" i="42"/>
  <c r="F33" i="42"/>
  <c r="F29" i="42"/>
  <c r="F91" i="42"/>
  <c r="F75" i="42"/>
  <c r="F56" i="42"/>
  <c r="F51" i="42"/>
  <c r="F36" i="42"/>
  <c r="F19" i="42"/>
  <c r="F52" i="42"/>
  <c r="F47" i="42"/>
  <c r="F44" i="42"/>
  <c r="F30" i="42"/>
  <c r="F20" i="42"/>
  <c r="F83" i="42"/>
  <c r="F76" i="42"/>
  <c r="F41" i="42"/>
  <c r="F38" i="42"/>
  <c r="F37" i="42"/>
  <c r="D24" i="42"/>
  <c r="F24" i="42" s="1"/>
  <c r="F98" i="42"/>
  <c r="F96" i="42"/>
  <c r="F92" i="42"/>
  <c r="F53" i="42"/>
  <c r="F26" i="42"/>
  <c r="F107" i="42"/>
  <c r="F94" i="42"/>
  <c r="F86" i="42"/>
  <c r="F34" i="42"/>
  <c r="F27" i="42"/>
  <c r="L12" i="42"/>
  <c r="N12" i="42" s="1"/>
  <c r="F31" i="42"/>
  <c r="F28" i="42"/>
  <c r="F84" i="42"/>
  <c r="F77" i="42"/>
  <c r="F54" i="42"/>
  <c r="F45" i="42"/>
  <c r="F42" i="42"/>
  <c r="F39" i="42"/>
  <c r="F90" i="42"/>
  <c r="F78" i="42"/>
  <c r="F70" i="42"/>
  <c r="F66" i="42"/>
  <c r="F62" i="42"/>
  <c r="F58" i="42"/>
  <c r="F71" i="42"/>
  <c r="F74" i="42"/>
  <c r="F67" i="42"/>
  <c r="F32" i="42"/>
  <c r="F22" i="42"/>
  <c r="F95" i="42"/>
  <c r="F87" i="42"/>
  <c r="F79" i="42"/>
  <c r="F63" i="42"/>
  <c r="F99" i="42"/>
  <c r="F43" i="42"/>
  <c r="F50" i="42"/>
  <c r="F35" i="42"/>
  <c r="F40" i="42"/>
  <c r="F46" i="42"/>
  <c r="F82" i="42"/>
  <c r="F59" i="42"/>
  <c r="F55" i="42"/>
  <c r="F84" i="45"/>
  <c r="F80" i="45"/>
  <c r="F75" i="45"/>
  <c r="F59" i="45"/>
  <c r="F58" i="45"/>
  <c r="F85" i="45"/>
  <c r="F81" i="45"/>
  <c r="F71" i="45"/>
  <c r="F63" i="45"/>
  <c r="F62" i="45"/>
  <c r="F51" i="45"/>
  <c r="F50" i="45"/>
  <c r="F73" i="45"/>
  <c r="F72" i="45"/>
  <c r="F65" i="45"/>
  <c r="F64" i="45"/>
  <c r="F53" i="45"/>
  <c r="F52" i="45"/>
  <c r="F96" i="45"/>
  <c r="F87" i="45"/>
  <c r="F83" i="45"/>
  <c r="F79" i="45"/>
  <c r="F67" i="45"/>
  <c r="F66" i="45"/>
  <c r="F94" i="45"/>
  <c r="F70" i="45"/>
  <c r="F60" i="45"/>
  <c r="F56" i="45"/>
  <c r="F21" i="45"/>
  <c r="F91" i="45"/>
  <c r="F86" i="45"/>
  <c r="F48" i="45"/>
  <c r="F44" i="45"/>
  <c r="F40" i="45"/>
  <c r="F35" i="45"/>
  <c r="F31" i="45"/>
  <c r="F27" i="45"/>
  <c r="F26" i="45"/>
  <c r="F82" i="45"/>
  <c r="F77" i="45"/>
  <c r="F68" i="45"/>
  <c r="F61" i="45"/>
  <c r="F57" i="45"/>
  <c r="F49" i="45"/>
  <c r="F25" i="45"/>
  <c r="F92" i="45"/>
  <c r="F89" i="45"/>
  <c r="F45" i="45"/>
  <c r="F41" i="45"/>
  <c r="D23" i="45"/>
  <c r="F78" i="45"/>
  <c r="F36" i="45"/>
  <c r="F32" i="45"/>
  <c r="F28" i="45"/>
  <c r="L12" i="45"/>
  <c r="N12" i="45" s="1"/>
  <c r="F54" i="45"/>
  <c r="F19" i="45"/>
  <c r="F18" i="45"/>
  <c r="F100" i="45"/>
  <c r="F46" i="45"/>
  <c r="F42" i="45"/>
  <c r="F38" i="45"/>
  <c r="F37" i="45"/>
  <c r="F93" i="45"/>
  <c r="F43" i="45"/>
  <c r="F39" i="45"/>
  <c r="F69" i="45"/>
  <c r="F55" i="45"/>
  <c r="F30" i="45"/>
  <c r="F90" i="45"/>
  <c r="F88" i="45"/>
  <c r="F47" i="45"/>
  <c r="F74" i="45"/>
  <c r="F33" i="45"/>
  <c r="F20" i="45"/>
  <c r="F34" i="45"/>
  <c r="F29" i="45"/>
  <c r="F76" i="45"/>
  <c r="H124" i="42"/>
  <c r="D157" i="30"/>
  <c r="L68" i="30"/>
  <c r="N68" i="30" s="1"/>
  <c r="V106" i="12"/>
  <c r="R68" i="30"/>
  <c r="H27" i="111"/>
  <c r="N18" i="111"/>
  <c r="H27" i="49"/>
  <c r="N18" i="49"/>
  <c r="Z18" i="52"/>
  <c r="T27" i="52"/>
  <c r="T27" i="46"/>
  <c r="Z18" i="46"/>
  <c r="H27" i="46"/>
  <c r="N18" i="46"/>
  <c r="T27" i="37"/>
  <c r="Z18" i="37"/>
  <c r="Z18" i="34"/>
  <c r="T27" i="34"/>
  <c r="X18" i="16"/>
  <c r="P27" i="16"/>
  <c r="T27" i="22"/>
  <c r="Z18" i="22"/>
  <c r="L18" i="19"/>
  <c r="D27" i="19"/>
  <c r="H27" i="16"/>
  <c r="N18" i="16"/>
  <c r="N18" i="4"/>
  <c r="H27" i="4"/>
  <c r="T90" i="107"/>
  <c r="F57" i="95"/>
  <c r="F56" i="95"/>
  <c r="F33" i="95"/>
  <c r="F29" i="95"/>
  <c r="F84" i="95"/>
  <c r="F83" i="95"/>
  <c r="F72" i="95"/>
  <c r="F68" i="95"/>
  <c r="F67" i="95"/>
  <c r="F48" i="95"/>
  <c r="F47" i="95"/>
  <c r="F20" i="95"/>
  <c r="F79" i="95"/>
  <c r="F59" i="95"/>
  <c r="F58" i="95"/>
  <c r="F43" i="95"/>
  <c r="F39" i="95"/>
  <c r="F74" i="95"/>
  <c r="F73" i="95"/>
  <c r="F50" i="95"/>
  <c r="F49" i="95"/>
  <c r="F34" i="95"/>
  <c r="F30" i="95"/>
  <c r="F85" i="95"/>
  <c r="F69" i="95"/>
  <c r="F61" i="95"/>
  <c r="F60" i="95"/>
  <c r="F21" i="95"/>
  <c r="F80" i="95"/>
  <c r="F76" i="95"/>
  <c r="F75" i="95"/>
  <c r="F52" i="95"/>
  <c r="F51" i="95"/>
  <c r="F44" i="95"/>
  <c r="F40" i="95"/>
  <c r="F87" i="95"/>
  <c r="F86" i="95"/>
  <c r="F63" i="95"/>
  <c r="F62" i="95"/>
  <c r="F35" i="95"/>
  <c r="F31" i="95"/>
  <c r="F27" i="95"/>
  <c r="F26" i="95"/>
  <c r="F70" i="95"/>
  <c r="F54" i="95"/>
  <c r="F53" i="95"/>
  <c r="F25" i="95"/>
  <c r="F81" i="95"/>
  <c r="F77" i="95"/>
  <c r="F65" i="95"/>
  <c r="F64" i="95"/>
  <c r="F89" i="95"/>
  <c r="F32" i="95"/>
  <c r="F28" i="95"/>
  <c r="L12" i="95"/>
  <c r="N12" i="95" s="1"/>
  <c r="F18" i="95"/>
  <c r="F38" i="95"/>
  <c r="D23" i="95"/>
  <c r="F82" i="95"/>
  <c r="F71" i="95"/>
  <c r="F36" i="95"/>
  <c r="F66" i="95"/>
  <c r="F42" i="95"/>
  <c r="F46" i="95"/>
  <c r="F19" i="95"/>
  <c r="F37" i="95"/>
  <c r="F78" i="95"/>
  <c r="F45" i="95"/>
  <c r="F93" i="95"/>
  <c r="F41" i="95"/>
  <c r="F55" i="95"/>
  <c r="R68" i="79"/>
  <c r="R53" i="79"/>
  <c r="R52" i="79"/>
  <c r="R70" i="79"/>
  <c r="R69" i="79"/>
  <c r="R73" i="79"/>
  <c r="R75" i="79"/>
  <c r="R58" i="79"/>
  <c r="R57" i="79"/>
  <c r="R43" i="79"/>
  <c r="R39" i="79"/>
  <c r="R35" i="79"/>
  <c r="R67" i="79"/>
  <c r="R63" i="79"/>
  <c r="R62" i="79"/>
  <c r="R30" i="79"/>
  <c r="R26" i="79"/>
  <c r="R45" i="79"/>
  <c r="R44" i="79"/>
  <c r="R40" i="79"/>
  <c r="R36" i="79"/>
  <c r="R17" i="79"/>
  <c r="R71" i="79"/>
  <c r="R64" i="79"/>
  <c r="R59" i="79"/>
  <c r="R31" i="79"/>
  <c r="R27" i="79"/>
  <c r="R72" i="79"/>
  <c r="R55" i="79"/>
  <c r="R54" i="79"/>
  <c r="R47" i="79"/>
  <c r="R46" i="79"/>
  <c r="R18" i="79"/>
  <c r="R60" i="79"/>
  <c r="R41" i="79"/>
  <c r="R37" i="79"/>
  <c r="R49" i="79"/>
  <c r="R48" i="79"/>
  <c r="R32" i="79"/>
  <c r="R28" i="79"/>
  <c r="R34" i="79"/>
  <c r="R33" i="79"/>
  <c r="R29" i="79"/>
  <c r="R25" i="79"/>
  <c r="P21" i="79"/>
  <c r="R21" i="79" s="1"/>
  <c r="R79" i="79"/>
  <c r="R66" i="79"/>
  <c r="R42" i="79"/>
  <c r="R61" i="79"/>
  <c r="R51" i="79"/>
  <c r="R23" i="79"/>
  <c r="R65" i="79"/>
  <c r="R24" i="79"/>
  <c r="R56" i="79"/>
  <c r="X12" i="79"/>
  <c r="Z12" i="79" s="1"/>
  <c r="R50" i="79"/>
  <c r="R38" i="79"/>
  <c r="R19" i="79"/>
  <c r="R86" i="21"/>
  <c r="R82" i="21"/>
  <c r="R59" i="21"/>
  <c r="R58" i="21"/>
  <c r="R34" i="21"/>
  <c r="R30" i="21"/>
  <c r="R94" i="21"/>
  <c r="R93" i="21"/>
  <c r="R69" i="21"/>
  <c r="R50" i="21"/>
  <c r="R49" i="21"/>
  <c r="R21" i="21"/>
  <c r="R76" i="21"/>
  <c r="R61" i="21"/>
  <c r="R60" i="21"/>
  <c r="R44" i="21"/>
  <c r="R40" i="21"/>
  <c r="R95" i="21"/>
  <c r="R87" i="21"/>
  <c r="R83" i="21"/>
  <c r="R52" i="21"/>
  <c r="R51" i="21"/>
  <c r="R35" i="21"/>
  <c r="R31" i="21"/>
  <c r="R97" i="21"/>
  <c r="R70" i="21"/>
  <c r="R63" i="21"/>
  <c r="R62" i="21"/>
  <c r="R27" i="21"/>
  <c r="R22" i="21"/>
  <c r="X12" i="21"/>
  <c r="Z12" i="21" s="1"/>
  <c r="R77" i="21"/>
  <c r="R89" i="21"/>
  <c r="R88" i="21"/>
  <c r="R84" i="21"/>
  <c r="R65" i="21"/>
  <c r="R64" i="21"/>
  <c r="R37" i="21"/>
  <c r="R36" i="21"/>
  <c r="R32" i="21"/>
  <c r="R28" i="21"/>
  <c r="P24" i="21"/>
  <c r="R101" i="21"/>
  <c r="R72" i="21"/>
  <c r="R71" i="21"/>
  <c r="R55" i="21"/>
  <c r="R81" i="21"/>
  <c r="R80" i="21"/>
  <c r="R68" i="21"/>
  <c r="R57" i="21"/>
  <c r="R56" i="21"/>
  <c r="R20" i="21"/>
  <c r="R66" i="21"/>
  <c r="R19" i="21"/>
  <c r="R92" i="21"/>
  <c r="R74" i="21"/>
  <c r="R42" i="21"/>
  <c r="R24" i="21"/>
  <c r="R78" i="21"/>
  <c r="R54" i="21"/>
  <c r="R38" i="21"/>
  <c r="R90" i="21"/>
  <c r="R29" i="21"/>
  <c r="R67" i="21"/>
  <c r="R47" i="21"/>
  <c r="R45" i="21"/>
  <c r="R79" i="21"/>
  <c r="R26" i="21"/>
  <c r="R43" i="21"/>
  <c r="R41" i="21"/>
  <c r="R33" i="21"/>
  <c r="R75" i="21"/>
  <c r="R39" i="21"/>
  <c r="R85" i="21"/>
  <c r="R53" i="21"/>
  <c r="R91" i="21"/>
  <c r="R73" i="21"/>
  <c r="R48" i="21"/>
  <c r="R46" i="21"/>
  <c r="N16" i="63"/>
  <c r="H96" i="63"/>
  <c r="D70" i="109"/>
  <c r="T92" i="105"/>
  <c r="Z23" i="105"/>
  <c r="N16" i="102"/>
  <c r="H56" i="102"/>
  <c r="V23" i="103"/>
  <c r="L16" i="104"/>
  <c r="Z16" i="101"/>
  <c r="T36" i="101"/>
  <c r="D88" i="103"/>
  <c r="L23" i="103"/>
  <c r="N23" i="103" s="1"/>
  <c r="F23" i="103"/>
  <c r="H30" i="100"/>
  <c r="N16" i="100"/>
  <c r="N19" i="97"/>
  <c r="H84" i="97"/>
  <c r="L16" i="100"/>
  <c r="D30" i="100"/>
  <c r="T78" i="94"/>
  <c r="Z20" i="94"/>
  <c r="L19" i="97"/>
  <c r="D84" i="97"/>
  <c r="D80" i="91"/>
  <c r="L16" i="91"/>
  <c r="L19" i="87"/>
  <c r="D86" i="87"/>
  <c r="V37" i="84"/>
  <c r="T22" i="90"/>
  <c r="Z16" i="90"/>
  <c r="T98" i="76"/>
  <c r="Z45" i="76"/>
  <c r="H79" i="75"/>
  <c r="F64" i="75"/>
  <c r="F63" i="75"/>
  <c r="F55" i="75"/>
  <c r="F54" i="75"/>
  <c r="F47" i="75"/>
  <c r="F43" i="75"/>
  <c r="F70" i="75"/>
  <c r="F66" i="75"/>
  <c r="F65" i="75"/>
  <c r="F38" i="75"/>
  <c r="F34" i="75"/>
  <c r="F30" i="75"/>
  <c r="F29" i="75"/>
  <c r="F57" i="75"/>
  <c r="F56" i="75"/>
  <c r="F28" i="75"/>
  <c r="F24" i="75"/>
  <c r="F72" i="75"/>
  <c r="F71" i="75"/>
  <c r="F48" i="75"/>
  <c r="F44" i="75"/>
  <c r="F40" i="75"/>
  <c r="F39" i="75"/>
  <c r="D26" i="75"/>
  <c r="F67" i="75"/>
  <c r="F59" i="75"/>
  <c r="F58" i="75"/>
  <c r="F35" i="75"/>
  <c r="F31" i="75"/>
  <c r="F74" i="75"/>
  <c r="F73" i="75"/>
  <c r="F49" i="75"/>
  <c r="F45" i="75"/>
  <c r="F41" i="75"/>
  <c r="F62" i="75"/>
  <c r="F61" i="75"/>
  <c r="F46" i="75"/>
  <c r="F42" i="75"/>
  <c r="F81" i="75"/>
  <c r="F69" i="75"/>
  <c r="F53" i="75"/>
  <c r="F52" i="75"/>
  <c r="F37" i="75"/>
  <c r="F33" i="75"/>
  <c r="L12" i="75"/>
  <c r="N12" i="75" s="1"/>
  <c r="F76" i="75"/>
  <c r="F68" i="75"/>
  <c r="F60" i="75"/>
  <c r="F50" i="75"/>
  <c r="F32" i="75"/>
  <c r="F77" i="75"/>
  <c r="F51" i="75"/>
  <c r="F36" i="75"/>
  <c r="V47" i="70"/>
  <c r="L16" i="61"/>
  <c r="D60" i="61"/>
  <c r="P71" i="59"/>
  <c r="X67" i="59"/>
  <c r="Z67" i="59" s="1"/>
  <c r="D57" i="60"/>
  <c r="L16" i="60"/>
  <c r="P67" i="69"/>
  <c r="X63" i="69"/>
  <c r="Z63" i="69" s="1"/>
  <c r="T73" i="57"/>
  <c r="Z17" i="57"/>
  <c r="Z57" i="60"/>
  <c r="T61" i="60"/>
  <c r="H70" i="48"/>
  <c r="N17" i="48"/>
  <c r="X23" i="45"/>
  <c r="Z23" i="45" s="1"/>
  <c r="P98" i="45"/>
  <c r="F17" i="48"/>
  <c r="H128" i="39"/>
  <c r="J79" i="33"/>
  <c r="H83" i="33"/>
  <c r="F79" i="24"/>
  <c r="F74" i="24"/>
  <c r="F66" i="24"/>
  <c r="F65" i="24"/>
  <c r="F54" i="24"/>
  <c r="F50" i="24"/>
  <c r="F46" i="24"/>
  <c r="D32" i="24"/>
  <c r="F32" i="24" s="1"/>
  <c r="F81" i="24"/>
  <c r="F80" i="24"/>
  <c r="F76" i="24"/>
  <c r="F75" i="24"/>
  <c r="F68" i="24"/>
  <c r="F67" i="24"/>
  <c r="F56" i="24"/>
  <c r="F55" i="24"/>
  <c r="F28" i="24"/>
  <c r="F51" i="24"/>
  <c r="F47" i="24"/>
  <c r="F84" i="24"/>
  <c r="F83" i="24"/>
  <c r="F60" i="24"/>
  <c r="F59" i="24"/>
  <c r="F52" i="24"/>
  <c r="F48" i="24"/>
  <c r="F71" i="24"/>
  <c r="F43" i="24"/>
  <c r="F38" i="24"/>
  <c r="F35" i="24"/>
  <c r="F34" i="24"/>
  <c r="F70" i="24"/>
  <c r="F62" i="24"/>
  <c r="F53" i="24"/>
  <c r="F25" i="24"/>
  <c r="F77" i="24"/>
  <c r="F72" i="24"/>
  <c r="F29" i="24"/>
  <c r="F82" i="24"/>
  <c r="F57" i="24"/>
  <c r="F41" i="24"/>
  <c r="F36" i="24"/>
  <c r="F26" i="24"/>
  <c r="F39" i="24"/>
  <c r="F63" i="24"/>
  <c r="F86" i="24"/>
  <c r="F49" i="24"/>
  <c r="F44" i="24"/>
  <c r="F30" i="24"/>
  <c r="F27" i="24"/>
  <c r="F90" i="24"/>
  <c r="F78" i="24"/>
  <c r="F42" i="24"/>
  <c r="F37" i="24"/>
  <c r="F64" i="24"/>
  <c r="F61" i="24"/>
  <c r="F40" i="24"/>
  <c r="L12" i="24"/>
  <c r="N12" i="24" s="1"/>
  <c r="F73" i="24"/>
  <c r="F45" i="24"/>
  <c r="F58" i="24"/>
  <c r="F69" i="24"/>
  <c r="T161" i="30"/>
  <c r="V157" i="30"/>
  <c r="J132" i="3"/>
  <c r="R109" i="9"/>
  <c r="R106" i="9"/>
  <c r="R52" i="9"/>
  <c r="R51" i="9"/>
  <c r="R20" i="9"/>
  <c r="R94" i="9"/>
  <c r="R86" i="9"/>
  <c r="R74" i="9"/>
  <c r="R63" i="9"/>
  <c r="R62" i="9"/>
  <c r="R43" i="9"/>
  <c r="R42" i="9"/>
  <c r="R38" i="9"/>
  <c r="R34" i="9"/>
  <c r="R19" i="9"/>
  <c r="R17" i="9"/>
  <c r="R15" i="9"/>
  <c r="R82" i="9"/>
  <c r="R81" i="9"/>
  <c r="R69" i="9"/>
  <c r="R54" i="9"/>
  <c r="R53" i="9"/>
  <c r="R29" i="9"/>
  <c r="R25" i="9"/>
  <c r="R21" i="9"/>
  <c r="P17" i="9"/>
  <c r="R64" i="9"/>
  <c r="R45" i="9"/>
  <c r="R44" i="9"/>
  <c r="R95" i="9"/>
  <c r="R88" i="9"/>
  <c r="R87" i="9"/>
  <c r="R83" i="9"/>
  <c r="R76" i="9"/>
  <c r="R75" i="9"/>
  <c r="R56" i="9"/>
  <c r="R55" i="9"/>
  <c r="R39" i="9"/>
  <c r="R35" i="9"/>
  <c r="R98" i="9"/>
  <c r="R97" i="9"/>
  <c r="R71" i="9"/>
  <c r="R70" i="9"/>
  <c r="R47" i="9"/>
  <c r="R46" i="9"/>
  <c r="R30" i="9"/>
  <c r="R26" i="9"/>
  <c r="R22" i="9"/>
  <c r="X12" i="9"/>
  <c r="R99" i="9"/>
  <c r="R89" i="9"/>
  <c r="R77" i="9"/>
  <c r="R66" i="9"/>
  <c r="R65" i="9"/>
  <c r="R58" i="9"/>
  <c r="R57" i="9"/>
  <c r="R100" i="9"/>
  <c r="R84" i="9"/>
  <c r="R72" i="9"/>
  <c r="R49" i="9"/>
  <c r="R48" i="9"/>
  <c r="R40" i="9"/>
  <c r="R36" i="9"/>
  <c r="R85" i="9"/>
  <c r="R73" i="9"/>
  <c r="R41" i="9"/>
  <c r="R37" i="9"/>
  <c r="R33" i="9"/>
  <c r="R59" i="9"/>
  <c r="R31" i="9"/>
  <c r="R24" i="9"/>
  <c r="R93" i="9"/>
  <c r="R91" i="9"/>
  <c r="R68" i="9"/>
  <c r="R50" i="9"/>
  <c r="R80" i="9"/>
  <c r="R27" i="9"/>
  <c r="R32" i="9"/>
  <c r="R78" i="9"/>
  <c r="R60" i="9"/>
  <c r="R92" i="9"/>
  <c r="R102" i="9"/>
  <c r="R104" i="9"/>
  <c r="R23" i="9"/>
  <c r="R67" i="9"/>
  <c r="R79" i="9"/>
  <c r="R28" i="9"/>
  <c r="R90" i="9"/>
  <c r="R61" i="9"/>
  <c r="L18" i="52"/>
  <c r="D27" i="52"/>
  <c r="H27" i="44"/>
  <c r="N18" i="44"/>
  <c r="L18" i="37"/>
  <c r="D27" i="37"/>
  <c r="X18" i="43"/>
  <c r="P27" i="43"/>
  <c r="H27" i="32"/>
  <c r="N18" i="32"/>
  <c r="T27" i="26"/>
  <c r="Z18" i="26"/>
  <c r="P27" i="28"/>
  <c r="X18" i="28"/>
  <c r="H27" i="14"/>
  <c r="N18" i="14"/>
  <c r="H27" i="11"/>
  <c r="N18" i="11"/>
  <c r="L18" i="17"/>
  <c r="D27" i="17"/>
  <c r="P74" i="80" l="1"/>
  <c r="X70" i="80"/>
  <c r="Z27" i="8"/>
  <c r="T31" i="8"/>
  <c r="H128" i="36"/>
  <c r="J124" i="36"/>
  <c r="N26" i="98"/>
  <c r="H29" i="98"/>
  <c r="N29" i="98" s="1"/>
  <c r="Z27" i="32"/>
  <c r="T31" i="32"/>
  <c r="P31" i="47"/>
  <c r="X27" i="47"/>
  <c r="D85" i="92"/>
  <c r="T92" i="103"/>
  <c r="V88" i="103"/>
  <c r="D81" i="79"/>
  <c r="L77" i="79"/>
  <c r="F77" i="79"/>
  <c r="X73" i="57"/>
  <c r="P77" i="57"/>
  <c r="H143" i="74"/>
  <c r="J139" i="74"/>
  <c r="X22" i="89"/>
  <c r="P26" i="89"/>
  <c r="X27" i="19"/>
  <c r="P31" i="19"/>
  <c r="D74" i="48"/>
  <c r="L70" i="48"/>
  <c r="F70" i="48"/>
  <c r="P53" i="82"/>
  <c r="X49" i="82"/>
  <c r="R49" i="82"/>
  <c r="X27" i="41"/>
  <c r="P31" i="41"/>
  <c r="X27" i="53"/>
  <c r="P31" i="53"/>
  <c r="D35" i="55"/>
  <c r="L31" i="55"/>
  <c r="H102" i="45"/>
  <c r="J98" i="45"/>
  <c r="N27" i="20"/>
  <c r="H31" i="20"/>
  <c r="H234" i="18"/>
  <c r="J230" i="18"/>
  <c r="D74" i="59"/>
  <c r="P59" i="99"/>
  <c r="X55" i="99"/>
  <c r="Z55" i="99" s="1"/>
  <c r="D31" i="20"/>
  <c r="L27" i="20"/>
  <c r="N27" i="14"/>
  <c r="H31" i="14"/>
  <c r="N27" i="44"/>
  <c r="H31" i="44"/>
  <c r="X71" i="59"/>
  <c r="Z71" i="59" s="1"/>
  <c r="P74" i="59"/>
  <c r="T26" i="90"/>
  <c r="Z22" i="90"/>
  <c r="H88" i="97"/>
  <c r="H60" i="102"/>
  <c r="L23" i="95"/>
  <c r="N23" i="95" s="1"/>
  <c r="D91" i="95"/>
  <c r="F23" i="95"/>
  <c r="X27" i="16"/>
  <c r="P31" i="16"/>
  <c r="D84" i="93"/>
  <c r="L81" i="93"/>
  <c r="X80" i="91"/>
  <c r="Z80" i="91" s="1"/>
  <c r="P84" i="91"/>
  <c r="H31" i="41"/>
  <c r="N27" i="41"/>
  <c r="X22" i="6"/>
  <c r="P26" i="6"/>
  <c r="T102" i="51"/>
  <c r="V98" i="51"/>
  <c r="D88" i="68"/>
  <c r="L32" i="68"/>
  <c r="N32" i="68" s="1"/>
  <c r="T35" i="85"/>
  <c r="V32" i="85"/>
  <c r="L27" i="22"/>
  <c r="D31" i="22"/>
  <c r="P83" i="33"/>
  <c r="X79" i="33"/>
  <c r="Z79" i="33" s="1"/>
  <c r="R79" i="33"/>
  <c r="L27" i="50"/>
  <c r="D31" i="50"/>
  <c r="H28" i="104"/>
  <c r="N24" i="104"/>
  <c r="X27" i="14"/>
  <c r="P31" i="14"/>
  <c r="P81" i="93"/>
  <c r="X77" i="93"/>
  <c r="V83" i="75"/>
  <c r="T86" i="75"/>
  <c r="D31" i="23"/>
  <c r="L27" i="23"/>
  <c r="X68" i="72"/>
  <c r="P72" i="72"/>
  <c r="H31" i="40"/>
  <c r="N27" i="40"/>
  <c r="H31" i="19"/>
  <c r="N27" i="19"/>
  <c r="X102" i="15"/>
  <c r="Z102" i="15" s="1"/>
  <c r="P207" i="15"/>
  <c r="P88" i="97"/>
  <c r="X84" i="97"/>
  <c r="Z84" i="97" s="1"/>
  <c r="Z96" i="63"/>
  <c r="T100" i="63"/>
  <c r="H112" i="27"/>
  <c r="J108" i="27"/>
  <c r="H67" i="61"/>
  <c r="Z26" i="98"/>
  <c r="T29" i="98"/>
  <c r="Z29" i="98" s="1"/>
  <c r="D83" i="83"/>
  <c r="L20" i="83"/>
  <c r="N20" i="83" s="1"/>
  <c r="X79" i="75"/>
  <c r="Z79" i="75" s="1"/>
  <c r="P83" i="75"/>
  <c r="R79" i="75"/>
  <c r="H40" i="101"/>
  <c r="L27" i="38"/>
  <c r="D31" i="38"/>
  <c r="P161" i="30"/>
  <c r="X157" i="30"/>
  <c r="Z157" i="30" s="1"/>
  <c r="R157" i="30"/>
  <c r="X27" i="7"/>
  <c r="P31" i="7"/>
  <c r="Z27" i="50"/>
  <c r="T31" i="50"/>
  <c r="T84" i="79"/>
  <c r="V81" i="79"/>
  <c r="H31" i="37"/>
  <c r="N27" i="37"/>
  <c r="Z27" i="20"/>
  <c r="T31" i="20"/>
  <c r="P31" i="28"/>
  <c r="X27" i="28"/>
  <c r="H74" i="48"/>
  <c r="N70" i="48"/>
  <c r="J70" i="48"/>
  <c r="L26" i="75"/>
  <c r="N26" i="75" s="1"/>
  <c r="D79" i="75"/>
  <c r="D90" i="87"/>
  <c r="L86" i="87"/>
  <c r="X24" i="21"/>
  <c r="Z24" i="21" s="1"/>
  <c r="P99" i="21"/>
  <c r="Z27" i="34"/>
  <c r="T31" i="34"/>
  <c r="L23" i="45"/>
  <c r="N23" i="45" s="1"/>
  <c r="D98" i="45"/>
  <c r="H102" i="51"/>
  <c r="J98" i="51"/>
  <c r="P34" i="100"/>
  <c r="X30" i="100"/>
  <c r="Z30" i="100" s="1"/>
  <c r="L124" i="18"/>
  <c r="N124" i="18" s="1"/>
  <c r="D230" i="18"/>
  <c r="L20" i="85"/>
  <c r="N20" i="85" s="1"/>
  <c r="D28" i="85"/>
  <c r="N81" i="93"/>
  <c r="H84" i="93"/>
  <c r="J99" i="105"/>
  <c r="X27" i="37"/>
  <c r="P31" i="37"/>
  <c r="H218" i="12"/>
  <c r="J214" i="12"/>
  <c r="H111" i="70"/>
  <c r="J107" i="70"/>
  <c r="P114" i="84"/>
  <c r="X37" i="84"/>
  <c r="Z37" i="84" s="1"/>
  <c r="T95" i="95"/>
  <c r="V91" i="95"/>
  <c r="X27" i="34"/>
  <c r="P31" i="34"/>
  <c r="D31" i="111"/>
  <c r="L27" i="111"/>
  <c r="T83" i="33"/>
  <c r="V79" i="33"/>
  <c r="T36" i="88"/>
  <c r="Z28" i="104"/>
  <c r="T31" i="104"/>
  <c r="Z31" i="104" s="1"/>
  <c r="D79" i="56"/>
  <c r="L75" i="56"/>
  <c r="D31" i="8"/>
  <c r="L27" i="8"/>
  <c r="D31" i="26"/>
  <c r="L27" i="26"/>
  <c r="P31" i="49"/>
  <c r="X27" i="49"/>
  <c r="H164" i="30"/>
  <c r="J161" i="30"/>
  <c r="N27" i="43"/>
  <c r="H31" i="43"/>
  <c r="V87" i="83"/>
  <c r="T90" i="83"/>
  <c r="T31" i="25"/>
  <c r="Z27" i="25"/>
  <c r="D31" i="46"/>
  <c r="L27" i="46"/>
  <c r="T74" i="48"/>
  <c r="V70" i="48"/>
  <c r="Z27" i="28"/>
  <c r="T31" i="28"/>
  <c r="D83" i="33"/>
  <c r="L79" i="33"/>
  <c r="N79" i="33" s="1"/>
  <c r="F79" i="33"/>
  <c r="P31" i="32"/>
  <c r="X27" i="32"/>
  <c r="P139" i="74"/>
  <c r="X68" i="74"/>
  <c r="Z68" i="74" s="1"/>
  <c r="Z27" i="22"/>
  <c r="T31" i="22"/>
  <c r="P28" i="85"/>
  <c r="X20" i="85"/>
  <c r="Z20" i="85" s="1"/>
  <c r="H31" i="34"/>
  <c r="N27" i="34"/>
  <c r="H118" i="84"/>
  <c r="J114" i="84"/>
  <c r="X98" i="76"/>
  <c r="P102" i="76"/>
  <c r="R98" i="76"/>
  <c r="N27" i="13"/>
  <c r="H31" i="13"/>
  <c r="T64" i="60"/>
  <c r="T96" i="105"/>
  <c r="V92" i="105"/>
  <c r="T93" i="107"/>
  <c r="V90" i="107"/>
  <c r="H31" i="111"/>
  <c r="N27" i="111"/>
  <c r="T218" i="12"/>
  <c r="V214" i="12"/>
  <c r="L27" i="49"/>
  <c r="D31" i="49"/>
  <c r="D103" i="21"/>
  <c r="L99" i="21"/>
  <c r="F99" i="21"/>
  <c r="H26" i="89"/>
  <c r="N22" i="89"/>
  <c r="X27" i="23"/>
  <c r="P31" i="23"/>
  <c r="D108" i="27"/>
  <c r="L48" i="27"/>
  <c r="N48" i="27" s="1"/>
  <c r="P83" i="83"/>
  <c r="X20" i="83"/>
  <c r="Z20" i="83" s="1"/>
  <c r="H103" i="21"/>
  <c r="N99" i="21"/>
  <c r="J99" i="21"/>
  <c r="H32" i="85"/>
  <c r="J28" i="85"/>
  <c r="H31" i="8"/>
  <c r="N27" i="8"/>
  <c r="H77" i="57"/>
  <c r="L27" i="14"/>
  <c r="D31" i="14"/>
  <c r="L27" i="40"/>
  <c r="D31" i="40"/>
  <c r="L27" i="110"/>
  <c r="D31" i="110"/>
  <c r="H90" i="83"/>
  <c r="J87" i="83"/>
  <c r="T82" i="92"/>
  <c r="Z27" i="13"/>
  <c r="T31" i="13"/>
  <c r="P31" i="50"/>
  <c r="X27" i="50"/>
  <c r="D49" i="82"/>
  <c r="L23" i="82"/>
  <c r="N23" i="82" s="1"/>
  <c r="L27" i="25"/>
  <c r="D31" i="25"/>
  <c r="L124" i="36"/>
  <c r="N124" i="36" s="1"/>
  <c r="D128" i="36"/>
  <c r="F124" i="36"/>
  <c r="P107" i="70"/>
  <c r="X47" i="70"/>
  <c r="Z47" i="70" s="1"/>
  <c r="P82" i="92"/>
  <c r="X78" i="92"/>
  <c r="Z78" i="92" s="1"/>
  <c r="N27" i="53"/>
  <c r="H31" i="53"/>
  <c r="N67" i="59"/>
  <c r="H71" i="59"/>
  <c r="H31" i="47"/>
  <c r="N27" i="47"/>
  <c r="D40" i="101"/>
  <c r="L36" i="101"/>
  <c r="N36" i="101" s="1"/>
  <c r="D74" i="109"/>
  <c r="L70" i="109"/>
  <c r="N70" i="109" s="1"/>
  <c r="F70" i="109"/>
  <c r="T53" i="82"/>
  <c r="Z49" i="82"/>
  <c r="V49" i="82"/>
  <c r="X27" i="17"/>
  <c r="P31" i="17"/>
  <c r="D60" i="102"/>
  <c r="L56" i="102"/>
  <c r="N56" i="102" s="1"/>
  <c r="L27" i="10"/>
  <c r="D31" i="10"/>
  <c r="H26" i="6"/>
  <c r="N22" i="6"/>
  <c r="P31" i="13"/>
  <c r="X27" i="13"/>
  <c r="X106" i="12"/>
  <c r="Z106" i="12" s="1"/>
  <c r="P214" i="12"/>
  <c r="P108" i="27"/>
  <c r="X48" i="27"/>
  <c r="Z48" i="27" s="1"/>
  <c r="D72" i="72"/>
  <c r="L68" i="72"/>
  <c r="H74" i="80"/>
  <c r="Z27" i="31"/>
  <c r="T31" i="31"/>
  <c r="X22" i="54"/>
  <c r="P26" i="54"/>
  <c r="D70" i="80"/>
  <c r="L19" i="80"/>
  <c r="T118" i="84"/>
  <c r="V114" i="84"/>
  <c r="T80" i="58"/>
  <c r="X56" i="102"/>
  <c r="P60" i="102"/>
  <c r="X27" i="111"/>
  <c r="P31" i="111"/>
  <c r="D77" i="58"/>
  <c r="L73" i="58"/>
  <c r="N73" i="58" s="1"/>
  <c r="T59" i="99"/>
  <c r="Z27" i="112"/>
  <c r="T31" i="112"/>
  <c r="X88" i="24"/>
  <c r="P92" i="24"/>
  <c r="R88" i="24"/>
  <c r="T35" i="55"/>
  <c r="T106" i="9"/>
  <c r="N27" i="5"/>
  <c r="H31" i="5"/>
  <c r="N27" i="49"/>
  <c r="H31" i="49"/>
  <c r="T90" i="87"/>
  <c r="N27" i="4"/>
  <c r="H31" i="4"/>
  <c r="H86" i="33"/>
  <c r="J83" i="33"/>
  <c r="H83" i="75"/>
  <c r="J79" i="75"/>
  <c r="D84" i="91"/>
  <c r="L80" i="91"/>
  <c r="H100" i="63"/>
  <c r="T31" i="37"/>
  <c r="Z27" i="37"/>
  <c r="D117" i="42"/>
  <c r="L24" i="42"/>
  <c r="N24" i="42" s="1"/>
  <c r="H53" i="82"/>
  <c r="J49" i="82"/>
  <c r="L27" i="53"/>
  <c r="D31" i="53"/>
  <c r="P74" i="48"/>
  <c r="X70" i="48"/>
  <c r="Z70" i="48" s="1"/>
  <c r="R70" i="48"/>
  <c r="D139" i="74"/>
  <c r="L68" i="74"/>
  <c r="N68" i="74" s="1"/>
  <c r="N27" i="50"/>
  <c r="H31" i="50"/>
  <c r="P77" i="58"/>
  <c r="X73" i="58"/>
  <c r="Z73" i="58" s="1"/>
  <c r="D31" i="41"/>
  <c r="L27" i="41"/>
  <c r="T211" i="15"/>
  <c r="V207" i="15"/>
  <c r="H31" i="38"/>
  <c r="N27" i="38"/>
  <c r="L96" i="63"/>
  <c r="N96" i="63" s="1"/>
  <c r="H84" i="91"/>
  <c r="N80" i="91"/>
  <c r="P92" i="103"/>
  <c r="X88" i="103"/>
  <c r="Z88" i="103" s="1"/>
  <c r="R88" i="103"/>
  <c r="D31" i="5"/>
  <c r="L27" i="5"/>
  <c r="X27" i="35"/>
  <c r="P31" i="35"/>
  <c r="N27" i="112"/>
  <c r="H31" i="112"/>
  <c r="T124" i="42"/>
  <c r="V121" i="42"/>
  <c r="P31" i="10"/>
  <c r="X27" i="10"/>
  <c r="P40" i="101"/>
  <c r="X36" i="101"/>
  <c r="H252" i="3"/>
  <c r="J248" i="3"/>
  <c r="N75" i="56"/>
  <c r="H79" i="56"/>
  <c r="L24" i="108"/>
  <c r="D28" i="108"/>
  <c r="N27" i="28"/>
  <c r="H31" i="28"/>
  <c r="T128" i="36"/>
  <c r="V124" i="36"/>
  <c r="D90" i="107"/>
  <c r="L86" i="107"/>
  <c r="F86" i="107"/>
  <c r="Z27" i="26"/>
  <c r="T31" i="26"/>
  <c r="N27" i="32"/>
  <c r="H31" i="32"/>
  <c r="X17" i="9"/>
  <c r="P102" i="9"/>
  <c r="Z73" i="57"/>
  <c r="T77" i="57"/>
  <c r="D88" i="97"/>
  <c r="L84" i="97"/>
  <c r="N84" i="97" s="1"/>
  <c r="H82" i="92"/>
  <c r="L82" i="92" s="1"/>
  <c r="H31" i="22"/>
  <c r="N27" i="22"/>
  <c r="T31" i="5"/>
  <c r="Z27" i="5"/>
  <c r="F124" i="18"/>
  <c r="P91" i="95"/>
  <c r="X23" i="95"/>
  <c r="Z23" i="95" s="1"/>
  <c r="H82" i="94"/>
  <c r="H92" i="24"/>
  <c r="J88" i="24"/>
  <c r="L27" i="13"/>
  <c r="D31" i="13"/>
  <c r="L100" i="63"/>
  <c r="D103" i="63"/>
  <c r="D98" i="76"/>
  <c r="L45" i="76"/>
  <c r="N45" i="76" s="1"/>
  <c r="H92" i="103"/>
  <c r="J88" i="103"/>
  <c r="Z27" i="7"/>
  <c r="T31" i="7"/>
  <c r="Z27" i="23"/>
  <c r="T31" i="23"/>
  <c r="L27" i="44"/>
  <c r="D31" i="44"/>
  <c r="N27" i="110"/>
  <c r="H31" i="110"/>
  <c r="R106" i="12"/>
  <c r="P98" i="51"/>
  <c r="X45" i="51"/>
  <c r="Z45" i="51" s="1"/>
  <c r="H102" i="76"/>
  <c r="J98" i="76"/>
  <c r="D29" i="90"/>
  <c r="D31" i="35"/>
  <c r="L27" i="35"/>
  <c r="X27" i="110"/>
  <c r="P31" i="110"/>
  <c r="T128" i="39"/>
  <c r="V125" i="39"/>
  <c r="L32" i="88"/>
  <c r="N32" i="88" s="1"/>
  <c r="D36" i="88"/>
  <c r="L27" i="32"/>
  <c r="D31" i="32"/>
  <c r="T31" i="10"/>
  <c r="Z27" i="10"/>
  <c r="Z27" i="43"/>
  <c r="T31" i="43"/>
  <c r="T237" i="18"/>
  <c r="V234" i="18"/>
  <c r="D31" i="16"/>
  <c r="L27" i="16"/>
  <c r="P88" i="68"/>
  <c r="X32" i="68"/>
  <c r="Z32" i="68" s="1"/>
  <c r="L55" i="99"/>
  <c r="D59" i="99"/>
  <c r="N27" i="31"/>
  <c r="H31" i="31"/>
  <c r="L47" i="70"/>
  <c r="N47" i="70" s="1"/>
  <c r="D107" i="70"/>
  <c r="Z27" i="110"/>
  <c r="T31" i="110"/>
  <c r="T60" i="102"/>
  <c r="Z56" i="102"/>
  <c r="X27" i="112"/>
  <c r="P31" i="112"/>
  <c r="H74" i="109"/>
  <c r="J70" i="109"/>
  <c r="X27" i="43"/>
  <c r="P31" i="43"/>
  <c r="L88" i="103"/>
  <c r="N88" i="103" s="1"/>
  <c r="D92" i="103"/>
  <c r="F88" i="103"/>
  <c r="H31" i="16"/>
  <c r="N27" i="16"/>
  <c r="H31" i="46"/>
  <c r="N27" i="46"/>
  <c r="D161" i="30"/>
  <c r="L157" i="30"/>
  <c r="N157" i="30" s="1"/>
  <c r="F157" i="30"/>
  <c r="F23" i="45"/>
  <c r="P252" i="3"/>
  <c r="X248" i="3"/>
  <c r="Z248" i="3" s="1"/>
  <c r="R248" i="3"/>
  <c r="X27" i="26"/>
  <c r="P31" i="26"/>
  <c r="D31" i="112"/>
  <c r="L27" i="112"/>
  <c r="X61" i="60"/>
  <c r="Z61" i="60" s="1"/>
  <c r="P64" i="60"/>
  <c r="X64" i="60" s="1"/>
  <c r="T92" i="68"/>
  <c r="V88" i="68"/>
  <c r="J95" i="68"/>
  <c r="H31" i="7"/>
  <c r="N27" i="7"/>
  <c r="T31" i="49"/>
  <c r="Z27" i="49"/>
  <c r="H31" i="23"/>
  <c r="N27" i="23"/>
  <c r="T31" i="44"/>
  <c r="Z27" i="44"/>
  <c r="T26" i="6"/>
  <c r="Z22" i="6"/>
  <c r="T143" i="74"/>
  <c r="V139" i="74"/>
  <c r="T87" i="91"/>
  <c r="X27" i="4"/>
  <c r="P31" i="4"/>
  <c r="X27" i="44"/>
  <c r="P31" i="44"/>
  <c r="N27" i="17"/>
  <c r="H31" i="17"/>
  <c r="D31" i="4"/>
  <c r="L27" i="4"/>
  <c r="L132" i="3"/>
  <c r="N132" i="3" s="1"/>
  <c r="D248" i="3"/>
  <c r="N86" i="87"/>
  <c r="H90" i="87"/>
  <c r="L106" i="9"/>
  <c r="D109" i="9"/>
  <c r="X92" i="105"/>
  <c r="Z92" i="105" s="1"/>
  <c r="P96" i="105"/>
  <c r="R92" i="105"/>
  <c r="T31" i="14"/>
  <c r="Z27" i="14"/>
  <c r="D31" i="47"/>
  <c r="L27" i="47"/>
  <c r="X27" i="39"/>
  <c r="Z27" i="39" s="1"/>
  <c r="P121" i="39"/>
  <c r="P36" i="88"/>
  <c r="X32" i="88"/>
  <c r="Z32" i="88" s="1"/>
  <c r="P78" i="94"/>
  <c r="X20" i="94"/>
  <c r="H64" i="60"/>
  <c r="N27" i="35"/>
  <c r="H31" i="35"/>
  <c r="Z27" i="111"/>
  <c r="T31" i="111"/>
  <c r="T105" i="45"/>
  <c r="V102" i="45"/>
  <c r="L37" i="84"/>
  <c r="N37" i="84" s="1"/>
  <c r="D114" i="84"/>
  <c r="X28" i="108"/>
  <c r="P31" i="108"/>
  <c r="R68" i="74"/>
  <c r="T74" i="109"/>
  <c r="V70" i="109"/>
  <c r="H95" i="95"/>
  <c r="J91" i="95"/>
  <c r="H34" i="100"/>
  <c r="N27" i="10"/>
  <c r="H31" i="10"/>
  <c r="D31" i="17"/>
  <c r="L27" i="17"/>
  <c r="P70" i="69"/>
  <c r="X67" i="69"/>
  <c r="Z67" i="69" s="1"/>
  <c r="Z98" i="76"/>
  <c r="T102" i="76"/>
  <c r="V98" i="76"/>
  <c r="Z36" i="101"/>
  <c r="T40" i="101"/>
  <c r="D31" i="19"/>
  <c r="L27" i="19"/>
  <c r="J124" i="42"/>
  <c r="X35" i="55"/>
  <c r="P38" i="55"/>
  <c r="T70" i="69"/>
  <c r="V67" i="69"/>
  <c r="X27" i="20"/>
  <c r="P31" i="20"/>
  <c r="N24" i="108"/>
  <c r="H28" i="108"/>
  <c r="L27" i="28"/>
  <c r="D31" i="28"/>
  <c r="T81" i="93"/>
  <c r="Z77" i="93"/>
  <c r="T28" i="108"/>
  <c r="Z24" i="108"/>
  <c r="Z27" i="19"/>
  <c r="T31" i="19"/>
  <c r="V257" i="3"/>
  <c r="H90" i="107"/>
  <c r="N86" i="107"/>
  <c r="J86" i="107"/>
  <c r="Z27" i="16"/>
  <c r="T31" i="16"/>
  <c r="T31" i="41"/>
  <c r="Z27" i="41"/>
  <c r="P117" i="42"/>
  <c r="X24" i="42"/>
  <c r="Z24" i="42" s="1"/>
  <c r="T103" i="21"/>
  <c r="V99" i="21"/>
  <c r="P64" i="61"/>
  <c r="X60" i="61"/>
  <c r="Z60" i="61" s="1"/>
  <c r="P31" i="31"/>
  <c r="X27" i="31"/>
  <c r="D73" i="57"/>
  <c r="L17" i="57"/>
  <c r="X24" i="108"/>
  <c r="P77" i="79"/>
  <c r="X21" i="79"/>
  <c r="Z21" i="79" s="1"/>
  <c r="L60" i="61"/>
  <c r="N60" i="61" s="1"/>
  <c r="D64" i="61"/>
  <c r="L27" i="11"/>
  <c r="D31" i="11"/>
  <c r="D31" i="7"/>
  <c r="L27" i="7"/>
  <c r="X27" i="29"/>
  <c r="P31" i="29"/>
  <c r="H39" i="88"/>
  <c r="D88" i="24"/>
  <c r="L32" i="24"/>
  <c r="N32" i="24" s="1"/>
  <c r="J128" i="39"/>
  <c r="T82" i="94"/>
  <c r="T31" i="46"/>
  <c r="Z27" i="46"/>
  <c r="H214" i="15"/>
  <c r="J211" i="15"/>
  <c r="X31" i="55"/>
  <c r="Z31" i="55" s="1"/>
  <c r="P90" i="87"/>
  <c r="X86" i="87"/>
  <c r="Z86" i="87" s="1"/>
  <c r="D26" i="98"/>
  <c r="L22" i="98"/>
  <c r="P86" i="107"/>
  <c r="X19" i="107"/>
  <c r="Z19" i="107" s="1"/>
  <c r="P70" i="109"/>
  <c r="X17" i="109"/>
  <c r="Z17" i="109" s="1"/>
  <c r="Z27" i="11"/>
  <c r="T31" i="11"/>
  <c r="T31" i="53"/>
  <c r="Z27" i="53"/>
  <c r="Z70" i="80"/>
  <c r="T74" i="80"/>
  <c r="D92" i="105"/>
  <c r="L23" i="105"/>
  <c r="N23" i="105" s="1"/>
  <c r="X27" i="52"/>
  <c r="P31" i="52"/>
  <c r="Z88" i="24"/>
  <c r="T92" i="24"/>
  <c r="V88" i="24"/>
  <c r="D26" i="89"/>
  <c r="L22" i="89"/>
  <c r="H59" i="99"/>
  <c r="N55" i="99"/>
  <c r="P31" i="5"/>
  <c r="X27" i="5"/>
  <c r="Z27" i="47"/>
  <c r="T31" i="47"/>
  <c r="V115" i="27"/>
  <c r="X75" i="56"/>
  <c r="P79" i="56"/>
  <c r="P26" i="90"/>
  <c r="X22" i="90"/>
  <c r="N27" i="29"/>
  <c r="H31" i="29"/>
  <c r="X27" i="22"/>
  <c r="P31" i="22"/>
  <c r="Z27" i="40"/>
  <c r="T31" i="40"/>
  <c r="L214" i="12"/>
  <c r="N214" i="12" s="1"/>
  <c r="D218" i="12"/>
  <c r="F214" i="12"/>
  <c r="Z75" i="56"/>
  <c r="T79" i="56"/>
  <c r="T111" i="70"/>
  <c r="V107" i="70"/>
  <c r="L27" i="29"/>
  <c r="D31" i="29"/>
  <c r="D26" i="6"/>
  <c r="L22" i="6"/>
  <c r="X96" i="63"/>
  <c r="P100" i="63"/>
  <c r="H72" i="72"/>
  <c r="N68" i="72"/>
  <c r="J68" i="72"/>
  <c r="T31" i="4"/>
  <c r="Z27" i="4"/>
  <c r="N106" i="9"/>
  <c r="H109" i="9"/>
  <c r="H35" i="55"/>
  <c r="N31" i="55"/>
  <c r="L24" i="104"/>
  <c r="X98" i="45"/>
  <c r="Z98" i="45" s="1"/>
  <c r="P102" i="45"/>
  <c r="R98" i="45"/>
  <c r="P230" i="18"/>
  <c r="X124" i="18"/>
  <c r="Z124" i="18" s="1"/>
  <c r="H31" i="52"/>
  <c r="N27" i="52"/>
  <c r="L27" i="52"/>
  <c r="D31" i="52"/>
  <c r="R20" i="85"/>
  <c r="R124" i="18"/>
  <c r="N77" i="79"/>
  <c r="H81" i="79"/>
  <c r="J77" i="79"/>
  <c r="L27" i="43"/>
  <c r="D31" i="43"/>
  <c r="P28" i="104"/>
  <c r="X24" i="104"/>
  <c r="T74" i="59"/>
  <c r="H26" i="54"/>
  <c r="N22" i="54"/>
  <c r="L22" i="54"/>
  <c r="L27" i="37"/>
  <c r="D31" i="37"/>
  <c r="N27" i="11"/>
  <c r="H31" i="11"/>
  <c r="T164" i="30"/>
  <c r="V161" i="30"/>
  <c r="L57" i="60"/>
  <c r="N57" i="60" s="1"/>
  <c r="D61" i="60"/>
  <c r="F26" i="75"/>
  <c r="L30" i="100"/>
  <c r="N30" i="100" s="1"/>
  <c r="D34" i="100"/>
  <c r="Z27" i="52"/>
  <c r="T31" i="52"/>
  <c r="H77" i="58"/>
  <c r="D78" i="94"/>
  <c r="L20" i="94"/>
  <c r="P26" i="98"/>
  <c r="X22" i="98"/>
  <c r="H26" i="90"/>
  <c r="L26" i="90" s="1"/>
  <c r="N22" i="90"/>
  <c r="H31" i="25"/>
  <c r="N27" i="25"/>
  <c r="H67" i="69"/>
  <c r="L63" i="69"/>
  <c r="N63" i="69" s="1"/>
  <c r="J63" i="69"/>
  <c r="R17" i="109"/>
  <c r="L27" i="31"/>
  <c r="D31" i="31"/>
  <c r="R37" i="84"/>
  <c r="Z27" i="35"/>
  <c r="T31" i="35"/>
  <c r="X27" i="40"/>
  <c r="P31" i="40"/>
  <c r="P31" i="25"/>
  <c r="X27" i="25"/>
  <c r="L102" i="15"/>
  <c r="N102" i="15" s="1"/>
  <c r="D207" i="15"/>
  <c r="D98" i="51"/>
  <c r="L45" i="51"/>
  <c r="N45" i="51" s="1"/>
  <c r="T67" i="61"/>
  <c r="L78" i="92"/>
  <c r="N78" i="92" s="1"/>
  <c r="P31" i="11"/>
  <c r="X27" i="11"/>
  <c r="X27" i="38"/>
  <c r="P31" i="38"/>
  <c r="T31" i="38"/>
  <c r="Z27" i="38"/>
  <c r="Z68" i="72"/>
  <c r="T72" i="72"/>
  <c r="V68" i="72"/>
  <c r="Z27" i="29"/>
  <c r="T31" i="29"/>
  <c r="Z27" i="17"/>
  <c r="T31" i="17"/>
  <c r="X27" i="46"/>
  <c r="P31" i="46"/>
  <c r="L27" i="39"/>
  <c r="N27" i="39" s="1"/>
  <c r="D121" i="39"/>
  <c r="X26" i="36"/>
  <c r="Z26" i="36" s="1"/>
  <c r="P124" i="36"/>
  <c r="D31" i="34"/>
  <c r="L27" i="34"/>
  <c r="Z26" i="89"/>
  <c r="T29" i="89"/>
  <c r="Z29" i="89" s="1"/>
  <c r="H31" i="26"/>
  <c r="N27" i="26"/>
  <c r="X27" i="8"/>
  <c r="P31" i="8"/>
  <c r="L28" i="104"/>
  <c r="D31" i="104"/>
  <c r="X74" i="59" l="1"/>
  <c r="L84" i="93"/>
  <c r="X70" i="69"/>
  <c r="Z31" i="43"/>
  <c r="T36" i="43"/>
  <c r="Z36" i="43" s="1"/>
  <c r="X77" i="58"/>
  <c r="Z77" i="58" s="1"/>
  <c r="P80" i="58"/>
  <c r="X80" i="58" s="1"/>
  <c r="X107" i="70"/>
  <c r="Z107" i="70" s="1"/>
  <c r="P111" i="70"/>
  <c r="R107" i="70"/>
  <c r="P36" i="28"/>
  <c r="X31" i="28"/>
  <c r="P36" i="5"/>
  <c r="X31" i="5"/>
  <c r="Z31" i="20"/>
  <c r="T36" i="20"/>
  <c r="Z36" i="20" s="1"/>
  <c r="X31" i="16"/>
  <c r="P36" i="16"/>
  <c r="H70" i="69"/>
  <c r="J67" i="69"/>
  <c r="L67" i="69"/>
  <c r="N67" i="69" s="1"/>
  <c r="P105" i="45"/>
  <c r="X102" i="45"/>
  <c r="Z102" i="45" s="1"/>
  <c r="R102" i="45"/>
  <c r="P90" i="107"/>
  <c r="X86" i="107"/>
  <c r="Z86" i="107" s="1"/>
  <c r="R86" i="107"/>
  <c r="T36" i="46"/>
  <c r="Z36" i="46" s="1"/>
  <c r="Z31" i="46"/>
  <c r="X117" i="42"/>
  <c r="Z117" i="42" s="1"/>
  <c r="P121" i="42"/>
  <c r="R117" i="42"/>
  <c r="Z31" i="19"/>
  <c r="T36" i="19"/>
  <c r="Z36" i="19" s="1"/>
  <c r="D36" i="17"/>
  <c r="L31" i="17"/>
  <c r="D36" i="47"/>
  <c r="L31" i="47"/>
  <c r="L248" i="3"/>
  <c r="N248" i="3" s="1"/>
  <c r="D252" i="3"/>
  <c r="F248" i="3"/>
  <c r="T36" i="49"/>
  <c r="Z36" i="49" s="1"/>
  <c r="Z31" i="49"/>
  <c r="P36" i="26"/>
  <c r="X31" i="26"/>
  <c r="L161" i="30"/>
  <c r="N161" i="30" s="1"/>
  <c r="D164" i="30"/>
  <c r="F161" i="30"/>
  <c r="X91" i="95"/>
  <c r="Z91" i="95" s="1"/>
  <c r="P95" i="95"/>
  <c r="R91" i="95"/>
  <c r="T131" i="36"/>
  <c r="V128" i="36"/>
  <c r="L117" i="42"/>
  <c r="N117" i="42" s="1"/>
  <c r="D121" i="42"/>
  <c r="F117" i="42"/>
  <c r="X31" i="111"/>
  <c r="P36" i="111"/>
  <c r="P31" i="54"/>
  <c r="X31" i="54" s="1"/>
  <c r="Z31" i="54" s="1"/>
  <c r="X26" i="54"/>
  <c r="X214" i="12"/>
  <c r="Z214" i="12" s="1"/>
  <c r="P218" i="12"/>
  <c r="R214" i="12"/>
  <c r="H36" i="47"/>
  <c r="N36" i="47" s="1"/>
  <c r="N31" i="47"/>
  <c r="D131" i="36"/>
  <c r="L128" i="36"/>
  <c r="N128" i="36" s="1"/>
  <c r="F128" i="36"/>
  <c r="H80" i="57"/>
  <c r="D112" i="27"/>
  <c r="L108" i="27"/>
  <c r="N108" i="27" s="1"/>
  <c r="F108" i="27"/>
  <c r="T36" i="25"/>
  <c r="Z36" i="25" s="1"/>
  <c r="Z31" i="25"/>
  <c r="P36" i="49"/>
  <c r="X31" i="49"/>
  <c r="T86" i="33"/>
  <c r="V83" i="33"/>
  <c r="X99" i="21"/>
  <c r="Z99" i="21" s="1"/>
  <c r="P103" i="21"/>
  <c r="R99" i="21"/>
  <c r="X88" i="97"/>
  <c r="Z88" i="97" s="1"/>
  <c r="P91" i="97"/>
  <c r="X91" i="97" s="1"/>
  <c r="Z91" i="97" s="1"/>
  <c r="X83" i="33"/>
  <c r="Z83" i="33" s="1"/>
  <c r="P86" i="33"/>
  <c r="R83" i="33"/>
  <c r="N31" i="44"/>
  <c r="H36" i="44"/>
  <c r="N36" i="44" s="1"/>
  <c r="P36" i="41"/>
  <c r="X31" i="41"/>
  <c r="X26" i="89"/>
  <c r="P29" i="89"/>
  <c r="X29" i="89" s="1"/>
  <c r="T95" i="103"/>
  <c r="V92" i="103"/>
  <c r="X31" i="35"/>
  <c r="P36" i="35"/>
  <c r="P87" i="83"/>
  <c r="X83" i="83"/>
  <c r="Z83" i="83" s="1"/>
  <c r="X83" i="75"/>
  <c r="Z83" i="75" s="1"/>
  <c r="P86" i="75"/>
  <c r="R83" i="75"/>
  <c r="N31" i="50"/>
  <c r="H36" i="50"/>
  <c r="N36" i="50" s="1"/>
  <c r="D32" i="85"/>
  <c r="L28" i="85"/>
  <c r="N28" i="85" s="1"/>
  <c r="Z31" i="35"/>
  <c r="T36" i="35"/>
  <c r="Z36" i="35" s="1"/>
  <c r="Z31" i="52"/>
  <c r="T36" i="52"/>
  <c r="Z36" i="52" s="1"/>
  <c r="L31" i="37"/>
  <c r="D36" i="37"/>
  <c r="H84" i="79"/>
  <c r="J81" i="79"/>
  <c r="H75" i="72"/>
  <c r="J72" i="72"/>
  <c r="T82" i="56"/>
  <c r="H62" i="99"/>
  <c r="X31" i="29"/>
  <c r="P36" i="29"/>
  <c r="H31" i="108"/>
  <c r="N31" i="108" s="1"/>
  <c r="N28" i="108"/>
  <c r="N31" i="10"/>
  <c r="H36" i="10"/>
  <c r="N36" i="10" s="1"/>
  <c r="D62" i="99"/>
  <c r="L59" i="99"/>
  <c r="N59" i="99" s="1"/>
  <c r="T36" i="10"/>
  <c r="Z36" i="10" s="1"/>
  <c r="Z31" i="10"/>
  <c r="L31" i="44"/>
  <c r="D36" i="44"/>
  <c r="P106" i="9"/>
  <c r="X102" i="9"/>
  <c r="Z102" i="9" s="1"/>
  <c r="N31" i="28"/>
  <c r="H36" i="28"/>
  <c r="N36" i="28" s="1"/>
  <c r="D36" i="5"/>
  <c r="L31" i="5"/>
  <c r="H36" i="38"/>
  <c r="N36" i="38" s="1"/>
  <c r="N31" i="38"/>
  <c r="H74" i="59"/>
  <c r="J90" i="83"/>
  <c r="X31" i="23"/>
  <c r="P36" i="23"/>
  <c r="T221" i="12"/>
  <c r="V218" i="12"/>
  <c r="Z64" i="60"/>
  <c r="D86" i="33"/>
  <c r="L83" i="33"/>
  <c r="N83" i="33" s="1"/>
  <c r="F83" i="33"/>
  <c r="V90" i="83"/>
  <c r="H114" i="70"/>
  <c r="J111" i="70"/>
  <c r="D234" i="18"/>
  <c r="L230" i="18"/>
  <c r="N230" i="18" s="1"/>
  <c r="F230" i="18"/>
  <c r="L83" i="83"/>
  <c r="N83" i="83" s="1"/>
  <c r="D87" i="83"/>
  <c r="P211" i="15"/>
  <c r="X207" i="15"/>
  <c r="Z207" i="15" s="1"/>
  <c r="R207" i="15"/>
  <c r="L31" i="22"/>
  <c r="D36" i="22"/>
  <c r="X26" i="6"/>
  <c r="P31" i="6"/>
  <c r="N31" i="20"/>
  <c r="H36" i="20"/>
  <c r="N36" i="20" s="1"/>
  <c r="D96" i="105"/>
  <c r="L92" i="105"/>
  <c r="N92" i="105" s="1"/>
  <c r="F92" i="105"/>
  <c r="T39" i="88"/>
  <c r="H36" i="35"/>
  <c r="N36" i="35" s="1"/>
  <c r="N31" i="35"/>
  <c r="N31" i="31"/>
  <c r="H36" i="31"/>
  <c r="N36" i="31" s="1"/>
  <c r="H257" i="3"/>
  <c r="J252" i="3"/>
  <c r="X31" i="17"/>
  <c r="P36" i="17"/>
  <c r="T75" i="72"/>
  <c r="V72" i="72"/>
  <c r="X100" i="63"/>
  <c r="P103" i="63"/>
  <c r="L26" i="98"/>
  <c r="D29" i="98"/>
  <c r="L29" i="98" s="1"/>
  <c r="T36" i="41"/>
  <c r="Z36" i="41" s="1"/>
  <c r="Z31" i="41"/>
  <c r="D118" i="84"/>
  <c r="L114" i="84"/>
  <c r="N114" i="84" s="1"/>
  <c r="F114" i="84"/>
  <c r="T36" i="14"/>
  <c r="Z36" i="14" s="1"/>
  <c r="Z31" i="14"/>
  <c r="T146" i="74"/>
  <c r="V143" i="74"/>
  <c r="H36" i="7"/>
  <c r="N36" i="7" s="1"/>
  <c r="N31" i="7"/>
  <c r="H36" i="46"/>
  <c r="N36" i="46" s="1"/>
  <c r="N31" i="46"/>
  <c r="H77" i="109"/>
  <c r="J74" i="109"/>
  <c r="L31" i="32"/>
  <c r="D36" i="32"/>
  <c r="D36" i="35"/>
  <c r="L31" i="35"/>
  <c r="P43" i="101"/>
  <c r="X40" i="101"/>
  <c r="Z40" i="101" s="1"/>
  <c r="D143" i="74"/>
  <c r="L139" i="74"/>
  <c r="N139" i="74" s="1"/>
  <c r="F139" i="74"/>
  <c r="T36" i="37"/>
  <c r="Z36" i="37" s="1"/>
  <c r="Z31" i="37"/>
  <c r="J86" i="33"/>
  <c r="Z35" i="55"/>
  <c r="T38" i="55"/>
  <c r="X60" i="102"/>
  <c r="P63" i="102"/>
  <c r="Z31" i="31"/>
  <c r="T36" i="31"/>
  <c r="Z36" i="31" s="1"/>
  <c r="L31" i="25"/>
  <c r="D36" i="25"/>
  <c r="H36" i="8"/>
  <c r="N36" i="8" s="1"/>
  <c r="N31" i="8"/>
  <c r="H36" i="34"/>
  <c r="N36" i="34" s="1"/>
  <c r="N31" i="34"/>
  <c r="Z31" i="28"/>
  <c r="T36" i="28"/>
  <c r="Z36" i="28" s="1"/>
  <c r="D36" i="26"/>
  <c r="L31" i="26"/>
  <c r="H36" i="37"/>
  <c r="N36" i="37" s="1"/>
  <c r="N31" i="37"/>
  <c r="P164" i="30"/>
  <c r="X161" i="30"/>
  <c r="Z161" i="30" s="1"/>
  <c r="R161" i="30"/>
  <c r="D95" i="95"/>
  <c r="L91" i="95"/>
  <c r="N91" i="95" s="1"/>
  <c r="F91" i="95"/>
  <c r="N31" i="14"/>
  <c r="H36" i="14"/>
  <c r="N36" i="14" s="1"/>
  <c r="H131" i="36"/>
  <c r="J128" i="36"/>
  <c r="T36" i="4"/>
  <c r="Z36" i="4" s="1"/>
  <c r="Z31" i="4"/>
  <c r="L40" i="101"/>
  <c r="D43" i="101"/>
  <c r="P118" i="84"/>
  <c r="X114" i="84"/>
  <c r="Z114" i="84" s="1"/>
  <c r="R114" i="84"/>
  <c r="X31" i="19"/>
  <c r="P36" i="19"/>
  <c r="N31" i="11"/>
  <c r="H36" i="11"/>
  <c r="N36" i="11" s="1"/>
  <c r="X124" i="36"/>
  <c r="Z124" i="36" s="1"/>
  <c r="P128" i="36"/>
  <c r="R124" i="36"/>
  <c r="L34" i="100"/>
  <c r="N34" i="100" s="1"/>
  <c r="D37" i="100"/>
  <c r="X26" i="90"/>
  <c r="P29" i="90"/>
  <c r="L26" i="89"/>
  <c r="D29" i="89"/>
  <c r="D77" i="57"/>
  <c r="L73" i="57"/>
  <c r="N73" i="57" s="1"/>
  <c r="Z31" i="16"/>
  <c r="T36" i="16"/>
  <c r="Z36" i="16" s="1"/>
  <c r="X31" i="20"/>
  <c r="P36" i="20"/>
  <c r="D36" i="19"/>
  <c r="L31" i="19"/>
  <c r="H37" i="100"/>
  <c r="D36" i="4"/>
  <c r="L31" i="4"/>
  <c r="X31" i="112"/>
  <c r="P36" i="112"/>
  <c r="Z31" i="23"/>
  <c r="T36" i="23"/>
  <c r="Z36" i="23" s="1"/>
  <c r="T36" i="5"/>
  <c r="Z36" i="5" s="1"/>
  <c r="Z31" i="5"/>
  <c r="N31" i="32"/>
  <c r="H36" i="32"/>
  <c r="N36" i="32" s="1"/>
  <c r="N31" i="4"/>
  <c r="H36" i="4"/>
  <c r="N36" i="4" s="1"/>
  <c r="P36" i="13"/>
  <c r="X31" i="13"/>
  <c r="N31" i="53"/>
  <c r="H36" i="53"/>
  <c r="N36" i="53" s="1"/>
  <c r="N31" i="13"/>
  <c r="H36" i="13"/>
  <c r="N36" i="13" s="1"/>
  <c r="D36" i="111"/>
  <c r="L31" i="111"/>
  <c r="D93" i="87"/>
  <c r="L90" i="87"/>
  <c r="N90" i="87" s="1"/>
  <c r="P84" i="93"/>
  <c r="X81" i="93"/>
  <c r="H146" i="74"/>
  <c r="J143" i="74"/>
  <c r="D82" i="94"/>
  <c r="L78" i="94"/>
  <c r="N78" i="94" s="1"/>
  <c r="D92" i="24"/>
  <c r="L88" i="24"/>
  <c r="N88" i="24" s="1"/>
  <c r="F88" i="24"/>
  <c r="D91" i="97"/>
  <c r="L88" i="97"/>
  <c r="N88" i="97" s="1"/>
  <c r="T85" i="92"/>
  <c r="P36" i="32"/>
  <c r="X31" i="32"/>
  <c r="N31" i="110"/>
  <c r="H36" i="110"/>
  <c r="N36" i="110" s="1"/>
  <c r="T109" i="9"/>
  <c r="L98" i="51"/>
  <c r="N98" i="51" s="1"/>
  <c r="D102" i="51"/>
  <c r="F98" i="51"/>
  <c r="L31" i="31"/>
  <c r="D36" i="31"/>
  <c r="H36" i="25"/>
  <c r="N36" i="25" s="1"/>
  <c r="N31" i="25"/>
  <c r="L218" i="12"/>
  <c r="D221" i="12"/>
  <c r="F218" i="12"/>
  <c r="X79" i="56"/>
  <c r="Z79" i="56" s="1"/>
  <c r="P82" i="56"/>
  <c r="X82" i="56" s="1"/>
  <c r="T36" i="53"/>
  <c r="Z36" i="53" s="1"/>
  <c r="Z31" i="53"/>
  <c r="X90" i="87"/>
  <c r="Z90" i="87" s="1"/>
  <c r="P93" i="87"/>
  <c r="X93" i="87" s="1"/>
  <c r="T85" i="94"/>
  <c r="D36" i="7"/>
  <c r="L31" i="7"/>
  <c r="T43" i="101"/>
  <c r="P82" i="94"/>
  <c r="X78" i="94"/>
  <c r="Z78" i="94" s="1"/>
  <c r="R78" i="94"/>
  <c r="X96" i="105"/>
  <c r="P99" i="105"/>
  <c r="R96" i="105"/>
  <c r="N31" i="17"/>
  <c r="H36" i="17"/>
  <c r="N36" i="17" s="1"/>
  <c r="Z26" i="6"/>
  <c r="T31" i="6"/>
  <c r="P257" i="3"/>
  <c r="X252" i="3"/>
  <c r="Z252" i="3" s="1"/>
  <c r="R252" i="3"/>
  <c r="H36" i="16"/>
  <c r="N36" i="16" s="1"/>
  <c r="N31" i="16"/>
  <c r="P92" i="68"/>
  <c r="X88" i="68"/>
  <c r="Z88" i="68" s="1"/>
  <c r="R88" i="68"/>
  <c r="L36" i="88"/>
  <c r="N36" i="88" s="1"/>
  <c r="D39" i="88"/>
  <c r="L39" i="88" s="1"/>
  <c r="N39" i="88" s="1"/>
  <c r="L31" i="13"/>
  <c r="D36" i="13"/>
  <c r="L28" i="108"/>
  <c r="D31" i="108"/>
  <c r="L31" i="108" s="1"/>
  <c r="P36" i="10"/>
  <c r="X31" i="10"/>
  <c r="N100" i="63"/>
  <c r="H103" i="63"/>
  <c r="L103" i="63" s="1"/>
  <c r="P95" i="24"/>
  <c r="X92" i="24"/>
  <c r="Z92" i="24" s="1"/>
  <c r="R92" i="24"/>
  <c r="H35" i="85"/>
  <c r="J32" i="85"/>
  <c r="H29" i="89"/>
  <c r="N29" i="89" s="1"/>
  <c r="N26" i="89"/>
  <c r="H36" i="111"/>
  <c r="N36" i="111" s="1"/>
  <c r="N31" i="111"/>
  <c r="P32" i="85"/>
  <c r="X28" i="85"/>
  <c r="Z28" i="85" s="1"/>
  <c r="R28" i="85"/>
  <c r="N31" i="43"/>
  <c r="H36" i="43"/>
  <c r="N36" i="43" s="1"/>
  <c r="D36" i="8"/>
  <c r="L31" i="8"/>
  <c r="X31" i="34"/>
  <c r="P36" i="34"/>
  <c r="N218" i="12"/>
  <c r="H221" i="12"/>
  <c r="J218" i="12"/>
  <c r="X34" i="100"/>
  <c r="Z34" i="100" s="1"/>
  <c r="P37" i="100"/>
  <c r="X37" i="100" s="1"/>
  <c r="Z37" i="100" s="1"/>
  <c r="D83" i="75"/>
  <c r="L79" i="75"/>
  <c r="N79" i="75" s="1"/>
  <c r="F79" i="75"/>
  <c r="V84" i="79"/>
  <c r="H36" i="19"/>
  <c r="N36" i="19" s="1"/>
  <c r="N31" i="19"/>
  <c r="X31" i="14"/>
  <c r="P36" i="14"/>
  <c r="V35" i="85"/>
  <c r="H36" i="41"/>
  <c r="N36" i="41" s="1"/>
  <c r="N31" i="41"/>
  <c r="X53" i="82"/>
  <c r="P56" i="82"/>
  <c r="R53" i="82"/>
  <c r="P36" i="47"/>
  <c r="X31" i="47"/>
  <c r="Z31" i="8"/>
  <c r="T36" i="8"/>
  <c r="Z36" i="8" s="1"/>
  <c r="X70" i="109"/>
  <c r="Z70" i="109" s="1"/>
  <c r="P74" i="109"/>
  <c r="R70" i="109"/>
  <c r="D63" i="102"/>
  <c r="L60" i="102"/>
  <c r="L31" i="49"/>
  <c r="D36" i="49"/>
  <c r="Z31" i="34"/>
  <c r="T36" i="34"/>
  <c r="Z36" i="34" s="1"/>
  <c r="T114" i="70"/>
  <c r="V111" i="70"/>
  <c r="D36" i="28"/>
  <c r="L31" i="28"/>
  <c r="D36" i="112"/>
  <c r="L31" i="112"/>
  <c r="X108" i="27"/>
  <c r="Z108" i="27" s="1"/>
  <c r="P112" i="27"/>
  <c r="R108" i="27"/>
  <c r="H237" i="18"/>
  <c r="J234" i="18"/>
  <c r="D36" i="34"/>
  <c r="L31" i="34"/>
  <c r="X31" i="8"/>
  <c r="P36" i="8"/>
  <c r="D125" i="39"/>
  <c r="L121" i="39"/>
  <c r="N121" i="39" s="1"/>
  <c r="F121" i="39"/>
  <c r="T36" i="38"/>
  <c r="Z36" i="38" s="1"/>
  <c r="Z31" i="38"/>
  <c r="D211" i="15"/>
  <c r="L207" i="15"/>
  <c r="N207" i="15" s="1"/>
  <c r="F207" i="15"/>
  <c r="H31" i="54"/>
  <c r="N26" i="54"/>
  <c r="L26" i="54"/>
  <c r="L31" i="52"/>
  <c r="D36" i="52"/>
  <c r="D31" i="6"/>
  <c r="L26" i="6"/>
  <c r="T95" i="24"/>
  <c r="V92" i="24"/>
  <c r="Z31" i="11"/>
  <c r="T36" i="11"/>
  <c r="Z36" i="11" s="1"/>
  <c r="D36" i="11"/>
  <c r="L31" i="11"/>
  <c r="P36" i="31"/>
  <c r="X31" i="31"/>
  <c r="Z31" i="7"/>
  <c r="T36" i="7"/>
  <c r="Z36" i="7" s="1"/>
  <c r="H36" i="22"/>
  <c r="N36" i="22" s="1"/>
  <c r="N31" i="22"/>
  <c r="Z31" i="26"/>
  <c r="T36" i="26"/>
  <c r="Z36" i="26" s="1"/>
  <c r="P77" i="48"/>
  <c r="X74" i="48"/>
  <c r="Z74" i="48" s="1"/>
  <c r="R74" i="48"/>
  <c r="Z80" i="58"/>
  <c r="H77" i="80"/>
  <c r="Z53" i="82"/>
  <c r="T56" i="82"/>
  <c r="V53" i="82"/>
  <c r="L49" i="82"/>
  <c r="N49" i="82" s="1"/>
  <c r="D53" i="82"/>
  <c r="F49" i="82"/>
  <c r="L31" i="110"/>
  <c r="D36" i="110"/>
  <c r="Z31" i="22"/>
  <c r="T36" i="22"/>
  <c r="Z36" i="22" s="1"/>
  <c r="X31" i="37"/>
  <c r="P36" i="37"/>
  <c r="D36" i="38"/>
  <c r="L31" i="38"/>
  <c r="X84" i="91"/>
  <c r="Z84" i="91" s="1"/>
  <c r="P87" i="91"/>
  <c r="X87" i="91" s="1"/>
  <c r="Z87" i="91" s="1"/>
  <c r="H63" i="102"/>
  <c r="N60" i="102"/>
  <c r="D36" i="20"/>
  <c r="L31" i="20"/>
  <c r="H105" i="45"/>
  <c r="J102" i="45"/>
  <c r="X77" i="57"/>
  <c r="Z77" i="57" s="1"/>
  <c r="P80" i="57"/>
  <c r="Z31" i="32"/>
  <c r="T36" i="32"/>
  <c r="Z36" i="32" s="1"/>
  <c r="P234" i="18"/>
  <c r="X230" i="18"/>
  <c r="Z230" i="18" s="1"/>
  <c r="R230" i="18"/>
  <c r="H87" i="91"/>
  <c r="H80" i="58"/>
  <c r="T77" i="80"/>
  <c r="Z74" i="80"/>
  <c r="T80" i="57"/>
  <c r="D74" i="80"/>
  <c r="L70" i="80"/>
  <c r="N70" i="80" s="1"/>
  <c r="X31" i="38"/>
  <c r="P36" i="38"/>
  <c r="H29" i="90"/>
  <c r="N29" i="90" s="1"/>
  <c r="N26" i="90"/>
  <c r="D64" i="60"/>
  <c r="L64" i="60" s="1"/>
  <c r="N64" i="60" s="1"/>
  <c r="L61" i="60"/>
  <c r="N61" i="60" s="1"/>
  <c r="Z74" i="59"/>
  <c r="H38" i="55"/>
  <c r="L31" i="29"/>
  <c r="D36" i="29"/>
  <c r="Z31" i="40"/>
  <c r="T36" i="40"/>
  <c r="Z36" i="40" s="1"/>
  <c r="Z28" i="108"/>
  <c r="T31" i="108"/>
  <c r="Z31" i="108" s="1"/>
  <c r="Z70" i="69"/>
  <c r="V70" i="69"/>
  <c r="X36" i="88"/>
  <c r="Z36" i="88" s="1"/>
  <c r="P39" i="88"/>
  <c r="X31" i="44"/>
  <c r="P36" i="44"/>
  <c r="T36" i="44"/>
  <c r="Z36" i="44" s="1"/>
  <c r="Z31" i="44"/>
  <c r="Z60" i="102"/>
  <c r="T63" i="102"/>
  <c r="D36" i="16"/>
  <c r="L31" i="16"/>
  <c r="X92" i="103"/>
  <c r="Z92" i="103" s="1"/>
  <c r="P95" i="103"/>
  <c r="R92" i="103"/>
  <c r="T214" i="15"/>
  <c r="V211" i="15"/>
  <c r="L31" i="53"/>
  <c r="D36" i="53"/>
  <c r="D87" i="91"/>
  <c r="L84" i="91"/>
  <c r="N84" i="91" s="1"/>
  <c r="T93" i="87"/>
  <c r="Z31" i="112"/>
  <c r="T36" i="112"/>
  <c r="Z36" i="112" s="1"/>
  <c r="H31" i="6"/>
  <c r="N26" i="6"/>
  <c r="P85" i="92"/>
  <c r="X85" i="92" s="1"/>
  <c r="X82" i="92"/>
  <c r="Z82" i="92" s="1"/>
  <c r="L79" i="56"/>
  <c r="D82" i="56"/>
  <c r="H105" i="51"/>
  <c r="J102" i="51"/>
  <c r="Z31" i="50"/>
  <c r="T36" i="50"/>
  <c r="Z36" i="50" s="1"/>
  <c r="H36" i="40"/>
  <c r="N36" i="40" s="1"/>
  <c r="N31" i="40"/>
  <c r="H91" i="97"/>
  <c r="X31" i="43"/>
  <c r="P36" i="43"/>
  <c r="H121" i="84"/>
  <c r="J118" i="84"/>
  <c r="X31" i="7"/>
  <c r="P36" i="7"/>
  <c r="D36" i="23"/>
  <c r="L31" i="23"/>
  <c r="T36" i="29"/>
  <c r="Z36" i="29" s="1"/>
  <c r="Z31" i="29"/>
  <c r="D80" i="58"/>
  <c r="L80" i="58" s="1"/>
  <c r="L77" i="58"/>
  <c r="N77" i="58" s="1"/>
  <c r="V86" i="75"/>
  <c r="X31" i="46"/>
  <c r="P36" i="46"/>
  <c r="N109" i="9"/>
  <c r="X31" i="52"/>
  <c r="P36" i="52"/>
  <c r="J214" i="15"/>
  <c r="D67" i="61"/>
  <c r="L67" i="61" s="1"/>
  <c r="N67" i="61" s="1"/>
  <c r="L64" i="61"/>
  <c r="N64" i="61" s="1"/>
  <c r="X64" i="61"/>
  <c r="Z64" i="61" s="1"/>
  <c r="P67" i="61"/>
  <c r="X67" i="61" s="1"/>
  <c r="Z67" i="61" s="1"/>
  <c r="H93" i="107"/>
  <c r="J90" i="107"/>
  <c r="T105" i="76"/>
  <c r="V102" i="76"/>
  <c r="H98" i="95"/>
  <c r="J95" i="95"/>
  <c r="V105" i="45"/>
  <c r="T95" i="68"/>
  <c r="V92" i="68"/>
  <c r="Z31" i="110"/>
  <c r="T36" i="110"/>
  <c r="Z36" i="110" s="1"/>
  <c r="H105" i="76"/>
  <c r="J102" i="76"/>
  <c r="N82" i="92"/>
  <c r="H85" i="92"/>
  <c r="V124" i="42"/>
  <c r="N31" i="49"/>
  <c r="H36" i="49"/>
  <c r="N36" i="49" s="1"/>
  <c r="L31" i="10"/>
  <c r="D36" i="10"/>
  <c r="P36" i="50"/>
  <c r="X31" i="50"/>
  <c r="L31" i="40"/>
  <c r="D36" i="40"/>
  <c r="V93" i="107"/>
  <c r="X102" i="76"/>
  <c r="Z102" i="76" s="1"/>
  <c r="P105" i="76"/>
  <c r="R102" i="76"/>
  <c r="T77" i="48"/>
  <c r="V74" i="48"/>
  <c r="X72" i="72"/>
  <c r="Z72" i="72" s="1"/>
  <c r="P75" i="72"/>
  <c r="N28" i="104"/>
  <c r="H31" i="104"/>
  <c r="N31" i="104" s="1"/>
  <c r="L88" i="68"/>
  <c r="N88" i="68" s="1"/>
  <c r="D92" i="68"/>
  <c r="F88" i="68"/>
  <c r="X59" i="99"/>
  <c r="P62" i="99"/>
  <c r="L31" i="43"/>
  <c r="D36" i="43"/>
  <c r="P81" i="79"/>
  <c r="X77" i="79"/>
  <c r="Z77" i="79" s="1"/>
  <c r="R77" i="79"/>
  <c r="H93" i="87"/>
  <c r="D102" i="76"/>
  <c r="L98" i="76"/>
  <c r="N98" i="76" s="1"/>
  <c r="F98" i="76"/>
  <c r="H36" i="26"/>
  <c r="N36" i="26" s="1"/>
  <c r="N31" i="26"/>
  <c r="P36" i="25"/>
  <c r="X31" i="25"/>
  <c r="P29" i="98"/>
  <c r="X29" i="98" s="1"/>
  <c r="X26" i="98"/>
  <c r="H36" i="52"/>
  <c r="N36" i="52" s="1"/>
  <c r="N31" i="52"/>
  <c r="X31" i="22"/>
  <c r="P36" i="22"/>
  <c r="Z31" i="47"/>
  <c r="T36" i="47"/>
  <c r="Z36" i="47" s="1"/>
  <c r="T84" i="93"/>
  <c r="Z81" i="93"/>
  <c r="X38" i="55"/>
  <c r="L109" i="9"/>
  <c r="X31" i="4"/>
  <c r="P36" i="4"/>
  <c r="H36" i="23"/>
  <c r="N36" i="23" s="1"/>
  <c r="N31" i="23"/>
  <c r="L92" i="103"/>
  <c r="N92" i="103" s="1"/>
  <c r="D95" i="103"/>
  <c r="F92" i="103"/>
  <c r="V237" i="18"/>
  <c r="H95" i="103"/>
  <c r="J92" i="103"/>
  <c r="H95" i="24"/>
  <c r="J92" i="24"/>
  <c r="N79" i="56"/>
  <c r="H82" i="56"/>
  <c r="N31" i="112"/>
  <c r="H36" i="112"/>
  <c r="N36" i="112" s="1"/>
  <c r="D36" i="41"/>
  <c r="L31" i="41"/>
  <c r="L74" i="109"/>
  <c r="N74" i="109" s="1"/>
  <c r="D77" i="109"/>
  <c r="F74" i="109"/>
  <c r="Z31" i="13"/>
  <c r="T36" i="13"/>
  <c r="Z36" i="13" s="1"/>
  <c r="H106" i="21"/>
  <c r="N103" i="21"/>
  <c r="J103" i="21"/>
  <c r="X139" i="74"/>
  <c r="Z139" i="74" s="1"/>
  <c r="P143" i="74"/>
  <c r="R139" i="74"/>
  <c r="T98" i="95"/>
  <c r="V95" i="95"/>
  <c r="D102" i="45"/>
  <c r="L98" i="45"/>
  <c r="N98" i="45" s="1"/>
  <c r="F98" i="45"/>
  <c r="H77" i="48"/>
  <c r="J74" i="48"/>
  <c r="N40" i="101"/>
  <c r="H43" i="101"/>
  <c r="H115" i="27"/>
  <c r="J112" i="27"/>
  <c r="L31" i="50"/>
  <c r="D36" i="50"/>
  <c r="L71" i="59"/>
  <c r="N71" i="59" s="1"/>
  <c r="H36" i="29"/>
  <c r="N36" i="29" s="1"/>
  <c r="N31" i="29"/>
  <c r="D36" i="46"/>
  <c r="L31" i="46"/>
  <c r="X31" i="53"/>
  <c r="P36" i="53"/>
  <c r="X31" i="110"/>
  <c r="P36" i="110"/>
  <c r="Z31" i="17"/>
  <c r="T36" i="17"/>
  <c r="Z36" i="17" s="1"/>
  <c r="X31" i="11"/>
  <c r="P36" i="11"/>
  <c r="X31" i="40"/>
  <c r="P36" i="40"/>
  <c r="V164" i="30"/>
  <c r="P31" i="104"/>
  <c r="X31" i="104" s="1"/>
  <c r="X28" i="104"/>
  <c r="T106" i="21"/>
  <c r="V103" i="21"/>
  <c r="T77" i="109"/>
  <c r="V74" i="109"/>
  <c r="Z31" i="111"/>
  <c r="T36" i="111"/>
  <c r="Z36" i="111" s="1"/>
  <c r="X121" i="39"/>
  <c r="Z121" i="39" s="1"/>
  <c r="P125" i="39"/>
  <c r="R121" i="39"/>
  <c r="D111" i="70"/>
  <c r="L107" i="70"/>
  <c r="N107" i="70" s="1"/>
  <c r="F107" i="70"/>
  <c r="V128" i="39"/>
  <c r="X98" i="51"/>
  <c r="Z98" i="51" s="1"/>
  <c r="P102" i="51"/>
  <c r="R98" i="51"/>
  <c r="H85" i="94"/>
  <c r="D93" i="107"/>
  <c r="L90" i="107"/>
  <c r="N90" i="107" s="1"/>
  <c r="F90" i="107"/>
  <c r="H56" i="82"/>
  <c r="J53" i="82"/>
  <c r="H86" i="75"/>
  <c r="J83" i="75"/>
  <c r="N31" i="5"/>
  <c r="H36" i="5"/>
  <c r="N36" i="5" s="1"/>
  <c r="Z59" i="99"/>
  <c r="T62" i="99"/>
  <c r="T121" i="84"/>
  <c r="V118" i="84"/>
  <c r="D75" i="72"/>
  <c r="L75" i="72" s="1"/>
  <c r="L72" i="72"/>
  <c r="N72" i="72" s="1"/>
  <c r="L31" i="14"/>
  <c r="D36" i="14"/>
  <c r="D106" i="21"/>
  <c r="L103" i="21"/>
  <c r="F103" i="21"/>
  <c r="T99" i="105"/>
  <c r="Z96" i="105"/>
  <c r="V96" i="105"/>
  <c r="J164" i="30"/>
  <c r="N84" i="93"/>
  <c r="Z100" i="63"/>
  <c r="T103" i="63"/>
  <c r="T105" i="51"/>
  <c r="V102" i="51"/>
  <c r="T29" i="90"/>
  <c r="Z29" i="90" s="1"/>
  <c r="Z26" i="90"/>
  <c r="L74" i="59"/>
  <c r="L35" i="55"/>
  <c r="N35" i="55" s="1"/>
  <c r="D38" i="55"/>
  <c r="L74" i="48"/>
  <c r="N74" i="48" s="1"/>
  <c r="D77" i="48"/>
  <c r="F74" i="48"/>
  <c r="L81" i="79"/>
  <c r="N81" i="79" s="1"/>
  <c r="D84" i="79"/>
  <c r="F81" i="79"/>
  <c r="P77" i="80"/>
  <c r="X77" i="80" s="1"/>
  <c r="X74" i="80"/>
  <c r="L43" i="101" l="1"/>
  <c r="X36" i="8"/>
  <c r="X36" i="22"/>
  <c r="X36" i="110"/>
  <c r="X36" i="46"/>
  <c r="X36" i="4"/>
  <c r="L36" i="40"/>
  <c r="L36" i="20"/>
  <c r="X36" i="10"/>
  <c r="X36" i="31"/>
  <c r="X36" i="52"/>
  <c r="X36" i="11"/>
  <c r="L36" i="34"/>
  <c r="L36" i="35"/>
  <c r="X36" i="50"/>
  <c r="L36" i="110"/>
  <c r="L36" i="13"/>
  <c r="L36" i="14"/>
  <c r="X36" i="43"/>
  <c r="L36" i="7"/>
  <c r="X36" i="20"/>
  <c r="L36" i="44"/>
  <c r="L36" i="43"/>
  <c r="X36" i="40"/>
  <c r="L36" i="28"/>
  <c r="L36" i="11"/>
  <c r="L36" i="10"/>
  <c r="X36" i="53"/>
  <c r="L36" i="41"/>
  <c r="X36" i="25"/>
  <c r="X36" i="38"/>
  <c r="L36" i="38"/>
  <c r="X36" i="14"/>
  <c r="L36" i="19"/>
  <c r="X36" i="5"/>
  <c r="X36" i="47"/>
  <c r="X36" i="41"/>
  <c r="X36" i="28"/>
  <c r="L36" i="53"/>
  <c r="L36" i="31"/>
  <c r="X36" i="13"/>
  <c r="X36" i="49"/>
  <c r="L36" i="47"/>
  <c r="L36" i="46"/>
  <c r="L36" i="112"/>
  <c r="X36" i="17"/>
  <c r="L36" i="52"/>
  <c r="L36" i="50"/>
  <c r="L102" i="51"/>
  <c r="N102" i="51" s="1"/>
  <c r="D105" i="51"/>
  <c r="F102" i="51"/>
  <c r="J77" i="109"/>
  <c r="V75" i="72"/>
  <c r="P109" i="9"/>
  <c r="X109" i="9" s="1"/>
  <c r="X106" i="9"/>
  <c r="Z106" i="9" s="1"/>
  <c r="J84" i="79"/>
  <c r="X86" i="33"/>
  <c r="Z86" i="33" s="1"/>
  <c r="R86" i="33"/>
  <c r="V131" i="36"/>
  <c r="X105" i="45"/>
  <c r="Z105" i="45" s="1"/>
  <c r="R105" i="45"/>
  <c r="L38" i="55"/>
  <c r="D114" i="70"/>
  <c r="L111" i="70"/>
  <c r="N111" i="70" s="1"/>
  <c r="F111" i="70"/>
  <c r="V106" i="21"/>
  <c r="J106" i="21"/>
  <c r="P84" i="79"/>
  <c r="X81" i="79"/>
  <c r="Z81" i="79" s="1"/>
  <c r="R81" i="79"/>
  <c r="Z93" i="87"/>
  <c r="X39" i="88"/>
  <c r="Z39" i="88" s="1"/>
  <c r="X80" i="57"/>
  <c r="Z80" i="57" s="1"/>
  <c r="X36" i="34"/>
  <c r="X82" i="94"/>
  <c r="Z82" i="94" s="1"/>
  <c r="P85" i="94"/>
  <c r="R82" i="94"/>
  <c r="L91" i="97"/>
  <c r="N91" i="97" s="1"/>
  <c r="X36" i="112"/>
  <c r="X128" i="36"/>
  <c r="Z128" i="36" s="1"/>
  <c r="P131" i="36"/>
  <c r="R128" i="36"/>
  <c r="L36" i="25"/>
  <c r="N74" i="59"/>
  <c r="L36" i="37"/>
  <c r="X218" i="12"/>
  <c r="Z218" i="12" s="1"/>
  <c r="P221" i="12"/>
  <c r="R218" i="12"/>
  <c r="D257" i="3"/>
  <c r="L252" i="3"/>
  <c r="N252" i="3" s="1"/>
  <c r="F252" i="3"/>
  <c r="J77" i="48"/>
  <c r="J105" i="51"/>
  <c r="J105" i="76"/>
  <c r="Z77" i="80"/>
  <c r="D214" i="15"/>
  <c r="L211" i="15"/>
  <c r="N211" i="15" s="1"/>
  <c r="F211" i="15"/>
  <c r="J237" i="18"/>
  <c r="J35" i="85"/>
  <c r="X257" i="3"/>
  <c r="Z257" i="3" s="1"/>
  <c r="R257" i="3"/>
  <c r="L221" i="12"/>
  <c r="F221" i="12"/>
  <c r="Z109" i="9"/>
  <c r="L93" i="87"/>
  <c r="N93" i="87" s="1"/>
  <c r="L31" i="104"/>
  <c r="D146" i="74"/>
  <c r="L143" i="74"/>
  <c r="N143" i="74" s="1"/>
  <c r="F143" i="74"/>
  <c r="X211" i="15"/>
  <c r="Z211" i="15" s="1"/>
  <c r="P214" i="15"/>
  <c r="R211" i="15"/>
  <c r="N62" i="99"/>
  <c r="X86" i="75"/>
  <c r="Z86" i="75" s="1"/>
  <c r="R86" i="75"/>
  <c r="V95" i="103"/>
  <c r="J70" i="69"/>
  <c r="L70" i="69"/>
  <c r="N70" i="69" s="1"/>
  <c r="V114" i="70"/>
  <c r="V121" i="84"/>
  <c r="X36" i="37"/>
  <c r="V99" i="105"/>
  <c r="L102" i="45"/>
  <c r="N102" i="45" s="1"/>
  <c r="D105" i="45"/>
  <c r="F102" i="45"/>
  <c r="X62" i="99"/>
  <c r="Z62" i="99" s="1"/>
  <c r="L82" i="56"/>
  <c r="N82" i="56" s="1"/>
  <c r="L87" i="91"/>
  <c r="L36" i="16"/>
  <c r="N80" i="58"/>
  <c r="V95" i="24"/>
  <c r="L36" i="49"/>
  <c r="X56" i="82"/>
  <c r="R56" i="82"/>
  <c r="L36" i="8"/>
  <c r="D95" i="24"/>
  <c r="L92" i="24"/>
  <c r="N92" i="24" s="1"/>
  <c r="F92" i="24"/>
  <c r="L36" i="4"/>
  <c r="L87" i="83"/>
  <c r="N87" i="83" s="1"/>
  <c r="D90" i="83"/>
  <c r="L90" i="83" s="1"/>
  <c r="N90" i="83" s="1"/>
  <c r="L86" i="33"/>
  <c r="N86" i="33" s="1"/>
  <c r="F86" i="33"/>
  <c r="L112" i="27"/>
  <c r="N112" i="27" s="1"/>
  <c r="D115" i="27"/>
  <c r="F112" i="27"/>
  <c r="X111" i="70"/>
  <c r="Z111" i="70" s="1"/>
  <c r="P114" i="70"/>
  <c r="R111" i="70"/>
  <c r="X95" i="95"/>
  <c r="Z95" i="95" s="1"/>
  <c r="P98" i="95"/>
  <c r="R95" i="95"/>
  <c r="L93" i="107"/>
  <c r="F93" i="107"/>
  <c r="N85" i="94"/>
  <c r="X125" i="39"/>
  <c r="Z125" i="39" s="1"/>
  <c r="P128" i="39"/>
  <c r="R125" i="39"/>
  <c r="J95" i="24"/>
  <c r="X105" i="76"/>
  <c r="Z105" i="76" s="1"/>
  <c r="R105" i="76"/>
  <c r="J98" i="95"/>
  <c r="J105" i="45"/>
  <c r="X112" i="27"/>
  <c r="Z112" i="27" s="1"/>
  <c r="P115" i="27"/>
  <c r="R112" i="27"/>
  <c r="L29" i="90"/>
  <c r="L36" i="111"/>
  <c r="L77" i="57"/>
  <c r="N77" i="57" s="1"/>
  <c r="D80" i="57"/>
  <c r="L80" i="57" s="1"/>
  <c r="N80" i="57" s="1"/>
  <c r="X63" i="102"/>
  <c r="Z63" i="102" s="1"/>
  <c r="X43" i="101"/>
  <c r="Z43" i="101" s="1"/>
  <c r="J257" i="3"/>
  <c r="L96" i="105"/>
  <c r="N96" i="105" s="1"/>
  <c r="D99" i="105"/>
  <c r="F96" i="105"/>
  <c r="X103" i="21"/>
  <c r="Z103" i="21" s="1"/>
  <c r="P106" i="21"/>
  <c r="R103" i="21"/>
  <c r="X36" i="111"/>
  <c r="X31" i="108"/>
  <c r="D121" i="84"/>
  <c r="L118" i="84"/>
  <c r="N118" i="84" s="1"/>
  <c r="F118" i="84"/>
  <c r="J115" i="27"/>
  <c r="N87" i="91"/>
  <c r="D85" i="94"/>
  <c r="L85" i="94" s="1"/>
  <c r="L82" i="94"/>
  <c r="N82" i="94" s="1"/>
  <c r="L29" i="89"/>
  <c r="J131" i="36"/>
  <c r="L36" i="26"/>
  <c r="L85" i="92"/>
  <c r="N85" i="92" s="1"/>
  <c r="L62" i="99"/>
  <c r="Z82" i="56"/>
  <c r="X87" i="83"/>
  <c r="Z87" i="83" s="1"/>
  <c r="P90" i="83"/>
  <c r="X90" i="83" s="1"/>
  <c r="Z90" i="83" s="1"/>
  <c r="L164" i="30"/>
  <c r="N164" i="30" s="1"/>
  <c r="F164" i="30"/>
  <c r="L95" i="103"/>
  <c r="N95" i="103" s="1"/>
  <c r="F95" i="103"/>
  <c r="N38" i="55"/>
  <c r="L102" i="76"/>
  <c r="N102" i="76" s="1"/>
  <c r="D105" i="76"/>
  <c r="F102" i="76"/>
  <c r="L106" i="21"/>
  <c r="N106" i="21" s="1"/>
  <c r="F106" i="21"/>
  <c r="P105" i="51"/>
  <c r="X102" i="51"/>
  <c r="Z102" i="51" s="1"/>
  <c r="R102" i="51"/>
  <c r="N43" i="101"/>
  <c r="V98" i="95"/>
  <c r="L77" i="109"/>
  <c r="N77" i="109" s="1"/>
  <c r="F77" i="109"/>
  <c r="L92" i="68"/>
  <c r="N92" i="68" s="1"/>
  <c r="D95" i="68"/>
  <c r="F92" i="68"/>
  <c r="V105" i="76"/>
  <c r="L36" i="23"/>
  <c r="L31" i="6"/>
  <c r="N31" i="6" s="1"/>
  <c r="L63" i="102"/>
  <c r="N63" i="102" s="1"/>
  <c r="D86" i="75"/>
  <c r="L83" i="75"/>
  <c r="N83" i="75" s="1"/>
  <c r="F83" i="75"/>
  <c r="X36" i="32"/>
  <c r="X36" i="19"/>
  <c r="Z38" i="55"/>
  <c r="V146" i="74"/>
  <c r="X36" i="35"/>
  <c r="L36" i="17"/>
  <c r="X90" i="107"/>
  <c r="Z90" i="107" s="1"/>
  <c r="P93" i="107"/>
  <c r="R90" i="107"/>
  <c r="X36" i="16"/>
  <c r="D128" i="39"/>
  <c r="L125" i="39"/>
  <c r="N125" i="39" s="1"/>
  <c r="F125" i="39"/>
  <c r="X95" i="24"/>
  <c r="Z95" i="24" s="1"/>
  <c r="R95" i="24"/>
  <c r="Z85" i="92"/>
  <c r="J146" i="74"/>
  <c r="X29" i="90"/>
  <c r="D237" i="18"/>
  <c r="L234" i="18"/>
  <c r="N234" i="18" s="1"/>
  <c r="F234" i="18"/>
  <c r="V221" i="12"/>
  <c r="L36" i="5"/>
  <c r="V86" i="33"/>
  <c r="L121" i="42"/>
  <c r="N121" i="42" s="1"/>
  <c r="D124" i="42"/>
  <c r="F121" i="42"/>
  <c r="L84" i="79"/>
  <c r="N84" i="79" s="1"/>
  <c r="F84" i="79"/>
  <c r="J95" i="103"/>
  <c r="V95" i="68"/>
  <c r="L36" i="29"/>
  <c r="X77" i="48"/>
  <c r="Z77" i="48" s="1"/>
  <c r="R77" i="48"/>
  <c r="X74" i="109"/>
  <c r="Z74" i="109" s="1"/>
  <c r="P77" i="109"/>
  <c r="R74" i="109"/>
  <c r="P35" i="85"/>
  <c r="X32" i="85"/>
  <c r="Z32" i="85" s="1"/>
  <c r="R32" i="85"/>
  <c r="N103" i="63"/>
  <c r="X99" i="105"/>
  <c r="Z99" i="105" s="1"/>
  <c r="R99" i="105"/>
  <c r="L36" i="32"/>
  <c r="X103" i="63"/>
  <c r="Z103" i="63" s="1"/>
  <c r="X31" i="6"/>
  <c r="Z31" i="6" s="1"/>
  <c r="X36" i="23"/>
  <c r="N75" i="72"/>
  <c r="J75" i="72"/>
  <c r="L131" i="36"/>
  <c r="N131" i="36" s="1"/>
  <c r="F131" i="36"/>
  <c r="X36" i="26"/>
  <c r="V77" i="48"/>
  <c r="Z56" i="82"/>
  <c r="V56" i="82"/>
  <c r="X164" i="30"/>
  <c r="Z164" i="30" s="1"/>
  <c r="R164" i="30"/>
  <c r="V105" i="51"/>
  <c r="V214" i="15"/>
  <c r="J86" i="75"/>
  <c r="X143" i="74"/>
  <c r="Z143" i="74" s="1"/>
  <c r="P146" i="74"/>
  <c r="R143" i="74"/>
  <c r="V77" i="109"/>
  <c r="X234" i="18"/>
  <c r="Z234" i="18" s="1"/>
  <c r="P237" i="18"/>
  <c r="R234" i="18"/>
  <c r="X92" i="68"/>
  <c r="Z92" i="68" s="1"/>
  <c r="P95" i="68"/>
  <c r="R92" i="68"/>
  <c r="L37" i="100"/>
  <c r="N37" i="100" s="1"/>
  <c r="L31" i="54"/>
  <c r="N31" i="54" s="1"/>
  <c r="X36" i="7"/>
  <c r="L77" i="48"/>
  <c r="N77" i="48" s="1"/>
  <c r="F77" i="48"/>
  <c r="J56" i="82"/>
  <c r="X75" i="72"/>
  <c r="Z75" i="72" s="1"/>
  <c r="N93" i="107"/>
  <c r="J93" i="107"/>
  <c r="J121" i="84"/>
  <c r="X95" i="103"/>
  <c r="Z95" i="103" s="1"/>
  <c r="R95" i="103"/>
  <c r="X36" i="44"/>
  <c r="L74" i="80"/>
  <c r="N74" i="80" s="1"/>
  <c r="D77" i="80"/>
  <c r="L77" i="80" s="1"/>
  <c r="N77" i="80" s="1"/>
  <c r="D56" i="82"/>
  <c r="L53" i="82"/>
  <c r="N53" i="82" s="1"/>
  <c r="F53" i="82"/>
  <c r="N221" i="12"/>
  <c r="J221" i="12"/>
  <c r="X84" i="93"/>
  <c r="Z84" i="93" s="1"/>
  <c r="P121" i="84"/>
  <c r="X118" i="84"/>
  <c r="Z118" i="84" s="1"/>
  <c r="R118" i="84"/>
  <c r="D98" i="95"/>
  <c r="L95" i="95"/>
  <c r="N95" i="95" s="1"/>
  <c r="F95" i="95"/>
  <c r="L36" i="22"/>
  <c r="J114" i="70"/>
  <c r="X36" i="29"/>
  <c r="D35" i="85"/>
  <c r="L35" i="85" s="1"/>
  <c r="N35" i="85" s="1"/>
  <c r="L32" i="85"/>
  <c r="N32" i="85" s="1"/>
  <c r="X121" i="42"/>
  <c r="Z121" i="42" s="1"/>
  <c r="P124" i="42"/>
  <c r="R121" i="42"/>
  <c r="L95" i="24" l="1"/>
  <c r="N95" i="24" s="1"/>
  <c r="F95" i="24"/>
  <c r="X214" i="15"/>
  <c r="Z214" i="15" s="1"/>
  <c r="R214" i="15"/>
  <c r="X85" i="94"/>
  <c r="Z85" i="94" s="1"/>
  <c r="R85" i="94"/>
  <c r="X124" i="42"/>
  <c r="Z124" i="42" s="1"/>
  <c r="R124" i="42"/>
  <c r="X114" i="70"/>
  <c r="Z114" i="70" s="1"/>
  <c r="R114" i="70"/>
  <c r="X146" i="74"/>
  <c r="Z146" i="74" s="1"/>
  <c r="R146" i="74"/>
  <c r="X105" i="51"/>
  <c r="Z105" i="51" s="1"/>
  <c r="R105" i="51"/>
  <c r="L99" i="105"/>
  <c r="N99" i="105" s="1"/>
  <c r="F99" i="105"/>
  <c r="X115" i="27"/>
  <c r="Z115" i="27" s="1"/>
  <c r="R115" i="27"/>
  <c r="X128" i="39"/>
  <c r="Z128" i="39" s="1"/>
  <c r="R128" i="39"/>
  <c r="L115" i="27"/>
  <c r="N115" i="27" s="1"/>
  <c r="F115" i="27"/>
  <c r="L124" i="42"/>
  <c r="N124" i="42" s="1"/>
  <c r="F124" i="42"/>
  <c r="X221" i="12"/>
  <c r="Z221" i="12" s="1"/>
  <c r="R221" i="12"/>
  <c r="X121" i="84"/>
  <c r="Z121" i="84" s="1"/>
  <c r="R121" i="84"/>
  <c r="L105" i="45"/>
  <c r="N105" i="45" s="1"/>
  <c r="F105" i="45"/>
  <c r="L114" i="70"/>
  <c r="N114" i="70" s="1"/>
  <c r="F114" i="70"/>
  <c r="L56" i="82"/>
  <c r="N56" i="82" s="1"/>
  <c r="F56" i="82"/>
  <c r="L128" i="39"/>
  <c r="N128" i="39" s="1"/>
  <c r="F128" i="39"/>
  <c r="L95" i="68"/>
  <c r="N95" i="68" s="1"/>
  <c r="F95" i="68"/>
  <c r="X95" i="68"/>
  <c r="Z95" i="68" s="1"/>
  <c r="R95" i="68"/>
  <c r="L146" i="74"/>
  <c r="N146" i="74" s="1"/>
  <c r="F146" i="74"/>
  <c r="X35" i="85"/>
  <c r="Z35" i="85" s="1"/>
  <c r="R35" i="85"/>
  <c r="L105" i="76"/>
  <c r="N105" i="76" s="1"/>
  <c r="F105" i="76"/>
  <c r="L121" i="84"/>
  <c r="N121" i="84" s="1"/>
  <c r="F121" i="84"/>
  <c r="L214" i="15"/>
  <c r="N214" i="15" s="1"/>
  <c r="F214" i="15"/>
  <c r="X237" i="18"/>
  <c r="Z237" i="18" s="1"/>
  <c r="R237" i="18"/>
  <c r="L86" i="75"/>
  <c r="N86" i="75" s="1"/>
  <c r="F86" i="75"/>
  <c r="X98" i="95"/>
  <c r="Z98" i="95" s="1"/>
  <c r="R98" i="95"/>
  <c r="L257" i="3"/>
  <c r="N257" i="3" s="1"/>
  <c r="F257" i="3"/>
  <c r="X84" i="79"/>
  <c r="Z84" i="79" s="1"/>
  <c r="R84" i="79"/>
  <c r="X106" i="21"/>
  <c r="Z106" i="21" s="1"/>
  <c r="R106" i="21"/>
  <c r="X131" i="36"/>
  <c r="Z131" i="36" s="1"/>
  <c r="R131" i="36"/>
  <c r="L98" i="95"/>
  <c r="N98" i="95" s="1"/>
  <c r="F98" i="95"/>
  <c r="X77" i="109"/>
  <c r="Z77" i="109" s="1"/>
  <c r="R77" i="109"/>
  <c r="L237" i="18"/>
  <c r="N237" i="18" s="1"/>
  <c r="F237" i="18"/>
  <c r="X93" i="107"/>
  <c r="Z93" i="107" s="1"/>
  <c r="R93" i="107"/>
  <c r="L105" i="51"/>
  <c r="N105" i="51" s="1"/>
  <c r="F105" i="51"/>
</calcChain>
</file>

<file path=xl/sharedStrings.xml><?xml version="1.0" encoding="utf-8"?>
<sst xmlns="http://schemas.openxmlformats.org/spreadsheetml/2006/main" count="2896" uniqueCount="315">
  <si>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</si>
  <si>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</si>
  <si>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</si>
  <si>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</si>
  <si>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</si>
  <si>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</si>
  <si>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</si>
  <si>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</si>
  <si>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</si>
  <si>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</si>
  <si>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</si>
  <si>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Budget</t>
  </si>
  <si>
    <t>Variance</t>
  </si>
  <si>
    <t xml:space="preserve">Forty Niner Shops, Inc. </t>
  </si>
  <si>
    <t>G &amp; A Allocation</t>
  </si>
  <si>
    <t>% of Sales</t>
  </si>
  <si>
    <t>% Budget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</si>
  <si>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</si>
  <si>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</si>
  <si>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</si>
  <si>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</si>
  <si>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</si>
  <si>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</si>
  <si>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</si>
  <si>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</si>
  <si>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</si>
  <si>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</si>
  <si>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</si>
  <si>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</si>
  <si>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</si>
  <si>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</si>
  <si>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</si>
  <si>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</si>
  <si>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</si>
  <si>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</si>
  <si>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</si>
  <si>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</si>
  <si>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</si>
  <si>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</si>
  <si>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</si>
  <si>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</si>
  <si>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</si>
  <si>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</si>
  <si>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</si>
  <si>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</si>
  <si>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</si>
  <si>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</si>
  <si>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</si>
  <si>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</si>
  <si>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</si>
  <si>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</si>
  <si>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</si>
  <si>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</si>
  <si>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</si>
  <si>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</si>
  <si>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</si>
  <si>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</si>
  <si>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</si>
  <si>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</si>
  <si>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</si>
  <si>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</si>
  <si>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</si>
  <si>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</si>
  <si>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</si>
  <si>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</si>
  <si>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</si>
  <si>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</si>
  <si>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</si>
  <si>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</si>
  <si>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</si>
  <si>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</si>
  <si>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</si>
  <si>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</si>
  <si>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</si>
  <si>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</si>
  <si>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</si>
  <si>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</si>
  <si>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</si>
  <si>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</si>
  <si>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</si>
  <si>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</si>
  <si>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</si>
  <si>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</si>
  <si>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</si>
  <si>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</si>
  <si>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</si>
  <si>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</si>
  <si>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</si>
  <si>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</si>
  <si>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</si>
  <si>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</si>
  <si>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</si>
  <si>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</si>
  <si>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</si>
  <si>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</si>
  <si>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</si>
  <si>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</si>
  <si>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</si>
  <si>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</si>
  <si>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</si>
  <si>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</si>
  <si>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</si>
  <si>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</si>
  <si>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</si>
  <si>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</si>
  <si>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</si>
  <si>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</si>
  <si>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</si>
  <si>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</si>
  <si>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</si>
  <si>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</si>
  <si>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</si>
  <si>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</si>
  <si>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</si>
  <si>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</si>
  <si>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</si>
  <si>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</si>
  <si>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</si>
  <si>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</si>
  <si>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</si>
  <si>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</si>
  <si>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</si>
  <si>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</si>
  <si>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</si>
  <si>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</si>
  <si>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</si>
  <si>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</si>
  <si>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</si>
  <si>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</si>
  <si>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</si>
  <si>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</si>
  <si>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</si>
  <si>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</si>
  <si>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</si>
  <si>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</si>
  <si>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</si>
  <si>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</si>
  <si>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</si>
  <si>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</si>
  <si>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</si>
  <si>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</si>
  <si>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</si>
  <si>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</si>
  <si>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</si>
  <si>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</si>
  <si>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</si>
  <si>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</si>
  <si>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</si>
  <si>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</si>
  <si>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</si>
  <si>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</si>
  <si>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</si>
  <si>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</si>
  <si>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</si>
  <si>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</si>
  <si>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</si>
  <si>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</si>
  <si>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</si>
  <si>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</si>
  <si>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</si>
  <si>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</si>
  <si>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</si>
  <si>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</si>
  <si>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</si>
  <si>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</si>
  <si>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</si>
  <si>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</si>
  <si>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</si>
  <si>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</si>
  <si>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</si>
  <si>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</si>
  <si>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</si>
  <si>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</si>
  <si>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</si>
  <si>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</si>
  <si>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</si>
  <si>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</si>
  <si>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</si>
  <si>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</si>
  <si>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</si>
  <si>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</si>
  <si>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</si>
  <si>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</si>
  <si>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</si>
  <si>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</si>
  <si>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</si>
  <si>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</si>
  <si>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</si>
  <si>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</si>
  <si>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</si>
  <si>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</si>
  <si>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</si>
  <si>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</si>
  <si>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</si>
  <si>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</si>
  <si>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</si>
  <si>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</si>
  <si>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</si>
  <si>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</si>
  <si>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</si>
  <si>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</si>
  <si>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</si>
  <si>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</si>
  <si>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</si>
  <si>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</si>
  <si>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</si>
  <si>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</si>
  <si>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</si>
  <si>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</si>
  <si>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</si>
  <si>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</si>
  <si>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</si>
  <si>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</si>
  <si>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</si>
  <si>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</si>
  <si>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</si>
  <si>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</si>
  <si>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</si>
  <si>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</si>
  <si>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</si>
  <si>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</si>
  <si>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</si>
  <si>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</si>
  <si>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</si>
  <si>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</si>
  <si>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</si>
  <si>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</si>
  <si>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</si>
  <si>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</si>
  <si>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</si>
  <si>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</si>
  <si>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</si>
  <si>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</si>
  <si>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</si>
  <si>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</si>
  <si>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</si>
  <si>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</si>
  <si>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</si>
  <si>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</si>
  <si>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</si>
  <si>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</si>
  <si>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</si>
  <si>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</si>
  <si>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</si>
  <si>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</si>
  <si>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</si>
  <si>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</si>
  <si>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</si>
  <si>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</si>
  <si>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</si>
  <si>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</si>
  <si>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</si>
  <si>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</si>
  <si>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</si>
  <si>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</si>
  <si>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</si>
  <si>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</si>
  <si>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</si>
  <si>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</si>
  <si>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</si>
  <si>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</si>
  <si>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</si>
  <si>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</si>
  <si>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</si>
  <si>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</si>
  <si>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</si>
  <si>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</si>
  <si>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</si>
  <si>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</si>
  <si>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</si>
  <si>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</si>
  <si>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</si>
  <si>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</si>
  <si>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</si>
  <si>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</si>
  <si>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</si>
  <si>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</si>
  <si>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</si>
  <si>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</si>
  <si>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</si>
  <si>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</si>
  <si>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</si>
  <si>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</si>
  <si>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</si>
  <si>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</si>
  <si>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</si>
  <si>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</si>
  <si>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</si>
  <si>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</si>
  <si>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</si>
  <si>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</si>
  <si>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</si>
  <si>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</si>
  <si>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</si>
  <si>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</si>
  <si>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</si>
  <si>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</si>
  <si>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</si>
  <si>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</si>
  <si>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</si>
  <si>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</si>
  <si>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</si>
  <si>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</si>
  <si>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</si>
  <si>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</si>
  <si>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</si>
  <si>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</si>
  <si>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</si>
  <si>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</si>
  <si>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</si>
  <si>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</si>
  <si>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</si>
  <si>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</si>
  <si>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</si>
  <si>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49er.local\ccampbell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</si>
</sst>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8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167" fontId="1" fillId="0" borderId="0" xfId="3" applyNumberFormat="1" applyFont="1" applyFill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49" fontId="2" fillId="0" borderId="0" xfId="0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7" fontId="2" fillId="2" borderId="3" xfId="3" applyNumberFormat="1" applyFont="1" applyFill="1" applyBorder="1"/>
    <xf numFmtId="168" fontId="2" fillId="2" borderId="4" xfId="2" applyNumberFormat="1" applyFont="1" applyFill="1" applyBorder="1"/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0" fontId="0" fillId="0" borderId="0" xfId="0" applyFill="1" applyBorder="1"/>
    <xf numFmtId="167" fontId="2" fillId="2" borderId="1" xfId="3" applyNumberFormat="1" applyFont="1" applyFill="1" applyBorder="1" applyAlignment="1">
      <alignment horizontal="centerContinuous"/>
    </xf>
    <xf numFmtId="167" fontId="0" fillId="0" borderId="0" xfId="0" applyNumberFormat="1"/>
    <xf numFmtId="167" fontId="2" fillId="2" borderId="1" xfId="3" applyNumberFormat="1" applyFont="1" applyFill="1" applyBorder="1" applyAlignment="1">
      <alignment horizontal="center"/>
    </xf>
    <xf numFmtId="167" fontId="0" fillId="0" borderId="0" xfId="0" applyNumberFormat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167" fontId="0" fillId="0" borderId="0" xfId="3" applyNumberFormat="1" applyFont="1" applyAlignment="1">
      <alignment horizontal="centerContinuous"/>
    </xf>
    <xf numFmtId="167" fontId="2" fillId="2" borderId="1" xfId="0" applyNumberFormat="1" applyFont="1" applyFill="1" applyBorder="1" applyAlignment="1">
      <alignment horizontal="center"/>
    </xf>
    <xf numFmtId="167" fontId="2" fillId="2" borderId="1" xfId="0" applyNumberFormat="1" applyFont="1" applyFill="1" applyBorder="1" applyAlignment="1">
      <alignment horizontal="centerContinuous"/>
    </xf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0" fontId="2" fillId="2" borderId="1" xfId="0" applyNumberFormat="1" applyFont="1" applyFill="1" applyBorder="1" applyAlignment="1">
      <alignment horizontal="center"/>
    </xf>
    <xf numFmtId="167" fontId="0" fillId="0" borderId="0" xfId="0" applyNumberFormat="1" applyFill="1"/>
    <xf numFmtId="49" fontId="1" fillId="0" borderId="0" xfId="0" applyNumberFormat="1" applyFont="1" applyFill="1"/>
    <xf numFmtId="49" fontId="2" fillId="0" borderId="0" xfId="0" applyNumberFormat="1" applyFont="1" applyFill="1"/>
    <xf numFmtId="0" fontId="3" fillId="0" borderId="0" xfId="0" applyFont="1" applyAlignment="1">
      <alignment horizontal="left"/>
    </xf>
    <xf numFmtId="0" fontId="4" fillId="0" borderId="0" xfId="0" applyFont="1" applyFill="1"/>
    <xf numFmtId="166" fontId="3" fillId="0" borderId="0" xfId="0" applyNumberFormat="1" applyFont="1" applyAlignment="1">
      <alignment horizontal="left"/>
    </xf>
    <xf numFmtId="0" fontId="2" fillId="0" borderId="0" xfId="0" applyFont="1" applyFill="1" applyBorder="1"/>
    <xf numFmtId="164" fontId="2" fillId="0" borderId="0" xfId="1" applyNumberFormat="1" applyFont="1" applyFill="1" applyAlignment="1">
      <alignment horizontal="centerContinuous"/>
    </xf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165" fontId="0" fillId="0" borderId="0" xfId="0" applyNumberFormat="1"/>
    <xf numFmtId="0" fontId="0" fillId="0" borderId="0" xfId="0" applyBorder="1"/>
    <xf numFmtId="0" fontId="5" fillId="0" borderId="0" xfId="0" applyFont="1"/>
    <xf numFmtId="0" fontId="0" fillId="0" borderId="0" xfId="0" applyFill="1" applyAlignment="1">
      <alignment horizontal="centerContinuous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244</v>
      </c>
      <c r="B3" s="41" t="s">
        <v>245</v>
      </c>
      <c r="C3" s="41" t="s">
        <v>18</v>
      </c>
      <c r="D3" s="41" t="s">
        <v>246</v>
      </c>
      <c r="E3" s="41" t="s">
        <v>247</v>
      </c>
      <c r="F3" s="41" t="s">
        <v>20</v>
      </c>
      <c r="G3" s="41" t="s">
        <v>248</v>
      </c>
      <c r="H3" s="41" t="s">
        <v>249</v>
      </c>
      <c r="I3" s="41" t="s">
        <v>250</v>
      </c>
      <c r="J3" s="41" t="s">
        <v>251</v>
      </c>
      <c r="K3" s="41" t="s">
        <v>252</v>
      </c>
      <c r="L3" s="41" t="s">
        <v>253</v>
      </c>
      <c r="M3" s="41" t="s">
        <v>254</v>
      </c>
      <c r="N3" s="41" t="s">
        <v>255</v>
      </c>
      <c r="O3" s="41" t="s">
        <v>256</v>
      </c>
      <c r="P3" s="41" t="s">
        <v>257</v>
      </c>
      <c r="Q3" s="41" t="s">
        <v>258</v>
      </c>
      <c r="R3" s="41" t="s">
        <v>259</v>
      </c>
      <c r="S3" s="41" t="s">
        <v>260</v>
      </c>
      <c r="T3" s="41" t="s">
        <v>261</v>
      </c>
      <c r="U3" s="41" t="s">
        <v>264</v>
      </c>
      <c r="V3" s="41" t="s">
        <v>265</v>
      </c>
      <c r="W3" s="41" t="s">
        <v>266</v>
      </c>
      <c r="X3" s="41" t="s">
        <v>267</v>
      </c>
      <c r="Y3" s="41" t="s">
        <v>268</v>
      </c>
      <c r="Z3" s="41" t="s">
        <v>269</v>
      </c>
      <c r="AA3" s="41" t="s">
        <v>270</v>
      </c>
      <c r="AB3" s="41" t="s">
        <v>271</v>
      </c>
      <c r="AC3" s="41" t="s">
        <v>272</v>
      </c>
      <c r="AD3" s="41" t="s">
        <v>273</v>
      </c>
      <c r="AE3" s="41" t="s">
        <v>274</v>
      </c>
      <c r="AF3" s="41" t="s">
        <v>275</v>
      </c>
      <c r="AG3" s="41" t="s">
        <v>276</v>
      </c>
      <c r="AH3" s="41" t="s">
        <v>277</v>
      </c>
      <c r="AI3" s="41" t="s">
        <v>278</v>
      </c>
      <c r="AJ3" s="41" t="s">
        <v>279</v>
      </c>
      <c r="AK3" s="41" t="s">
        <v>280</v>
      </c>
      <c r="AL3" s="41" t="s">
        <v>281</v>
      </c>
      <c r="AM3" s="41" t="s">
        <v>282</v>
      </c>
      <c r="AN3" s="41" t="s">
        <v>283</v>
      </c>
      <c r="AO3" s="41" t="s">
        <v>284</v>
      </c>
      <c r="AP3" s="41" t="s">
        <v>285</v>
      </c>
      <c r="AQ3" s="41" t="s">
        <v>286</v>
      </c>
      <c r="AR3" s="41" t="s">
        <v>287</v>
      </c>
      <c r="AS3" s="41" t="s">
        <v>288</v>
      </c>
      <c r="AT3" s="41" t="s">
        <v>289</v>
      </c>
      <c r="AU3" s="41" t="s">
        <v>290</v>
      </c>
      <c r="AV3" s="41" t="s">
        <v>262</v>
      </c>
      <c r="AW3" s="41" t="s">
        <v>263</v>
      </c>
      <c r="AX3" s="41" t="s">
        <v>291</v>
      </c>
      <c r="AY3" s="41" t="s">
        <v>292</v>
      </c>
      <c r="AZ3" s="41" t="s">
        <v>293</v>
      </c>
      <c r="BA3" s="41" t="s">
        <v>45</v>
      </c>
      <c r="BB3" s="41" t="s">
        <v>46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300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308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308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309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309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312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312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307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307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306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7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18</v>
      </c>
      <c r="B3" s="41" t="s">
        <v>19</v>
      </c>
      <c r="C3" s="41" t="s">
        <v>20</v>
      </c>
      <c r="D3" s="41" t="s">
        <v>21</v>
      </c>
      <c r="E3" s="41" t="s">
        <v>22</v>
      </c>
      <c r="F3" s="41" t="s">
        <v>23</v>
      </c>
      <c r="G3" s="41" t="s">
        <v>24</v>
      </c>
      <c r="H3" s="41" t="s">
        <v>25</v>
      </c>
      <c r="I3" s="41" t="s">
        <v>26</v>
      </c>
      <c r="J3" s="41" t="s">
        <v>27</v>
      </c>
      <c r="K3" s="41" t="s">
        <v>28</v>
      </c>
      <c r="L3" s="41" t="s">
        <v>29</v>
      </c>
      <c r="M3" s="41" t="s">
        <v>30</v>
      </c>
      <c r="N3" s="41" t="s">
        <v>31</v>
      </c>
      <c r="O3" s="41" t="s">
        <v>32</v>
      </c>
      <c r="P3" s="41" t="s">
        <v>33</v>
      </c>
      <c r="Q3" s="41" t="s">
        <v>34</v>
      </c>
      <c r="R3" s="41" t="s">
        <v>35</v>
      </c>
      <c r="S3" s="41" t="s">
        <v>36</v>
      </c>
      <c r="T3" s="41" t="s">
        <v>37</v>
      </c>
      <c r="U3" s="41" t="s">
        <v>38</v>
      </c>
      <c r="V3" s="41" t="s">
        <v>39</v>
      </c>
      <c r="W3" s="41" t="s">
        <v>40</v>
      </c>
      <c r="X3" s="41" t="s">
        <v>41</v>
      </c>
      <c r="Y3" s="41" t="s">
        <v>42</v>
      </c>
      <c r="Z3" s="41" t="s">
        <v>43</v>
      </c>
      <c r="AA3" s="41" t="s">
        <v>48</v>
      </c>
      <c r="AB3" s="41" t="s">
        <v>49</v>
      </c>
      <c r="AC3" s="41" t="s">
        <v>50</v>
      </c>
      <c r="AD3" s="41" t="s">
        <v>51</v>
      </c>
      <c r="AE3" s="41" t="s">
        <v>52</v>
      </c>
      <c r="AF3" s="41" t="s">
        <v>53</v>
      </c>
      <c r="AG3" s="41" t="s">
        <v>54</v>
      </c>
      <c r="AH3" s="41" t="s">
        <v>55</v>
      </c>
      <c r="AI3" s="41" t="s">
        <v>56</v>
      </c>
      <c r="AJ3" s="41" t="s">
        <v>57</v>
      </c>
      <c r="AK3" s="41" t="s">
        <v>58</v>
      </c>
      <c r="AL3" s="41" t="s">
        <v>59</v>
      </c>
      <c r="AM3" s="41" t="s">
        <v>60</v>
      </c>
      <c r="AN3" s="41" t="s">
        <v>61</v>
      </c>
      <c r="AO3" s="41" t="s">
        <v>62</v>
      </c>
      <c r="AP3" s="41" t="s">
        <v>63</v>
      </c>
      <c r="AQ3" s="41" t="s">
        <v>64</v>
      </c>
      <c r="AR3" s="41" t="s">
        <v>65</v>
      </c>
      <c r="AS3" s="41" t="s">
        <v>66</v>
      </c>
      <c r="AT3" s="41" t="s">
        <v>67</v>
      </c>
      <c r="AU3" s="41" t="s">
        <v>68</v>
      </c>
      <c r="AV3" s="41" t="s">
        <v>69</v>
      </c>
      <c r="AW3" s="41" t="s">
        <v>70</v>
      </c>
      <c r="AX3" s="41" t="s">
        <v>71</v>
      </c>
      <c r="AY3" s="41" t="s">
        <v>72</v>
      </c>
      <c r="AZ3" s="41" t="s">
        <v>73</v>
      </c>
      <c r="BA3" s="41" t="s">
        <v>74</v>
      </c>
      <c r="BB3" s="41" t="s">
        <v>75</v>
      </c>
      <c r="BC3" s="41" t="s">
        <v>76</v>
      </c>
      <c r="BD3" s="41" t="s">
        <v>77</v>
      </c>
      <c r="BE3" s="41" t="s">
        <v>78</v>
      </c>
      <c r="BF3" s="41" t="s">
        <v>79</v>
      </c>
      <c r="BG3" s="41" t="s">
        <v>80</v>
      </c>
      <c r="BH3" s="41" t="s">
        <v>81</v>
      </c>
      <c r="BI3" s="41" t="s">
        <v>82</v>
      </c>
      <c r="BJ3" s="41" t="s">
        <v>83</v>
      </c>
      <c r="BK3" s="41" t="s">
        <v>84</v>
      </c>
      <c r="BL3" s="41" t="s">
        <v>85</v>
      </c>
      <c r="BM3" s="41" t="s">
        <v>86</v>
      </c>
      <c r="BN3" s="41" t="s">
        <v>87</v>
      </c>
      <c r="BO3" s="41" t="s">
        <v>88</v>
      </c>
      <c r="BP3" s="41" t="s">
        <v>89</v>
      </c>
      <c r="BQ3" s="41" t="s">
        <v>90</v>
      </c>
      <c r="BR3" s="41" t="s">
        <v>91</v>
      </c>
      <c r="BS3" s="41" t="s">
        <v>92</v>
      </c>
      <c r="BT3" s="41" t="s">
        <v>93</v>
      </c>
      <c r="BU3" s="41" t="s">
        <v>94</v>
      </c>
      <c r="BV3" s="41" t="s">
        <v>95</v>
      </c>
      <c r="BW3" s="41" t="s">
        <v>96</v>
      </c>
      <c r="BX3" s="41" t="s">
        <v>97</v>
      </c>
      <c r="BY3" s="41" t="s">
        <v>98</v>
      </c>
      <c r="BZ3" s="41" t="s">
        <v>99</v>
      </c>
      <c r="CA3" s="41" t="s">
        <v>100</v>
      </c>
      <c r="CB3" s="41" t="s">
        <v>101</v>
      </c>
      <c r="CC3" s="41" t="s">
        <v>102</v>
      </c>
      <c r="CD3" s="41" t="s">
        <v>103</v>
      </c>
      <c r="CE3" s="41" t="s">
        <v>104</v>
      </c>
      <c r="CF3" s="41" t="s">
        <v>105</v>
      </c>
      <c r="CG3" s="41" t="s">
        <v>106</v>
      </c>
      <c r="CH3" s="41" t="s">
        <v>107</v>
      </c>
      <c r="CI3" s="41" t="s">
        <v>108</v>
      </c>
      <c r="CJ3" s="41" t="s">
        <v>109</v>
      </c>
      <c r="CK3" s="41" t="s">
        <v>110</v>
      </c>
      <c r="CL3" s="41" t="s">
        <v>111</v>
      </c>
      <c r="CM3" s="41" t="s">
        <v>112</v>
      </c>
      <c r="CN3" s="41" t="s">
        <v>113</v>
      </c>
      <c r="CO3" s="41" t="s">
        <v>114</v>
      </c>
      <c r="CP3" s="41" t="s">
        <v>115</v>
      </c>
      <c r="CQ3" s="41" t="s">
        <v>116</v>
      </c>
      <c r="CR3" s="41" t="s">
        <v>117</v>
      </c>
      <c r="CS3" s="41" t="s">
        <v>118</v>
      </c>
      <c r="CT3" s="41" t="s">
        <v>119</v>
      </c>
      <c r="CU3" s="41" t="s">
        <v>120</v>
      </c>
      <c r="CV3" s="41" t="s">
        <v>121</v>
      </c>
      <c r="CW3" s="41" t="s">
        <v>122</v>
      </c>
      <c r="CX3" s="41" t="s">
        <v>123</v>
      </c>
      <c r="CY3" s="41" t="s">
        <v>124</v>
      </c>
      <c r="CZ3" s="41" t="s">
        <v>125</v>
      </c>
      <c r="DA3" s="41" t="s">
        <v>126</v>
      </c>
      <c r="DB3" s="41" t="s">
        <v>127</v>
      </c>
      <c r="DC3" s="41" t="s">
        <v>128</v>
      </c>
      <c r="DD3" s="41" t="s">
        <v>129</v>
      </c>
      <c r="DE3" s="41" t="s">
        <v>130</v>
      </c>
      <c r="DF3" s="41" t="s">
        <v>131</v>
      </c>
      <c r="DG3" s="41" t="s">
        <v>132</v>
      </c>
      <c r="DH3" s="41" t="s">
        <v>133</v>
      </c>
      <c r="DI3" s="41" t="s">
        <v>134</v>
      </c>
      <c r="DJ3" s="41" t="s">
        <v>135</v>
      </c>
      <c r="DK3" s="41" t="s">
        <v>136</v>
      </c>
      <c r="DL3" s="41" t="s">
        <v>137</v>
      </c>
      <c r="DM3" s="41" t="s">
        <v>138</v>
      </c>
      <c r="DN3" s="41" t="s">
        <v>139</v>
      </c>
      <c r="DO3" s="41" t="s">
        <v>140</v>
      </c>
      <c r="DP3" s="41" t="s">
        <v>141</v>
      </c>
      <c r="DQ3" s="41" t="s">
        <v>142</v>
      </c>
      <c r="DR3" s="41" t="s">
        <v>143</v>
      </c>
      <c r="DS3" s="41" t="s">
        <v>144</v>
      </c>
      <c r="DT3" s="41" t="s">
        <v>145</v>
      </c>
      <c r="DU3" s="41" t="s">
        <v>146</v>
      </c>
      <c r="DV3" s="41" t="s">
        <v>147</v>
      </c>
      <c r="DW3" s="41" t="s">
        <v>148</v>
      </c>
      <c r="DX3" s="41" t="s">
        <v>149</v>
      </c>
      <c r="DY3" s="41" t="s">
        <v>150</v>
      </c>
      <c r="DZ3" s="41" t="s">
        <v>151</v>
      </c>
      <c r="EA3" s="41" t="s">
        <v>152</v>
      </c>
      <c r="EB3" s="41" t="s">
        <v>153</v>
      </c>
      <c r="EC3" s="41" t="s">
        <v>154</v>
      </c>
      <c r="ED3" s="41" t="s">
        <v>155</v>
      </c>
      <c r="EE3" s="41" t="s">
        <v>156</v>
      </c>
      <c r="EF3" s="41" t="s">
        <v>157</v>
      </c>
      <c r="EG3" s="41" t="s">
        <v>158</v>
      </c>
      <c r="EH3" s="41" t="s">
        <v>159</v>
      </c>
      <c r="EI3" s="41" t="s">
        <v>160</v>
      </c>
      <c r="EJ3" s="41" t="s">
        <v>161</v>
      </c>
      <c r="EK3" s="41" t="s">
        <v>162</v>
      </c>
      <c r="EL3" s="41" t="s">
        <v>163</v>
      </c>
      <c r="EM3" s="41" t="s">
        <v>164</v>
      </c>
      <c r="EN3" s="41" t="s">
        <v>165</v>
      </c>
      <c r="EO3" s="41" t="s">
        <v>166</v>
      </c>
      <c r="EP3" s="41" t="s">
        <v>167</v>
      </c>
      <c r="EQ3" s="41" t="s">
        <v>168</v>
      </c>
      <c r="ER3" s="41" t="s">
        <v>169</v>
      </c>
      <c r="ES3" s="41" t="s">
        <v>170</v>
      </c>
      <c r="ET3" s="41" t="s">
        <v>171</v>
      </c>
      <c r="EU3" s="41" t="s">
        <v>172</v>
      </c>
      <c r="EV3" s="41" t="s">
        <v>173</v>
      </c>
      <c r="EW3" s="41" t="s">
        <v>174</v>
      </c>
      <c r="EX3" s="41" t="s">
        <v>175</v>
      </c>
      <c r="EY3" s="41" t="s">
        <v>176</v>
      </c>
      <c r="EZ3" s="41" t="s">
        <v>177</v>
      </c>
      <c r="FA3" s="41" t="s">
        <v>178</v>
      </c>
      <c r="FB3" s="41" t="s">
        <v>179</v>
      </c>
      <c r="FC3" s="41" t="s">
        <v>180</v>
      </c>
      <c r="FD3" s="41" t="s">
        <v>181</v>
      </c>
      <c r="FE3" s="41" t="s">
        <v>182</v>
      </c>
      <c r="FF3" s="41" t="s">
        <v>183</v>
      </c>
      <c r="FG3" s="41" t="s">
        <v>184</v>
      </c>
      <c r="FH3" s="41" t="s">
        <v>185</v>
      </c>
      <c r="FI3" s="41" t="s">
        <v>186</v>
      </c>
      <c r="FJ3" s="41" t="s">
        <v>187</v>
      </c>
      <c r="FK3" s="41" t="s">
        <v>188</v>
      </c>
      <c r="FL3" s="41" t="s">
        <v>189</v>
      </c>
      <c r="FM3" s="41" t="s">
        <v>190</v>
      </c>
      <c r="FN3" s="41" t="s">
        <v>191</v>
      </c>
      <c r="FO3" s="41" t="s">
        <v>192</v>
      </c>
      <c r="FP3" s="41" t="s">
        <v>193</v>
      </c>
      <c r="FQ3" s="41" t="s">
        <v>194</v>
      </c>
      <c r="FR3" s="41" t="s">
        <v>195</v>
      </c>
      <c r="FS3" s="41" t="s">
        <v>196</v>
      </c>
      <c r="FT3" s="41" t="s">
        <v>197</v>
      </c>
      <c r="FU3" s="41" t="s">
        <v>198</v>
      </c>
      <c r="FV3" s="41" t="s">
        <v>199</v>
      </c>
      <c r="FW3" s="41" t="s">
        <v>200</v>
      </c>
      <c r="FX3" s="41" t="s">
        <v>201</v>
      </c>
      <c r="FY3" s="41" t="s">
        <v>202</v>
      </c>
      <c r="FZ3" s="41" t="s">
        <v>203</v>
      </c>
      <c r="GA3" s="41" t="s">
        <v>204</v>
      </c>
      <c r="GB3" s="41" t="s">
        <v>205</v>
      </c>
      <c r="GC3" s="41" t="s">
        <v>206</v>
      </c>
      <c r="GD3" s="41" t="s">
        <v>207</v>
      </c>
      <c r="GE3" s="41" t="s">
        <v>208</v>
      </c>
      <c r="GF3" s="41" t="s">
        <v>209</v>
      </c>
      <c r="GG3" s="41" t="s">
        <v>210</v>
      </c>
      <c r="GH3" s="41" t="s">
        <v>211</v>
      </c>
      <c r="GI3" s="41" t="s">
        <v>212</v>
      </c>
      <c r="GJ3" s="41" t="s">
        <v>213</v>
      </c>
      <c r="GK3" s="41" t="s">
        <v>214</v>
      </c>
      <c r="GL3" s="41" t="s">
        <v>215</v>
      </c>
      <c r="GM3" s="41" t="s">
        <v>216</v>
      </c>
      <c r="GN3" s="41" t="s">
        <v>217</v>
      </c>
      <c r="GO3" s="41" t="s">
        <v>218</v>
      </c>
      <c r="GP3" s="41" t="s">
        <v>219</v>
      </c>
      <c r="GQ3" s="41" t="s">
        <v>220</v>
      </c>
      <c r="GR3" s="41" t="s">
        <v>221</v>
      </c>
      <c r="GS3" s="41" t="s">
        <v>222</v>
      </c>
      <c r="GT3" s="41" t="s">
        <v>223</v>
      </c>
      <c r="GU3" s="41" t="s">
        <v>224</v>
      </c>
      <c r="GV3" s="41" t="s">
        <v>225</v>
      </c>
      <c r="GW3" s="41" t="s">
        <v>226</v>
      </c>
      <c r="GX3" s="41" t="s">
        <v>227</v>
      </c>
      <c r="GY3" s="41" t="s">
        <v>228</v>
      </c>
      <c r="GZ3" s="41" t="s">
        <v>229</v>
      </c>
      <c r="HA3" s="41" t="s">
        <v>230</v>
      </c>
      <c r="HB3" s="41" t="s">
        <v>231</v>
      </c>
      <c r="HC3" s="41" t="s">
        <v>232</v>
      </c>
      <c r="HD3" s="41" t="s">
        <v>233</v>
      </c>
      <c r="HE3" s="41" t="s">
        <v>234</v>
      </c>
      <c r="HF3" s="41" t="s">
        <v>235</v>
      </c>
      <c r="HG3" s="41" t="s">
        <v>236</v>
      </c>
      <c r="HH3" s="41" t="s">
        <v>237</v>
      </c>
      <c r="HI3" s="41" t="s">
        <v>242</v>
      </c>
      <c r="HJ3" s="41" t="s">
        <v>243</v>
      </c>
      <c r="HK3" s="41"/>
      <c r="HL3" s="41" t="s">
        <v>44</v>
      </c>
      <c r="HM3" s="66"/>
      <c r="HN3" s="41" t="s">
        <v>45</v>
      </c>
      <c r="HO3" s="41" t="s">
        <v>46</v>
      </c>
      <c r="HP3" t="s">
        <v>47</v>
      </c>
      <c r="JK3" s="41" t="s">
        <v>238</v>
      </c>
      <c r="JL3" s="41" t="s">
        <v>239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240</v>
      </c>
      <c r="JL10002" s="41" t="s">
        <v>241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306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303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303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304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304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305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305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310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310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313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262"/>
  <sheetViews>
    <sheetView tabSelected="1" zoomScale="80" workbookViewId="0">
      <pane xSplit="3" ySplit="10" topLeftCell="D236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297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895796.51000000024</v>
      </c>
      <c r="E12" s="4"/>
      <c r="F12" s="12"/>
      <c r="G12" s="4"/>
      <c r="H12" s="4">
        <f>SUM(OSRRefH13x_0)</f>
        <v>2146135</v>
      </c>
      <c r="I12" s="4"/>
      <c r="J12" s="12"/>
      <c r="K12" s="4"/>
      <c r="L12" s="4">
        <f t="shared" ref="L12:L92" si="0">+D12-H12</f>
        <v>-1250338.4899999998</v>
      </c>
      <c r="M12" s="4"/>
      <c r="N12" s="12">
        <f t="shared" ref="N12:N92" si="1">IF(H12=0,0,L12/H12)</f>
        <v>-0.58260011136298495</v>
      </c>
      <c r="O12" s="10"/>
      <c r="P12" s="4">
        <f>SUM(OSRRefP13x_0)</f>
        <v>3583696.9099999988</v>
      </c>
      <c r="Q12" s="4"/>
      <c r="R12" s="12"/>
      <c r="S12" s="4"/>
      <c r="T12" s="4">
        <f>SUM(OSRRefT13x_0)</f>
        <v>5610061</v>
      </c>
      <c r="U12" s="4"/>
      <c r="V12" s="12"/>
      <c r="W12" s="4"/>
      <c r="X12" s="4">
        <f t="shared" ref="X12:X92" si="2">+P12-T12</f>
        <v>-2026364.0900000012</v>
      </c>
      <c r="Y12" s="4"/>
      <c r="Z12" s="12">
        <f t="shared" ref="Z12:Z92" si="3">IF(T12=0,0,X12/T12)</f>
        <v>-0.36120179263647956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-8672.74</f>
        <v>-8672.74</v>
      </c>
      <c r="E13" s="2"/>
      <c r="F13" s="22"/>
      <c r="G13" s="2"/>
      <c r="H13" s="2">
        <v>1553247</v>
      </c>
      <c r="I13" s="2"/>
      <c r="J13" s="22"/>
      <c r="K13" s="2"/>
      <c r="L13" s="2">
        <f t="shared" si="0"/>
        <v>-1561919.74</v>
      </c>
      <c r="M13" s="2"/>
      <c r="N13" s="22">
        <f t="shared" si="1"/>
        <v>-1.005583619347084</v>
      </c>
      <c r="O13" s="11"/>
      <c r="P13" s="2">
        <f>-37800.78</f>
        <v>-37800.78</v>
      </c>
      <c r="Q13" s="2"/>
      <c r="R13" s="22"/>
      <c r="S13" s="2"/>
      <c r="T13" s="2">
        <v>4594116</v>
      </c>
      <c r="U13" s="2"/>
      <c r="V13" s="22"/>
      <c r="W13" s="2"/>
      <c r="X13" s="2">
        <f t="shared" si="2"/>
        <v>-4631916.78</v>
      </c>
      <c r="Y13" s="2"/>
      <c r="Z13" s="22">
        <f t="shared" si="3"/>
        <v>-1.0082280856643586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--110499.32</f>
        <v>110499.32</v>
      </c>
      <c r="E14" s="2"/>
      <c r="F14" s="22"/>
      <c r="G14" s="2"/>
      <c r="H14" s="2"/>
      <c r="I14" s="2"/>
      <c r="J14" s="22"/>
      <c r="K14" s="2"/>
      <c r="L14" s="2">
        <f t="shared" si="0"/>
        <v>110499.32</v>
      </c>
      <c r="M14" s="2"/>
      <c r="N14" s="22">
        <f t="shared" si="1"/>
        <v>0</v>
      </c>
      <c r="O14" s="11"/>
      <c r="P14" s="2">
        <f>--694696.64</f>
        <v>694696.64</v>
      </c>
      <c r="Q14" s="2"/>
      <c r="R14" s="22"/>
      <c r="S14" s="2"/>
      <c r="T14" s="2"/>
      <c r="U14" s="2"/>
      <c r="V14" s="22"/>
      <c r="W14" s="2"/>
      <c r="X14" s="2">
        <f t="shared" si="2"/>
        <v>694696.64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--38043.74</f>
        <v>38043.74</v>
      </c>
      <c r="E15" s="2"/>
      <c r="F15" s="22"/>
      <c r="G15" s="2"/>
      <c r="H15" s="2"/>
      <c r="I15" s="2"/>
      <c r="J15" s="22"/>
      <c r="K15" s="2"/>
      <c r="L15" s="2">
        <f t="shared" si="0"/>
        <v>38043.74</v>
      </c>
      <c r="M15" s="2"/>
      <c r="N15" s="22">
        <f t="shared" si="1"/>
        <v>0</v>
      </c>
      <c r="O15" s="11"/>
      <c r="P15" s="2">
        <f>--316655.9</f>
        <v>316655.90000000002</v>
      </c>
      <c r="Q15" s="2"/>
      <c r="R15" s="22"/>
      <c r="S15" s="2"/>
      <c r="T15" s="2"/>
      <c r="U15" s="2"/>
      <c r="V15" s="22"/>
      <c r="W15" s="2"/>
      <c r="X15" s="2">
        <f t="shared" si="2"/>
        <v>316655.90000000002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22"/>
      <c r="G16" s="2"/>
      <c r="H16" s="2"/>
      <c r="I16" s="2"/>
      <c r="J16" s="22"/>
      <c r="K16" s="2"/>
      <c r="L16" s="2">
        <f t="shared" si="0"/>
        <v>1539.79</v>
      </c>
      <c r="M16" s="2"/>
      <c r="N16" s="22">
        <f t="shared" si="1"/>
        <v>0</v>
      </c>
      <c r="O16" s="11"/>
      <c r="P16" s="2">
        <f>--10595.63</f>
        <v>10595.63</v>
      </c>
      <c r="Q16" s="2"/>
      <c r="R16" s="22"/>
      <c r="S16" s="2"/>
      <c r="T16" s="2"/>
      <c r="U16" s="2"/>
      <c r="V16" s="22"/>
      <c r="W16" s="2"/>
      <c r="X16" s="2">
        <f t="shared" si="2"/>
        <v>10595.63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22"/>
      <c r="G17" s="2"/>
      <c r="H17" s="2"/>
      <c r="I17" s="2"/>
      <c r="J17" s="22"/>
      <c r="K17" s="2"/>
      <c r="L17" s="2">
        <f t="shared" si="0"/>
        <v>284.22000000000003</v>
      </c>
      <c r="M17" s="2"/>
      <c r="N17" s="22">
        <f t="shared" si="1"/>
        <v>0</v>
      </c>
      <c r="O17" s="11"/>
      <c r="P17" s="2">
        <f>--2105.11</f>
        <v>2105.11</v>
      </c>
      <c r="Q17" s="2"/>
      <c r="R17" s="22"/>
      <c r="S17" s="2"/>
      <c r="T17" s="2"/>
      <c r="U17" s="2"/>
      <c r="V17" s="22"/>
      <c r="W17" s="2"/>
      <c r="X17" s="2">
        <f t="shared" si="2"/>
        <v>2105.11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--39.9</f>
        <v>39.9</v>
      </c>
      <c r="Q18" s="2"/>
      <c r="R18" s="22"/>
      <c r="S18" s="2"/>
      <c r="T18" s="2"/>
      <c r="U18" s="2"/>
      <c r="V18" s="22"/>
      <c r="W18" s="2"/>
      <c r="X18" s="2">
        <f t="shared" si="2"/>
        <v>39.9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--97.51</f>
        <v>97.51</v>
      </c>
      <c r="E19" s="2"/>
      <c r="F19" s="22"/>
      <c r="G19" s="2"/>
      <c r="H19" s="2"/>
      <c r="I19" s="2"/>
      <c r="J19" s="22"/>
      <c r="K19" s="2"/>
      <c r="L19" s="2">
        <f t="shared" si="0"/>
        <v>97.51</v>
      </c>
      <c r="M19" s="2"/>
      <c r="N19" s="22">
        <f t="shared" si="1"/>
        <v>0</v>
      </c>
      <c r="O19" s="11"/>
      <c r="P19" s="2">
        <f>--304.44</f>
        <v>304.44</v>
      </c>
      <c r="Q19" s="2"/>
      <c r="R19" s="22"/>
      <c r="S19" s="2"/>
      <c r="T19" s="2"/>
      <c r="U19" s="2"/>
      <c r="V19" s="22"/>
      <c r="W19" s="2"/>
      <c r="X19" s="2">
        <f t="shared" si="2"/>
        <v>304.44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--48.87</f>
        <v>48.87</v>
      </c>
      <c r="E20" s="2"/>
      <c r="F20" s="22"/>
      <c r="G20" s="2"/>
      <c r="H20" s="2"/>
      <c r="I20" s="2"/>
      <c r="J20" s="22"/>
      <c r="K20" s="2"/>
      <c r="L20" s="2">
        <f t="shared" si="0"/>
        <v>48.87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--21.47</f>
        <v>21.47</v>
      </c>
      <c r="E21" s="2"/>
      <c r="F21" s="22"/>
      <c r="G21" s="2"/>
      <c r="H21" s="2"/>
      <c r="I21" s="2"/>
      <c r="J21" s="22"/>
      <c r="K21" s="2"/>
      <c r="L21" s="2">
        <f t="shared" si="0"/>
        <v>21.47</v>
      </c>
      <c r="M21" s="2"/>
      <c r="N21" s="22">
        <f t="shared" si="1"/>
        <v>0</v>
      </c>
      <c r="O21" s="11"/>
      <c r="P21" s="2">
        <f>--258.03</f>
        <v>258.02999999999997</v>
      </c>
      <c r="Q21" s="2"/>
      <c r="R21" s="22"/>
      <c r="S21" s="2"/>
      <c r="T21" s="2"/>
      <c r="U21" s="2"/>
      <c r="V21" s="22"/>
      <c r="W21" s="2"/>
      <c r="X21" s="2">
        <f t="shared" si="2"/>
        <v>258.02999999999997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--10773.55</f>
        <v>10773.55</v>
      </c>
      <c r="E22" s="2"/>
      <c r="F22" s="22"/>
      <c r="G22" s="2"/>
      <c r="H22" s="2"/>
      <c r="I22" s="2"/>
      <c r="J22" s="22"/>
      <c r="K22" s="2"/>
      <c r="L22" s="2">
        <f t="shared" si="0"/>
        <v>10773.55</v>
      </c>
      <c r="M22" s="2"/>
      <c r="N22" s="22">
        <f t="shared" si="1"/>
        <v>0</v>
      </c>
      <c r="O22" s="11"/>
      <c r="P22" s="2">
        <f>--32674.61</f>
        <v>32674.61</v>
      </c>
      <c r="Q22" s="2"/>
      <c r="R22" s="22"/>
      <c r="S22" s="2"/>
      <c r="T22" s="2"/>
      <c r="U22" s="2"/>
      <c r="V22" s="22"/>
      <c r="W22" s="2"/>
      <c r="X22" s="2">
        <f t="shared" si="2"/>
        <v>32674.61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--2807.8</f>
        <v>2807.8</v>
      </c>
      <c r="E23" s="2"/>
      <c r="F23" s="22"/>
      <c r="G23" s="2"/>
      <c r="H23" s="2"/>
      <c r="I23" s="2"/>
      <c r="J23" s="22"/>
      <c r="K23" s="2"/>
      <c r="L23" s="2">
        <f t="shared" si="0"/>
        <v>2807.8</v>
      </c>
      <c r="M23" s="2"/>
      <c r="N23" s="22">
        <f t="shared" si="1"/>
        <v>0</v>
      </c>
      <c r="O23" s="11"/>
      <c r="P23" s="2">
        <f>--12498.9</f>
        <v>12498.9</v>
      </c>
      <c r="Q23" s="2"/>
      <c r="R23" s="22"/>
      <c r="S23" s="2"/>
      <c r="T23" s="2"/>
      <c r="U23" s="2"/>
      <c r="V23" s="22"/>
      <c r="W23" s="2"/>
      <c r="X23" s="2">
        <f t="shared" si="2"/>
        <v>12498.9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--685.9</f>
        <v>685.9</v>
      </c>
      <c r="E24" s="2"/>
      <c r="F24" s="22"/>
      <c r="G24" s="2"/>
      <c r="H24" s="2"/>
      <c r="I24" s="2"/>
      <c r="J24" s="22"/>
      <c r="K24" s="2"/>
      <c r="L24" s="2">
        <f t="shared" si="0"/>
        <v>685.9</v>
      </c>
      <c r="M24" s="2"/>
      <c r="N24" s="22">
        <f t="shared" si="1"/>
        <v>0</v>
      </c>
      <c r="O24" s="11"/>
      <c r="P24" s="2">
        <f>--1238.16</f>
        <v>1238.1600000000001</v>
      </c>
      <c r="Q24" s="2"/>
      <c r="R24" s="22"/>
      <c r="S24" s="2"/>
      <c r="T24" s="2"/>
      <c r="U24" s="2"/>
      <c r="V24" s="22"/>
      <c r="W24" s="2"/>
      <c r="X24" s="2">
        <f t="shared" si="2"/>
        <v>1238.1600000000001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>--356.39</f>
        <v>356.39</v>
      </c>
      <c r="E25" s="2"/>
      <c r="F25" s="22"/>
      <c r="G25" s="2"/>
      <c r="H25" s="2"/>
      <c r="I25" s="2"/>
      <c r="J25" s="22"/>
      <c r="K25" s="2"/>
      <c r="L25" s="2">
        <f t="shared" si="0"/>
        <v>356.39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>0</f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--78841.84</f>
        <v>78841.84</v>
      </c>
      <c r="E27" s="2"/>
      <c r="F27" s="22"/>
      <c r="G27" s="2"/>
      <c r="H27" s="2"/>
      <c r="I27" s="2"/>
      <c r="J27" s="22"/>
      <c r="K27" s="2"/>
      <c r="L27" s="2">
        <f t="shared" si="0"/>
        <v>78841.84</v>
      </c>
      <c r="M27" s="2"/>
      <c r="N27" s="22">
        <f t="shared" si="1"/>
        <v>0</v>
      </c>
      <c r="O27" s="11"/>
      <c r="P27" s="2">
        <f>--328420.19</f>
        <v>328420.19</v>
      </c>
      <c r="Q27" s="2"/>
      <c r="R27" s="22"/>
      <c r="S27" s="2"/>
      <c r="T27" s="2"/>
      <c r="U27" s="2"/>
      <c r="V27" s="22"/>
      <c r="W27" s="2"/>
      <c r="X27" s="2">
        <f t="shared" si="2"/>
        <v>328420.19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--27724.06</f>
        <v>27724.06</v>
      </c>
      <c r="E28" s="2"/>
      <c r="F28" s="22"/>
      <c r="G28" s="2"/>
      <c r="H28" s="2"/>
      <c r="I28" s="2"/>
      <c r="J28" s="22"/>
      <c r="K28" s="2"/>
      <c r="L28" s="2">
        <f t="shared" si="0"/>
        <v>27724.06</v>
      </c>
      <c r="M28" s="2"/>
      <c r="N28" s="22">
        <f t="shared" si="1"/>
        <v>0</v>
      </c>
      <c r="O28" s="11"/>
      <c r="P28" s="2">
        <f>--131033.62</f>
        <v>131033.62</v>
      </c>
      <c r="Q28" s="2"/>
      <c r="R28" s="22"/>
      <c r="S28" s="2"/>
      <c r="T28" s="2"/>
      <c r="U28" s="2"/>
      <c r="V28" s="22"/>
      <c r="W28" s="2"/>
      <c r="X28" s="2">
        <f t="shared" si="2"/>
        <v>131033.62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--8004.46</f>
        <v>8004.46</v>
      </c>
      <c r="E29" s="2"/>
      <c r="F29" s="22"/>
      <c r="G29" s="2"/>
      <c r="H29" s="2"/>
      <c r="I29" s="2"/>
      <c r="J29" s="22"/>
      <c r="K29" s="2"/>
      <c r="L29" s="2">
        <f t="shared" si="0"/>
        <v>8004.46</v>
      </c>
      <c r="M29" s="2"/>
      <c r="N29" s="22">
        <f t="shared" si="1"/>
        <v>0</v>
      </c>
      <c r="O29" s="11"/>
      <c r="P29" s="2">
        <f>--47929.5</f>
        <v>47929.5</v>
      </c>
      <c r="Q29" s="2"/>
      <c r="R29" s="22"/>
      <c r="S29" s="2"/>
      <c r="T29" s="2"/>
      <c r="U29" s="2"/>
      <c r="V29" s="22"/>
      <c r="W29" s="2"/>
      <c r="X29" s="2">
        <f t="shared" si="2"/>
        <v>47929.5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--2805.53</f>
        <v>2805.53</v>
      </c>
      <c r="E30" s="2"/>
      <c r="F30" s="22"/>
      <c r="G30" s="2"/>
      <c r="H30" s="2"/>
      <c r="I30" s="2"/>
      <c r="J30" s="22"/>
      <c r="K30" s="2"/>
      <c r="L30" s="2">
        <f t="shared" si="0"/>
        <v>2805.53</v>
      </c>
      <c r="M30" s="2"/>
      <c r="N30" s="22">
        <f t="shared" si="1"/>
        <v>0</v>
      </c>
      <c r="O30" s="11"/>
      <c r="P30" s="2">
        <f>--9791.16</f>
        <v>9791.16</v>
      </c>
      <c r="Q30" s="2"/>
      <c r="R30" s="22"/>
      <c r="S30" s="2"/>
      <c r="T30" s="2"/>
      <c r="U30" s="2"/>
      <c r="V30" s="22"/>
      <c r="W30" s="2"/>
      <c r="X30" s="2">
        <f t="shared" si="2"/>
        <v>9791.16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--2962.32</f>
        <v>2962.32</v>
      </c>
      <c r="E31" s="2"/>
      <c r="F31" s="22"/>
      <c r="G31" s="2"/>
      <c r="H31" s="2"/>
      <c r="I31" s="2"/>
      <c r="J31" s="22"/>
      <c r="K31" s="2"/>
      <c r="L31" s="2">
        <f t="shared" si="0"/>
        <v>2962.32</v>
      </c>
      <c r="M31" s="2"/>
      <c r="N31" s="22">
        <f t="shared" si="1"/>
        <v>0</v>
      </c>
      <c r="O31" s="11"/>
      <c r="P31" s="2">
        <f>--11331.52</f>
        <v>11331.52</v>
      </c>
      <c r="Q31" s="2"/>
      <c r="R31" s="22"/>
      <c r="S31" s="2"/>
      <c r="T31" s="2"/>
      <c r="U31" s="2"/>
      <c r="V31" s="22"/>
      <c r="W31" s="2"/>
      <c r="X31" s="2">
        <f t="shared" si="2"/>
        <v>11331.52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--2575.36</f>
        <v>2575.36</v>
      </c>
      <c r="E32" s="2"/>
      <c r="F32" s="22"/>
      <c r="G32" s="2"/>
      <c r="H32" s="2"/>
      <c r="I32" s="2"/>
      <c r="J32" s="22"/>
      <c r="K32" s="2"/>
      <c r="L32" s="2">
        <f t="shared" si="0"/>
        <v>2575.36</v>
      </c>
      <c r="M32" s="2"/>
      <c r="N32" s="22">
        <f t="shared" si="1"/>
        <v>0</v>
      </c>
      <c r="O32" s="11"/>
      <c r="P32" s="2">
        <f>--92006.44</f>
        <v>92006.44</v>
      </c>
      <c r="Q32" s="2"/>
      <c r="R32" s="22"/>
      <c r="S32" s="2"/>
      <c r="T32" s="2"/>
      <c r="U32" s="2"/>
      <c r="V32" s="22"/>
      <c r="W32" s="2"/>
      <c r="X32" s="2">
        <f t="shared" si="2"/>
        <v>92006.44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"4051", " - ", "TAXABLE SALES-FOOD")</f>
        <v xml:space="preserve">          4051 - TAXABLE SALES-FOOD</v>
      </c>
      <c r="C33" s="11"/>
      <c r="D33" s="2">
        <f>--4141.96</f>
        <v>4141.96</v>
      </c>
      <c r="E33" s="2"/>
      <c r="F33" s="22"/>
      <c r="G33" s="2"/>
      <c r="H33" s="2"/>
      <c r="I33" s="2"/>
      <c r="J33" s="22"/>
      <c r="K33" s="2"/>
      <c r="L33" s="2">
        <f t="shared" si="0"/>
        <v>4141.96</v>
      </c>
      <c r="M33" s="2"/>
      <c r="N33" s="22">
        <f t="shared" si="1"/>
        <v>0</v>
      </c>
      <c r="O33" s="11"/>
      <c r="P33" s="2">
        <f>--6652.68</f>
        <v>6652.68</v>
      </c>
      <c r="Q33" s="2"/>
      <c r="R33" s="22"/>
      <c r="S33" s="2"/>
      <c r="T33" s="2"/>
      <c r="U33" s="2"/>
      <c r="V33" s="22"/>
      <c r="W33" s="2"/>
      <c r="X33" s="2">
        <f t="shared" si="2"/>
        <v>6652.68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"4053", " - ", "TAXABLE SALES-FOOD")</f>
        <v xml:space="preserve">          4053 - TAXABLE SALES-FOOD</v>
      </c>
      <c r="C34" s="11"/>
      <c r="D34" s="2">
        <f>--62.54</f>
        <v>62.54</v>
      </c>
      <c r="E34" s="2"/>
      <c r="F34" s="22"/>
      <c r="G34" s="2"/>
      <c r="H34" s="2"/>
      <c r="I34" s="2"/>
      <c r="J34" s="22"/>
      <c r="K34" s="2"/>
      <c r="L34" s="2">
        <f t="shared" si="0"/>
        <v>62.54</v>
      </c>
      <c r="M34" s="2"/>
      <c r="N34" s="22">
        <f t="shared" si="1"/>
        <v>0</v>
      </c>
      <c r="O34" s="11"/>
      <c r="P34" s="2">
        <f>--402.44</f>
        <v>402.44</v>
      </c>
      <c r="Q34" s="2"/>
      <c r="R34" s="22"/>
      <c r="S34" s="2"/>
      <c r="T34" s="2"/>
      <c r="U34" s="2"/>
      <c r="V34" s="22"/>
      <c r="W34" s="2"/>
      <c r="X34" s="2">
        <f t="shared" si="2"/>
        <v>402.44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"4058", " - ", "TAXABLE SALES-FOOD")</f>
        <v xml:space="preserve">          4058 - TAXABLE SALES-FOOD</v>
      </c>
      <c r="C35" s="11"/>
      <c r="D35" s="2">
        <f>0</f>
        <v>0</v>
      </c>
      <c r="E35" s="2"/>
      <c r="F35" s="22"/>
      <c r="G35" s="2"/>
      <c r="H35" s="2"/>
      <c r="I35" s="2"/>
      <c r="J35" s="22"/>
      <c r="K35" s="2"/>
      <c r="L35" s="2">
        <f t="shared" si="0"/>
        <v>0</v>
      </c>
      <c r="M35" s="2"/>
      <c r="N35" s="22">
        <f t="shared" si="1"/>
        <v>0</v>
      </c>
      <c r="O35" s="11"/>
      <c r="P35" s="2">
        <f>--974.91</f>
        <v>974.91</v>
      </c>
      <c r="Q35" s="2"/>
      <c r="R35" s="22"/>
      <c r="S35" s="2"/>
      <c r="T35" s="2"/>
      <c r="U35" s="2"/>
      <c r="V35" s="22"/>
      <c r="W35" s="2"/>
      <c r="X35" s="2">
        <f t="shared" si="2"/>
        <v>974.91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"4081", " - ", "TAXABLE SALES-ELECTRONICS")</f>
        <v xml:space="preserve">          4081 - TAXABLE SALES-ELECTRONICS</v>
      </c>
      <c r="C36" s="11"/>
      <c r="D36" s="2">
        <f>--12239.6</f>
        <v>12239.6</v>
      </c>
      <c r="E36" s="2"/>
      <c r="F36" s="22"/>
      <c r="G36" s="2"/>
      <c r="H36" s="2"/>
      <c r="I36" s="2"/>
      <c r="J36" s="22"/>
      <c r="K36" s="2"/>
      <c r="L36" s="2">
        <f t="shared" si="0"/>
        <v>12239.6</v>
      </c>
      <c r="M36" s="2"/>
      <c r="N36" s="22">
        <f t="shared" si="1"/>
        <v>0</v>
      </c>
      <c r="O36" s="11"/>
      <c r="P36" s="2">
        <f>--50102.62</f>
        <v>50102.62</v>
      </c>
      <c r="Q36" s="2"/>
      <c r="R36" s="22"/>
      <c r="S36" s="2"/>
      <c r="T36" s="2"/>
      <c r="U36" s="2"/>
      <c r="V36" s="22"/>
      <c r="W36" s="2"/>
      <c r="X36" s="2">
        <f t="shared" si="2"/>
        <v>50102.62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"4082", " - ", "TAXABLE SALES-COMPUTER HARDWAR")</f>
        <v xml:space="preserve">          4082 - TAXABLE SALES-COMPUTER HARDWAR</v>
      </c>
      <c r="C37" s="11"/>
      <c r="D37" s="2">
        <f>--198101.2</f>
        <v>198101.2</v>
      </c>
      <c r="E37" s="2"/>
      <c r="F37" s="22"/>
      <c r="G37" s="2"/>
      <c r="H37" s="2"/>
      <c r="I37" s="2"/>
      <c r="J37" s="22"/>
      <c r="K37" s="2"/>
      <c r="L37" s="2">
        <f t="shared" si="0"/>
        <v>198101.2</v>
      </c>
      <c r="M37" s="2"/>
      <c r="N37" s="22">
        <f t="shared" si="1"/>
        <v>0</v>
      </c>
      <c r="O37" s="11"/>
      <c r="P37" s="2">
        <f>--739313.21</f>
        <v>739313.21</v>
      </c>
      <c r="Q37" s="2"/>
      <c r="R37" s="22"/>
      <c r="S37" s="2"/>
      <c r="T37" s="2"/>
      <c r="U37" s="2"/>
      <c r="V37" s="22"/>
      <c r="W37" s="2"/>
      <c r="X37" s="2">
        <f t="shared" si="2"/>
        <v>739313.21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"4083", " - ", "TAXABLE SALES-COMPUTER EQUIPME")</f>
        <v xml:space="preserve">          4083 - TAXABLE SALES-COMPUTER EQUIPME</v>
      </c>
      <c r="C38" s="11"/>
      <c r="D38" s="2">
        <f>--18947.33</f>
        <v>18947.330000000002</v>
      </c>
      <c r="E38" s="2"/>
      <c r="F38" s="22"/>
      <c r="G38" s="2"/>
      <c r="H38" s="2"/>
      <c r="I38" s="2"/>
      <c r="J38" s="22"/>
      <c r="K38" s="2"/>
      <c r="L38" s="2">
        <f t="shared" si="0"/>
        <v>18947.330000000002</v>
      </c>
      <c r="M38" s="2"/>
      <c r="N38" s="22">
        <f t="shared" si="1"/>
        <v>0</v>
      </c>
      <c r="O38" s="11"/>
      <c r="P38" s="2">
        <f>--68662.69</f>
        <v>68662.69</v>
      </c>
      <c r="Q38" s="2"/>
      <c r="R38" s="22"/>
      <c r="S38" s="2"/>
      <c r="T38" s="2"/>
      <c r="U38" s="2"/>
      <c r="V38" s="22"/>
      <c r="W38" s="2"/>
      <c r="X38" s="2">
        <f t="shared" si="2"/>
        <v>68662.69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"4085", " - ", "TAXABLE SALES-SOFTWARE")</f>
        <v xml:space="preserve">          4085 - TAXABLE SALES-SOFTWARE</v>
      </c>
      <c r="C39" s="11"/>
      <c r="D39" s="2">
        <f>--852.96</f>
        <v>852.96</v>
      </c>
      <c r="E39" s="2"/>
      <c r="F39" s="22"/>
      <c r="G39" s="2"/>
      <c r="H39" s="2"/>
      <c r="I39" s="2"/>
      <c r="J39" s="22"/>
      <c r="K39" s="2"/>
      <c r="L39" s="2">
        <f t="shared" si="0"/>
        <v>852.96</v>
      </c>
      <c r="M39" s="2"/>
      <c r="N39" s="22">
        <f t="shared" si="1"/>
        <v>0</v>
      </c>
      <c r="O39" s="11"/>
      <c r="P39" s="2">
        <f>--981.96</f>
        <v>981.96</v>
      </c>
      <c r="Q39" s="2"/>
      <c r="R39" s="22"/>
      <c r="S39" s="2"/>
      <c r="T39" s="2"/>
      <c r="U39" s="2"/>
      <c r="V39" s="22"/>
      <c r="W39" s="2"/>
      <c r="X39" s="2">
        <f t="shared" si="2"/>
        <v>981.96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"4086", " - ", "TAXABLE SALES-COMPUTER SUPPLIE")</f>
        <v xml:space="preserve">          4086 - TAXABLE SALES-COMPUTER SUPPLIE</v>
      </c>
      <c r="C40" s="11"/>
      <c r="D40" s="2">
        <f>--713.93</f>
        <v>713.93</v>
      </c>
      <c r="E40" s="2"/>
      <c r="F40" s="22"/>
      <c r="G40" s="2"/>
      <c r="H40" s="2"/>
      <c r="I40" s="2"/>
      <c r="J40" s="22"/>
      <c r="K40" s="2"/>
      <c r="L40" s="2">
        <f t="shared" si="0"/>
        <v>713.93</v>
      </c>
      <c r="M40" s="2"/>
      <c r="N40" s="22">
        <f t="shared" si="1"/>
        <v>0</v>
      </c>
      <c r="O40" s="11"/>
      <c r="P40" s="2">
        <f>--27981.41</f>
        <v>27981.41</v>
      </c>
      <c r="Q40" s="2"/>
      <c r="R40" s="22"/>
      <c r="S40" s="2"/>
      <c r="T40" s="2"/>
      <c r="U40" s="2"/>
      <c r="V40" s="22"/>
      <c r="W40" s="2"/>
      <c r="X40" s="2">
        <f t="shared" si="2"/>
        <v>27981.41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"4100", " - ", "NON-TAXABLE SALES")</f>
        <v xml:space="preserve">          4100 - NON-TAXABLE SALES</v>
      </c>
      <c r="C41" s="11"/>
      <c r="D41" s="2">
        <f>--41155.69</f>
        <v>41155.69</v>
      </c>
      <c r="E41" s="2"/>
      <c r="F41" s="22"/>
      <c r="G41" s="2"/>
      <c r="H41" s="2">
        <v>592888</v>
      </c>
      <c r="I41" s="2"/>
      <c r="J41" s="22"/>
      <c r="K41" s="2"/>
      <c r="L41" s="2">
        <f t="shared" si="0"/>
        <v>-551732.31000000006</v>
      </c>
      <c r="M41" s="2"/>
      <c r="N41" s="22">
        <f t="shared" si="1"/>
        <v>-0.93058437681315875</v>
      </c>
      <c r="O41" s="11"/>
      <c r="P41" s="2">
        <f>--282386.02</f>
        <v>282386.02</v>
      </c>
      <c r="Q41" s="2"/>
      <c r="R41" s="22"/>
      <c r="S41" s="2"/>
      <c r="T41" s="2">
        <v>1015944.9999999999</v>
      </c>
      <c r="U41" s="2"/>
      <c r="V41" s="22"/>
      <c r="W41" s="2"/>
      <c r="X41" s="2">
        <f t="shared" si="2"/>
        <v>-733558.97999999986</v>
      </c>
      <c r="Y41" s="2"/>
      <c r="Z41" s="22">
        <f t="shared" si="3"/>
        <v>-0.72204595721225062</v>
      </c>
    </row>
    <row r="42" spans="1:26" s="24" customFormat="1" hidden="1" outlineLevel="1" x14ac:dyDescent="0.25">
      <c r="A42" s="51"/>
      <c r="B42" s="11" t="str">
        <f>CONCATENATE("          ", "4101", " - ", "NON-TAXABLE SALES-NEW TEXT")</f>
        <v xml:space="preserve">          4101 - NON-TAXABLE SALES-NEW TEXT</v>
      </c>
      <c r="C42" s="11"/>
      <c r="D42" s="2">
        <f>--18824.16</f>
        <v>18824.16</v>
      </c>
      <c r="E42" s="2"/>
      <c r="F42" s="22"/>
      <c r="G42" s="2"/>
      <c r="H42" s="2"/>
      <c r="I42" s="2"/>
      <c r="J42" s="22"/>
      <c r="K42" s="2"/>
      <c r="L42" s="2">
        <f t="shared" si="0"/>
        <v>18824.16</v>
      </c>
      <c r="M42" s="2"/>
      <c r="N42" s="22">
        <f t="shared" si="1"/>
        <v>0</v>
      </c>
      <c r="O42" s="11"/>
      <c r="P42" s="2">
        <f>--70404.84</f>
        <v>70404.84</v>
      </c>
      <c r="Q42" s="2"/>
      <c r="R42" s="22"/>
      <c r="S42" s="2"/>
      <c r="T42" s="2"/>
      <c r="U42" s="2"/>
      <c r="V42" s="22"/>
      <c r="W42" s="2"/>
      <c r="X42" s="2">
        <f t="shared" si="2"/>
        <v>70404.84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"4102", " - ", "NON-TAXABLE SALES-USED TEXT")</f>
        <v xml:space="preserve">          4102 - NON-TAXABLE SALES-USED TEXT</v>
      </c>
      <c r="C43" s="11"/>
      <c r="D43" s="2">
        <f>--8807.08</f>
        <v>8807.08</v>
      </c>
      <c r="E43" s="2"/>
      <c r="F43" s="22"/>
      <c r="G43" s="2"/>
      <c r="H43" s="2"/>
      <c r="I43" s="2"/>
      <c r="J43" s="22"/>
      <c r="K43" s="2"/>
      <c r="L43" s="2">
        <f t="shared" si="0"/>
        <v>8807.08</v>
      </c>
      <c r="M43" s="2"/>
      <c r="N43" s="22">
        <f t="shared" si="1"/>
        <v>0</v>
      </c>
      <c r="O43" s="11"/>
      <c r="P43" s="2">
        <f>--30370.82</f>
        <v>30370.82</v>
      </c>
      <c r="Q43" s="2"/>
      <c r="R43" s="22"/>
      <c r="S43" s="2"/>
      <c r="T43" s="2"/>
      <c r="U43" s="2"/>
      <c r="V43" s="22"/>
      <c r="W43" s="2"/>
      <c r="X43" s="2">
        <f t="shared" si="2"/>
        <v>30370.82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"4103", " - ", "NON-TAXABLE SALES-RENTAL TEXT")</f>
        <v xml:space="preserve">          4103 - NON-TAXABLE SALES-RENTAL TEXT</v>
      </c>
      <c r="C44" s="11"/>
      <c r="D44" s="2">
        <f>--284.97</f>
        <v>284.97000000000003</v>
      </c>
      <c r="E44" s="2"/>
      <c r="F44" s="22"/>
      <c r="G44" s="2"/>
      <c r="H44" s="2"/>
      <c r="I44" s="2"/>
      <c r="J44" s="22"/>
      <c r="K44" s="2"/>
      <c r="L44" s="2">
        <f t="shared" si="0"/>
        <v>284.97000000000003</v>
      </c>
      <c r="M44" s="2"/>
      <c r="N44" s="22">
        <f t="shared" si="1"/>
        <v>0</v>
      </c>
      <c r="O44" s="11"/>
      <c r="P44" s="2">
        <f>--284.97</f>
        <v>284.97000000000003</v>
      </c>
      <c r="Q44" s="2"/>
      <c r="R44" s="22"/>
      <c r="S44" s="2"/>
      <c r="T44" s="2"/>
      <c r="U44" s="2"/>
      <c r="V44" s="22"/>
      <c r="W44" s="2"/>
      <c r="X44" s="2">
        <f t="shared" si="2"/>
        <v>284.97000000000003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"4104", " - ", "NON-TAXABLE SALES-DIGITAL TEXT")</f>
        <v xml:space="preserve">          4104 - NON-TAXABLE SALES-DIGITAL TEXT</v>
      </c>
      <c r="C45" s="11"/>
      <c r="D45" s="2">
        <f>--73817.67</f>
        <v>73817.67</v>
      </c>
      <c r="E45" s="2"/>
      <c r="F45" s="22"/>
      <c r="G45" s="2"/>
      <c r="H45" s="2"/>
      <c r="I45" s="2"/>
      <c r="J45" s="22"/>
      <c r="K45" s="2"/>
      <c r="L45" s="2">
        <f t="shared" si="0"/>
        <v>73817.67</v>
      </c>
      <c r="M45" s="2"/>
      <c r="N45" s="22">
        <f t="shared" si="1"/>
        <v>0</v>
      </c>
      <c r="O45" s="11"/>
      <c r="P45" s="2">
        <f>--286707.85</f>
        <v>286707.84999999998</v>
      </c>
      <c r="Q45" s="2"/>
      <c r="R45" s="22"/>
      <c r="S45" s="2"/>
      <c r="T45" s="2"/>
      <c r="U45" s="2"/>
      <c r="V45" s="22"/>
      <c r="W45" s="2"/>
      <c r="X45" s="2">
        <f t="shared" si="2"/>
        <v>286707.84999999998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"4118", " - ", "NON-TAXABLE SALES-STUDY GUIDES")</f>
        <v xml:space="preserve">          4118 - NON-TAXABLE SALES-STUDY GUIDES</v>
      </c>
      <c r="C46" s="11"/>
      <c r="D46" s="2">
        <f>--6.5</f>
        <v>6.5</v>
      </c>
      <c r="E46" s="2"/>
      <c r="F46" s="22"/>
      <c r="G46" s="2"/>
      <c r="H46" s="2"/>
      <c r="I46" s="2"/>
      <c r="J46" s="22"/>
      <c r="K46" s="2"/>
      <c r="L46" s="2">
        <f t="shared" si="0"/>
        <v>6.5</v>
      </c>
      <c r="M46" s="2"/>
      <c r="N46" s="22">
        <f t="shared" si="1"/>
        <v>0</v>
      </c>
      <c r="O46" s="11"/>
      <c r="P46" s="2">
        <f>--108.33</f>
        <v>108.33</v>
      </c>
      <c r="Q46" s="2"/>
      <c r="R46" s="22"/>
      <c r="S46" s="2"/>
      <c r="T46" s="2"/>
      <c r="U46" s="2"/>
      <c r="V46" s="22"/>
      <c r="W46" s="2"/>
      <c r="X46" s="2">
        <f t="shared" si="2"/>
        <v>108.33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"4126", " - ", "NON-TAXABLE SALES-WRITING INST")</f>
        <v xml:space="preserve">          4126 - NON-TAXABLE SALES-WRITING INST</v>
      </c>
      <c r="C47" s="11"/>
      <c r="D47" s="2">
        <f>0</f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--52.68</f>
        <v>52.68</v>
      </c>
      <c r="Q47" s="2"/>
      <c r="R47" s="22"/>
      <c r="S47" s="2"/>
      <c r="T47" s="2"/>
      <c r="U47" s="2"/>
      <c r="V47" s="22"/>
      <c r="W47" s="2"/>
      <c r="X47" s="2">
        <f t="shared" si="2"/>
        <v>52.68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"4127", " - ", "NON-TAXABLE SALES-SCHOOL SUPPL")</f>
        <v xml:space="preserve">          4127 - NON-TAXABLE SALES-SCHOOL SUPPL</v>
      </c>
      <c r="C48" s="11"/>
      <c r="D48" s="2">
        <f>--810.33</f>
        <v>810.33</v>
      </c>
      <c r="E48" s="2"/>
      <c r="F48" s="22"/>
      <c r="G48" s="2"/>
      <c r="H48" s="2"/>
      <c r="I48" s="2"/>
      <c r="J48" s="22"/>
      <c r="K48" s="2"/>
      <c r="L48" s="2">
        <f t="shared" si="0"/>
        <v>810.33</v>
      </c>
      <c r="M48" s="2"/>
      <c r="N48" s="22">
        <f t="shared" si="1"/>
        <v>0</v>
      </c>
      <c r="O48" s="11"/>
      <c r="P48" s="2">
        <f>--2670.74</f>
        <v>2670.74</v>
      </c>
      <c r="Q48" s="2"/>
      <c r="R48" s="22"/>
      <c r="S48" s="2"/>
      <c r="T48" s="2"/>
      <c r="U48" s="2"/>
      <c r="V48" s="22"/>
      <c r="W48" s="2"/>
      <c r="X48" s="2">
        <f t="shared" si="2"/>
        <v>2670.74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"4131", " - ", "NON-TAXABLE SALES-FOOD")</f>
        <v xml:space="preserve">          4131 - NON-TAXABLE SALES-FOOD</v>
      </c>
      <c r="C49" s="11"/>
      <c r="D49" s="2">
        <f>--2168.74</f>
        <v>2168.7399999999998</v>
      </c>
      <c r="E49" s="2"/>
      <c r="F49" s="22"/>
      <c r="G49" s="2"/>
      <c r="H49" s="2"/>
      <c r="I49" s="2"/>
      <c r="J49" s="22"/>
      <c r="K49" s="2"/>
      <c r="L49" s="2">
        <f t="shared" si="0"/>
        <v>2168.7399999999998</v>
      </c>
      <c r="M49" s="2"/>
      <c r="N49" s="22">
        <f t="shared" si="1"/>
        <v>0</v>
      </c>
      <c r="O49" s="11"/>
      <c r="P49" s="2">
        <f>--4003.96</f>
        <v>4003.96</v>
      </c>
      <c r="Q49" s="2"/>
      <c r="R49" s="22"/>
      <c r="S49" s="2"/>
      <c r="T49" s="2"/>
      <c r="U49" s="2"/>
      <c r="V49" s="22"/>
      <c r="W49" s="2"/>
      <c r="X49" s="2">
        <f t="shared" si="2"/>
        <v>4003.96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"4132", " - ", "NON-TAXABLE SALES-JUICE")</f>
        <v xml:space="preserve">          4132 - NON-TAXABLE SALES-JUICE</v>
      </c>
      <c r="C50" s="11"/>
      <c r="D50" s="2">
        <f>--1406.08</f>
        <v>1406.08</v>
      </c>
      <c r="E50" s="2"/>
      <c r="F50" s="22"/>
      <c r="G50" s="2"/>
      <c r="H50" s="2"/>
      <c r="I50" s="2"/>
      <c r="J50" s="22"/>
      <c r="K50" s="2"/>
      <c r="L50" s="2">
        <f t="shared" si="0"/>
        <v>1406.08</v>
      </c>
      <c r="M50" s="2"/>
      <c r="N50" s="22">
        <f t="shared" si="1"/>
        <v>0</v>
      </c>
      <c r="O50" s="11"/>
      <c r="P50" s="2">
        <f>--2054.37</f>
        <v>2054.37</v>
      </c>
      <c r="Q50" s="2"/>
      <c r="R50" s="22"/>
      <c r="S50" s="2"/>
      <c r="T50" s="2"/>
      <c r="U50" s="2"/>
      <c r="V50" s="22"/>
      <c r="W50" s="2"/>
      <c r="X50" s="2">
        <f t="shared" si="2"/>
        <v>2054.37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"4133", " - ", "NON-TAXABLE SALES-CANDY")</f>
        <v xml:space="preserve">          4133 - NON-TAXABLE SALES-CANDY</v>
      </c>
      <c r="C51" s="11"/>
      <c r="D51" s="2">
        <f t="shared" ref="D51:D53" si="4">0</f>
        <v>0</v>
      </c>
      <c r="E51" s="2"/>
      <c r="F51" s="22"/>
      <c r="G51" s="2"/>
      <c r="H51" s="2"/>
      <c r="I51" s="2"/>
      <c r="J51" s="22"/>
      <c r="K51" s="2"/>
      <c r="L51" s="2">
        <f t="shared" si="0"/>
        <v>0</v>
      </c>
      <c r="M51" s="2"/>
      <c r="N51" s="22">
        <f t="shared" si="1"/>
        <v>0</v>
      </c>
      <c r="O51" s="11"/>
      <c r="P51" s="2">
        <f>--80.71</f>
        <v>80.709999999999994</v>
      </c>
      <c r="Q51" s="2"/>
      <c r="R51" s="22"/>
      <c r="S51" s="2"/>
      <c r="T51" s="2"/>
      <c r="U51" s="2"/>
      <c r="V51" s="22"/>
      <c r="W51" s="2"/>
      <c r="X51" s="2">
        <f t="shared" si="2"/>
        <v>80.709999999999994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"4134", " - ", "NON-TAXABLE SALES-SODA")</f>
        <v xml:space="preserve">          4134 - NON-TAXABLE SALES-SODA</v>
      </c>
      <c r="C52" s="11"/>
      <c r="D52" s="2">
        <f t="shared" si="4"/>
        <v>0</v>
      </c>
      <c r="E52" s="2"/>
      <c r="F52" s="22"/>
      <c r="G52" s="2"/>
      <c r="H52" s="2"/>
      <c r="I52" s="2"/>
      <c r="J52" s="22"/>
      <c r="K52" s="2"/>
      <c r="L52" s="2">
        <f t="shared" si="0"/>
        <v>0</v>
      </c>
      <c r="M52" s="2"/>
      <c r="N52" s="22">
        <f t="shared" si="1"/>
        <v>0</v>
      </c>
      <c r="O52" s="11"/>
      <c r="P52" s="2">
        <f>--45.53</f>
        <v>45.53</v>
      </c>
      <c r="Q52" s="2"/>
      <c r="R52" s="22"/>
      <c r="S52" s="2"/>
      <c r="T52" s="2"/>
      <c r="U52" s="2"/>
      <c r="V52" s="22"/>
      <c r="W52" s="2"/>
      <c r="X52" s="2">
        <f t="shared" si="2"/>
        <v>45.53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"4137", " - ", "NON-TAXABLE SALES-WATER")</f>
        <v xml:space="preserve">          4137 - NON-TAXABLE SALES-WATER</v>
      </c>
      <c r="C53" s="11"/>
      <c r="D53" s="2">
        <f t="shared" si="4"/>
        <v>0</v>
      </c>
      <c r="E53" s="2"/>
      <c r="F53" s="22"/>
      <c r="G53" s="2"/>
      <c r="H53" s="2"/>
      <c r="I53" s="2"/>
      <c r="J53" s="22"/>
      <c r="K53" s="2"/>
      <c r="L53" s="2">
        <f t="shared" si="0"/>
        <v>0</v>
      </c>
      <c r="M53" s="2"/>
      <c r="N53" s="22">
        <f t="shared" si="1"/>
        <v>0</v>
      </c>
      <c r="O53" s="11"/>
      <c r="P53" s="2">
        <f>--68.25</f>
        <v>68.25</v>
      </c>
      <c r="Q53" s="2"/>
      <c r="R53" s="22"/>
      <c r="S53" s="2"/>
      <c r="T53" s="2"/>
      <c r="U53" s="2"/>
      <c r="V53" s="22"/>
      <c r="W53" s="2"/>
      <c r="X53" s="2">
        <f t="shared" si="2"/>
        <v>68.25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"4140", " - ", "NON-TAXABLE SALES-LOGO CLOTHIN")</f>
        <v xml:space="preserve">          4140 - NON-TAXABLE SALES-LOGO CLOTHIN</v>
      </c>
      <c r="C54" s="11"/>
      <c r="D54" s="2">
        <f>--3339.7</f>
        <v>3339.7</v>
      </c>
      <c r="E54" s="2"/>
      <c r="F54" s="22"/>
      <c r="G54" s="2"/>
      <c r="H54" s="2"/>
      <c r="I54" s="2"/>
      <c r="J54" s="22"/>
      <c r="K54" s="2"/>
      <c r="L54" s="2">
        <f t="shared" si="0"/>
        <v>3339.7</v>
      </c>
      <c r="M54" s="2"/>
      <c r="N54" s="22">
        <f t="shared" si="1"/>
        <v>0</v>
      </c>
      <c r="O54" s="11"/>
      <c r="P54" s="2">
        <f>--17452.44</f>
        <v>17452.439999999999</v>
      </c>
      <c r="Q54" s="2"/>
      <c r="R54" s="22"/>
      <c r="S54" s="2"/>
      <c r="T54" s="2"/>
      <c r="U54" s="2"/>
      <c r="V54" s="22"/>
      <c r="W54" s="2"/>
      <c r="X54" s="2">
        <f t="shared" si="2"/>
        <v>17452.439999999999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"4141", " - ", "NON-TAXABLE SALES-LOGO GIFTS")</f>
        <v xml:space="preserve">          4141 - NON-TAXABLE SALES-LOGO GIFTS</v>
      </c>
      <c r="C55" s="11"/>
      <c r="D55" s="2">
        <f>--555.74</f>
        <v>555.74</v>
      </c>
      <c r="E55" s="2"/>
      <c r="F55" s="22"/>
      <c r="G55" s="2"/>
      <c r="H55" s="2"/>
      <c r="I55" s="2"/>
      <c r="J55" s="22"/>
      <c r="K55" s="2"/>
      <c r="L55" s="2">
        <f t="shared" si="0"/>
        <v>555.74</v>
      </c>
      <c r="M55" s="2"/>
      <c r="N55" s="22">
        <f t="shared" si="1"/>
        <v>0</v>
      </c>
      <c r="O55" s="11"/>
      <c r="P55" s="2">
        <f>--2944.99</f>
        <v>2944.99</v>
      </c>
      <c r="Q55" s="2"/>
      <c r="R55" s="22"/>
      <c r="S55" s="2"/>
      <c r="T55" s="2"/>
      <c r="U55" s="2"/>
      <c r="V55" s="22"/>
      <c r="W55" s="2"/>
      <c r="X55" s="2">
        <f t="shared" si="2"/>
        <v>2944.99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"4142", " - ", "NON-TAXABLE SALES-EVERYDAY GIF")</f>
        <v xml:space="preserve">          4142 - NON-TAXABLE SALES-EVERYDAY GIF</v>
      </c>
      <c r="C56" s="11"/>
      <c r="D56" s="2">
        <f>--30.16</f>
        <v>30.16</v>
      </c>
      <c r="E56" s="2"/>
      <c r="F56" s="22"/>
      <c r="G56" s="2"/>
      <c r="H56" s="2"/>
      <c r="I56" s="2"/>
      <c r="J56" s="22"/>
      <c r="K56" s="2"/>
      <c r="L56" s="2">
        <f t="shared" si="0"/>
        <v>30.16</v>
      </c>
      <c r="M56" s="2"/>
      <c r="N56" s="22">
        <f t="shared" si="1"/>
        <v>0</v>
      </c>
      <c r="O56" s="11"/>
      <c r="P56" s="2">
        <f>--1009.73</f>
        <v>1009.73</v>
      </c>
      <c r="Q56" s="2"/>
      <c r="R56" s="22"/>
      <c r="S56" s="2"/>
      <c r="T56" s="2"/>
      <c r="U56" s="2"/>
      <c r="V56" s="22"/>
      <c r="W56" s="2"/>
      <c r="X56" s="2">
        <f t="shared" si="2"/>
        <v>1009.73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"4143", " - ", "NON-TAXABLE SALES-CARDS")</f>
        <v xml:space="preserve">          4143 - NON-TAXABLE SALES-CARDS</v>
      </c>
      <c r="C57" s="11"/>
      <c r="D57" s="2">
        <f>0</f>
        <v>0</v>
      </c>
      <c r="E57" s="2"/>
      <c r="F57" s="22"/>
      <c r="G57" s="2"/>
      <c r="H57" s="2"/>
      <c r="I57" s="2"/>
      <c r="J57" s="22"/>
      <c r="K57" s="2"/>
      <c r="L57" s="2">
        <f t="shared" si="0"/>
        <v>0</v>
      </c>
      <c r="M57" s="2"/>
      <c r="N57" s="22">
        <f t="shared" si="1"/>
        <v>0</v>
      </c>
      <c r="O57" s="11"/>
      <c r="P57" s="2">
        <f>--19.98</f>
        <v>19.98</v>
      </c>
      <c r="Q57" s="2"/>
      <c r="R57" s="22"/>
      <c r="S57" s="2"/>
      <c r="T57" s="2"/>
      <c r="U57" s="2"/>
      <c r="V57" s="22"/>
      <c r="W57" s="2"/>
      <c r="X57" s="2">
        <f t="shared" si="2"/>
        <v>19.98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"4144", " - ", "NON-TAXABLE SALES-ACCESSORIES")</f>
        <v xml:space="preserve">          4144 - NON-TAXABLE SALES-ACCESSORIES</v>
      </c>
      <c r="C58" s="11"/>
      <c r="D58" s="2">
        <f>--59.95</f>
        <v>59.95</v>
      </c>
      <c r="E58" s="2"/>
      <c r="F58" s="22"/>
      <c r="G58" s="2"/>
      <c r="H58" s="2"/>
      <c r="I58" s="2"/>
      <c r="J58" s="22"/>
      <c r="K58" s="2"/>
      <c r="L58" s="2">
        <f t="shared" si="0"/>
        <v>59.95</v>
      </c>
      <c r="M58" s="2"/>
      <c r="N58" s="22">
        <f t="shared" si="1"/>
        <v>0</v>
      </c>
      <c r="O58" s="11"/>
      <c r="P58" s="2">
        <f>--215.75</f>
        <v>215.75</v>
      </c>
      <c r="Q58" s="2"/>
      <c r="R58" s="22"/>
      <c r="S58" s="2"/>
      <c r="T58" s="2"/>
      <c r="U58" s="2"/>
      <c r="V58" s="22"/>
      <c r="W58" s="2"/>
      <c r="X58" s="2">
        <f t="shared" si="2"/>
        <v>215.75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"4145", " - ", "NON-TAXABLE SALES-SPECIAL ORDE")</f>
        <v xml:space="preserve">          4145 - NON-TAXABLE SALES-SPECIAL ORDE</v>
      </c>
      <c r="C59" s="11"/>
      <c r="D59" s="2">
        <f>0</f>
        <v>0</v>
      </c>
      <c r="E59" s="2"/>
      <c r="F59" s="22"/>
      <c r="G59" s="2"/>
      <c r="H59" s="2"/>
      <c r="I59" s="2"/>
      <c r="J59" s="22"/>
      <c r="K59" s="2"/>
      <c r="L59" s="2">
        <f t="shared" si="0"/>
        <v>0</v>
      </c>
      <c r="M59" s="2"/>
      <c r="N59" s="22">
        <f t="shared" si="1"/>
        <v>0</v>
      </c>
      <c r="O59" s="11"/>
      <c r="P59" s="2">
        <f>--35846</f>
        <v>35846</v>
      </c>
      <c r="Q59" s="2"/>
      <c r="R59" s="22"/>
      <c r="S59" s="2"/>
      <c r="T59" s="2"/>
      <c r="U59" s="2"/>
      <c r="V59" s="22"/>
      <c r="W59" s="2"/>
      <c r="X59" s="2">
        <f t="shared" si="2"/>
        <v>35846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"4146", " - ", "NON-TAXABLE SALES-COIN OP MACH")</f>
        <v xml:space="preserve">          4146 - NON-TAXABLE SALES-COIN OP MACH</v>
      </c>
      <c r="C60" s="11"/>
      <c r="D60" s="2">
        <f>--49.7</f>
        <v>49.7</v>
      </c>
      <c r="E60" s="2"/>
      <c r="F60" s="22"/>
      <c r="G60" s="2"/>
      <c r="H60" s="2"/>
      <c r="I60" s="2"/>
      <c r="J60" s="22"/>
      <c r="K60" s="2"/>
      <c r="L60" s="2">
        <f t="shared" si="0"/>
        <v>49.7</v>
      </c>
      <c r="M60" s="2"/>
      <c r="N60" s="22">
        <f t="shared" si="1"/>
        <v>0</v>
      </c>
      <c r="O60" s="11"/>
      <c r="P60" s="2">
        <f>--65.2</f>
        <v>65.2</v>
      </c>
      <c r="Q60" s="2"/>
      <c r="R60" s="22"/>
      <c r="S60" s="2"/>
      <c r="T60" s="2"/>
      <c r="U60" s="2"/>
      <c r="V60" s="22"/>
      <c r="W60" s="2"/>
      <c r="X60" s="2">
        <f t="shared" si="2"/>
        <v>65.2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"4147", " - ", "NON-TAXABLE SALES-MISC")</f>
        <v xml:space="preserve">          4147 - NON-TAXABLE SALES-MISC</v>
      </c>
      <c r="C61" s="11"/>
      <c r="D61" s="2">
        <f>--24</f>
        <v>24</v>
      </c>
      <c r="E61" s="2"/>
      <c r="F61" s="22"/>
      <c r="G61" s="2"/>
      <c r="H61" s="2"/>
      <c r="I61" s="2"/>
      <c r="J61" s="22"/>
      <c r="K61" s="2"/>
      <c r="L61" s="2">
        <f t="shared" si="0"/>
        <v>24</v>
      </c>
      <c r="M61" s="2"/>
      <c r="N61" s="22">
        <f t="shared" si="1"/>
        <v>0</v>
      </c>
      <c r="O61" s="11"/>
      <c r="P61" s="2">
        <f>--48</f>
        <v>48</v>
      </c>
      <c r="Q61" s="2"/>
      <c r="R61" s="22"/>
      <c r="S61" s="2"/>
      <c r="T61" s="2"/>
      <c r="U61" s="2"/>
      <c r="V61" s="22"/>
      <c r="W61" s="2"/>
      <c r="X61" s="2">
        <f t="shared" si="2"/>
        <v>48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"4151", " - ", "NON-TAXABLE SALES-FOOD")</f>
        <v xml:space="preserve">          4151 - NON-TAXABLE SALES-FOOD</v>
      </c>
      <c r="C62" s="11"/>
      <c r="D62" s="2">
        <f>--223549.77</f>
        <v>223549.77</v>
      </c>
      <c r="E62" s="2"/>
      <c r="F62" s="22"/>
      <c r="G62" s="2"/>
      <c r="H62" s="2"/>
      <c r="I62" s="2"/>
      <c r="J62" s="22"/>
      <c r="K62" s="2"/>
      <c r="L62" s="2">
        <f t="shared" si="0"/>
        <v>223549.77</v>
      </c>
      <c r="M62" s="2"/>
      <c r="N62" s="22">
        <f t="shared" si="1"/>
        <v>0</v>
      </c>
      <c r="O62" s="11"/>
      <c r="P62" s="2">
        <f>--267608.67</f>
        <v>267608.67</v>
      </c>
      <c r="Q62" s="2"/>
      <c r="R62" s="22"/>
      <c r="S62" s="2"/>
      <c r="T62" s="2"/>
      <c r="U62" s="2"/>
      <c r="V62" s="22"/>
      <c r="W62" s="2"/>
      <c r="X62" s="2">
        <f t="shared" si="2"/>
        <v>267608.67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"4153", " - ", "NON-TAXABLE SALES-FOOD")</f>
        <v xml:space="preserve">          4153 - NON-TAXABLE SALES-FOOD</v>
      </c>
      <c r="C63" s="11"/>
      <c r="D63" s="2">
        <f>--3278.36</f>
        <v>3278.36</v>
      </c>
      <c r="E63" s="2"/>
      <c r="F63" s="22"/>
      <c r="G63" s="2"/>
      <c r="H63" s="2"/>
      <c r="I63" s="2"/>
      <c r="J63" s="22"/>
      <c r="K63" s="2"/>
      <c r="L63" s="2">
        <f t="shared" si="0"/>
        <v>3278.36</v>
      </c>
      <c r="M63" s="2"/>
      <c r="N63" s="22">
        <f t="shared" si="1"/>
        <v>0</v>
      </c>
      <c r="O63" s="11"/>
      <c r="P63" s="2">
        <f>--30353.78</f>
        <v>30353.78</v>
      </c>
      <c r="Q63" s="2"/>
      <c r="R63" s="22"/>
      <c r="S63" s="2"/>
      <c r="T63" s="2"/>
      <c r="U63" s="2"/>
      <c r="V63" s="22"/>
      <c r="W63" s="2"/>
      <c r="X63" s="2">
        <f t="shared" si="2"/>
        <v>30353.78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"4181", " - ", "NON-TAXABLE SALES-ELECTRONICS")</f>
        <v xml:space="preserve">          4181 - NON-TAXABLE SALES-ELECTRONICS</v>
      </c>
      <c r="C64" s="11"/>
      <c r="D64" s="2">
        <f>--669.89</f>
        <v>669.89</v>
      </c>
      <c r="E64" s="2"/>
      <c r="F64" s="22"/>
      <c r="G64" s="2"/>
      <c r="H64" s="2"/>
      <c r="I64" s="2"/>
      <c r="J64" s="22"/>
      <c r="K64" s="2"/>
      <c r="L64" s="2">
        <f t="shared" si="0"/>
        <v>669.89</v>
      </c>
      <c r="M64" s="2"/>
      <c r="N64" s="22">
        <f t="shared" si="1"/>
        <v>0</v>
      </c>
      <c r="O64" s="11"/>
      <c r="P64" s="2">
        <f>--3309.16</f>
        <v>3309.16</v>
      </c>
      <c r="Q64" s="2"/>
      <c r="R64" s="22"/>
      <c r="S64" s="2"/>
      <c r="T64" s="2"/>
      <c r="U64" s="2"/>
      <c r="V64" s="22"/>
      <c r="W64" s="2"/>
      <c r="X64" s="2">
        <f t="shared" si="2"/>
        <v>3309.16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"4182", " - ", "NON-TAXABLE SALES-COMPUTER HAR")</f>
        <v xml:space="preserve">          4182 - NON-TAXABLE SALES-COMPUTER HAR</v>
      </c>
      <c r="C65" s="11"/>
      <c r="D65" s="2">
        <f>--38657</f>
        <v>38657</v>
      </c>
      <c r="E65" s="2"/>
      <c r="F65" s="22"/>
      <c r="G65" s="2"/>
      <c r="H65" s="2"/>
      <c r="I65" s="2"/>
      <c r="J65" s="22"/>
      <c r="K65" s="2"/>
      <c r="L65" s="2">
        <f t="shared" si="0"/>
        <v>38657</v>
      </c>
      <c r="M65" s="2"/>
      <c r="N65" s="22">
        <f t="shared" si="1"/>
        <v>0</v>
      </c>
      <c r="O65" s="11"/>
      <c r="P65" s="2">
        <f>--120724.38</f>
        <v>120724.38</v>
      </c>
      <c r="Q65" s="2"/>
      <c r="R65" s="22"/>
      <c r="S65" s="2"/>
      <c r="T65" s="2"/>
      <c r="U65" s="2"/>
      <c r="V65" s="22"/>
      <c r="W65" s="2"/>
      <c r="X65" s="2">
        <f t="shared" si="2"/>
        <v>120724.38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"4183", " - ", "NON-TAXABLE SALES-COMPUTER EQU")</f>
        <v xml:space="preserve">          4183 - NON-TAXABLE SALES-COMPUTER EQU</v>
      </c>
      <c r="C66" s="11"/>
      <c r="D66" s="2">
        <f>--1946.8</f>
        <v>1946.8</v>
      </c>
      <c r="E66" s="2"/>
      <c r="F66" s="22"/>
      <c r="G66" s="2"/>
      <c r="H66" s="2"/>
      <c r="I66" s="2"/>
      <c r="J66" s="22"/>
      <c r="K66" s="2"/>
      <c r="L66" s="2">
        <f t="shared" si="0"/>
        <v>1946.8</v>
      </c>
      <c r="M66" s="2"/>
      <c r="N66" s="22">
        <f t="shared" si="1"/>
        <v>0</v>
      </c>
      <c r="O66" s="11"/>
      <c r="P66" s="2">
        <f>--5066.48</f>
        <v>5066.4799999999996</v>
      </c>
      <c r="Q66" s="2"/>
      <c r="R66" s="22"/>
      <c r="S66" s="2"/>
      <c r="T66" s="2"/>
      <c r="U66" s="2"/>
      <c r="V66" s="22"/>
      <c r="W66" s="2"/>
      <c r="X66" s="2">
        <f t="shared" si="2"/>
        <v>5066.4799999999996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"4185", " - ", "NON-TAXABLE SALES-SOFTWARE")</f>
        <v xml:space="preserve">          4185 - NON-TAXABLE SALES-SOFTWARE</v>
      </c>
      <c r="C67" s="11"/>
      <c r="D67" s="2">
        <f>--8427.6</f>
        <v>8427.6</v>
      </c>
      <c r="E67" s="2"/>
      <c r="F67" s="22"/>
      <c r="G67" s="2"/>
      <c r="H67" s="2"/>
      <c r="I67" s="2"/>
      <c r="J67" s="22"/>
      <c r="K67" s="2"/>
      <c r="L67" s="2">
        <f t="shared" si="0"/>
        <v>8427.6</v>
      </c>
      <c r="M67" s="2"/>
      <c r="N67" s="22">
        <f t="shared" si="1"/>
        <v>0</v>
      </c>
      <c r="O67" s="11"/>
      <c r="P67" s="2">
        <f>--19226.09</f>
        <v>19226.09</v>
      </c>
      <c r="Q67" s="2"/>
      <c r="R67" s="22"/>
      <c r="S67" s="2"/>
      <c r="T67" s="2"/>
      <c r="U67" s="2"/>
      <c r="V67" s="22"/>
      <c r="W67" s="2"/>
      <c r="X67" s="2">
        <f t="shared" si="2"/>
        <v>19226.09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"4186", " - ", "NON-TAXABLE SALES-COMPUTER SUP")</f>
        <v xml:space="preserve">          4186 - NON-TAXABLE SALES-COMPUTER SUP</v>
      </c>
      <c r="C68" s="11"/>
      <c r="D68" s="2">
        <f>--460.89</f>
        <v>460.89</v>
      </c>
      <c r="E68" s="2"/>
      <c r="F68" s="22"/>
      <c r="G68" s="2"/>
      <c r="H68" s="2"/>
      <c r="I68" s="2"/>
      <c r="J68" s="22"/>
      <c r="K68" s="2"/>
      <c r="L68" s="2">
        <f t="shared" si="0"/>
        <v>460.89</v>
      </c>
      <c r="M68" s="2"/>
      <c r="N68" s="22">
        <f t="shared" si="1"/>
        <v>0</v>
      </c>
      <c r="O68" s="11"/>
      <c r="P68" s="2">
        <f>--873.79</f>
        <v>873.79</v>
      </c>
      <c r="Q68" s="2"/>
      <c r="R68" s="22"/>
      <c r="S68" s="2"/>
      <c r="T68" s="2"/>
      <c r="U68" s="2"/>
      <c r="V68" s="22"/>
      <c r="W68" s="2"/>
      <c r="X68" s="2">
        <f t="shared" si="2"/>
        <v>873.79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"4201", " - ", "SALES RETURN TAXABLE-NEW TEXT")</f>
        <v xml:space="preserve">          4201 - SALES RETURN TAXABLE-NEW TEXT</v>
      </c>
      <c r="C69" s="11"/>
      <c r="D69" s="2">
        <f>-13393.2</f>
        <v>-13393.2</v>
      </c>
      <c r="E69" s="2"/>
      <c r="F69" s="22"/>
      <c r="G69" s="2"/>
      <c r="H69" s="2"/>
      <c r="I69" s="2"/>
      <c r="J69" s="22"/>
      <c r="K69" s="2"/>
      <c r="L69" s="2">
        <f t="shared" si="0"/>
        <v>-13393.2</v>
      </c>
      <c r="M69" s="2"/>
      <c r="N69" s="22">
        <f t="shared" si="1"/>
        <v>0</v>
      </c>
      <c r="O69" s="11"/>
      <c r="P69" s="2">
        <f>-32248.99</f>
        <v>-32248.99</v>
      </c>
      <c r="Q69" s="2"/>
      <c r="R69" s="22"/>
      <c r="S69" s="2"/>
      <c r="T69" s="2"/>
      <c r="U69" s="2"/>
      <c r="V69" s="22"/>
      <c r="W69" s="2"/>
      <c r="X69" s="2">
        <f t="shared" si="2"/>
        <v>-32248.99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"4202", " - ", "SALES RETURN TAXABLE-USED TEXT")</f>
        <v xml:space="preserve">          4202 - SALES RETURN TAXABLE-USED TEXT</v>
      </c>
      <c r="C70" s="11"/>
      <c r="D70" s="2">
        <f>-1345.2</f>
        <v>-1345.2</v>
      </c>
      <c r="E70" s="2"/>
      <c r="F70" s="22"/>
      <c r="G70" s="2"/>
      <c r="H70" s="2"/>
      <c r="I70" s="2"/>
      <c r="J70" s="22"/>
      <c r="K70" s="2"/>
      <c r="L70" s="2">
        <f t="shared" si="0"/>
        <v>-1345.2</v>
      </c>
      <c r="M70" s="2"/>
      <c r="N70" s="22">
        <f t="shared" si="1"/>
        <v>0</v>
      </c>
      <c r="O70" s="11"/>
      <c r="P70" s="2">
        <f>-10392.95</f>
        <v>-10392.950000000001</v>
      </c>
      <c r="Q70" s="2"/>
      <c r="R70" s="22"/>
      <c r="S70" s="2"/>
      <c r="T70" s="2"/>
      <c r="U70" s="2"/>
      <c r="V70" s="22"/>
      <c r="W70" s="2"/>
      <c r="X70" s="2">
        <f t="shared" si="2"/>
        <v>-10392.950000000001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"4204", " - ", "SALES RETURN TAXABLE-DIGITAL T")</f>
        <v xml:space="preserve">          4204 - SALES RETURN TAXABLE-DIGITAL T</v>
      </c>
      <c r="C71" s="11"/>
      <c r="D71" s="2">
        <f>-105.87</f>
        <v>-105.87</v>
      </c>
      <c r="E71" s="2"/>
      <c r="F71" s="22"/>
      <c r="G71" s="2"/>
      <c r="H71" s="2"/>
      <c r="I71" s="2"/>
      <c r="J71" s="22"/>
      <c r="K71" s="2"/>
      <c r="L71" s="2">
        <f t="shared" si="0"/>
        <v>-105.87</v>
      </c>
      <c r="M71" s="2"/>
      <c r="N71" s="22">
        <f t="shared" si="1"/>
        <v>0</v>
      </c>
      <c r="O71" s="11"/>
      <c r="P71" s="2">
        <f>-1246.95</f>
        <v>-1246.95</v>
      </c>
      <c r="Q71" s="2"/>
      <c r="R71" s="22"/>
      <c r="S71" s="2"/>
      <c r="T71" s="2"/>
      <c r="U71" s="2"/>
      <c r="V71" s="22"/>
      <c r="W71" s="2"/>
      <c r="X71" s="2">
        <f t="shared" si="2"/>
        <v>-1246.95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"4226", " - ", "SALES RETURN TAXABLE-WRITING I")</f>
        <v xml:space="preserve">          4226 - SALES RETURN TAXABLE-WRITING I</v>
      </c>
      <c r="C72" s="11"/>
      <c r="D72" s="2">
        <f>-22.49</f>
        <v>-22.49</v>
      </c>
      <c r="E72" s="2"/>
      <c r="F72" s="22"/>
      <c r="G72" s="2"/>
      <c r="H72" s="2"/>
      <c r="I72" s="2"/>
      <c r="J72" s="22"/>
      <c r="K72" s="2"/>
      <c r="L72" s="2">
        <f t="shared" si="0"/>
        <v>-22.49</v>
      </c>
      <c r="M72" s="2"/>
      <c r="N72" s="22">
        <f t="shared" si="1"/>
        <v>0</v>
      </c>
      <c r="O72" s="11"/>
      <c r="P72" s="2">
        <f>-28.87</f>
        <v>-28.87</v>
      </c>
      <c r="Q72" s="2"/>
      <c r="R72" s="22"/>
      <c r="S72" s="2"/>
      <c r="T72" s="2"/>
      <c r="U72" s="2"/>
      <c r="V72" s="22"/>
      <c r="W72" s="2"/>
      <c r="X72" s="2">
        <f t="shared" si="2"/>
        <v>-28.87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"4227", " - ", "SALES RETURN TAXABLE-SCHOOL SU")</f>
        <v xml:space="preserve">          4227 - SALES RETURN TAXABLE-SCHOOL SU</v>
      </c>
      <c r="C73" s="11"/>
      <c r="D73" s="2">
        <f>-152.29</f>
        <v>-152.29</v>
      </c>
      <c r="E73" s="2"/>
      <c r="F73" s="22"/>
      <c r="G73" s="2"/>
      <c r="H73" s="2"/>
      <c r="I73" s="2"/>
      <c r="J73" s="22"/>
      <c r="K73" s="2"/>
      <c r="L73" s="2">
        <f t="shared" si="0"/>
        <v>-152.29</v>
      </c>
      <c r="M73" s="2"/>
      <c r="N73" s="22">
        <f t="shared" si="1"/>
        <v>0</v>
      </c>
      <c r="O73" s="11"/>
      <c r="P73" s="2">
        <f>-568.67</f>
        <v>-568.66999999999996</v>
      </c>
      <c r="Q73" s="2"/>
      <c r="R73" s="22"/>
      <c r="S73" s="2"/>
      <c r="T73" s="2"/>
      <c r="U73" s="2"/>
      <c r="V73" s="22"/>
      <c r="W73" s="2"/>
      <c r="X73" s="2">
        <f t="shared" si="2"/>
        <v>-568.66999999999996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"4228", " - ", "SALES RETURN TAXABLE-ART/TECH")</f>
        <v xml:space="preserve">          4228 - SALES RETURN TAXABLE-ART/TECH</v>
      </c>
      <c r="C74" s="11"/>
      <c r="D74" s="2">
        <f>-57.76</f>
        <v>-57.76</v>
      </c>
      <c r="E74" s="2"/>
      <c r="F74" s="22"/>
      <c r="G74" s="2"/>
      <c r="H74" s="2"/>
      <c r="I74" s="2"/>
      <c r="J74" s="22"/>
      <c r="K74" s="2"/>
      <c r="L74" s="2">
        <f t="shared" si="0"/>
        <v>-57.76</v>
      </c>
      <c r="M74" s="2"/>
      <c r="N74" s="22">
        <f t="shared" si="1"/>
        <v>0</v>
      </c>
      <c r="O74" s="11"/>
      <c r="P74" s="2">
        <f>-222.2</f>
        <v>-222.2</v>
      </c>
      <c r="Q74" s="2"/>
      <c r="R74" s="22"/>
      <c r="S74" s="2"/>
      <c r="T74" s="2"/>
      <c r="U74" s="2"/>
      <c r="V74" s="22"/>
      <c r="W74" s="2"/>
      <c r="X74" s="2">
        <f t="shared" si="2"/>
        <v>-222.2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"4240", " - ", "SALES RETURN TAXABLE-LOGO CLOT")</f>
        <v xml:space="preserve">          4240 - SALES RETURN TAXABLE-LOGO CLOT</v>
      </c>
      <c r="C75" s="11"/>
      <c r="D75" s="2">
        <f>-3453.14</f>
        <v>-3453.14</v>
      </c>
      <c r="E75" s="2"/>
      <c r="F75" s="22"/>
      <c r="G75" s="2"/>
      <c r="H75" s="2"/>
      <c r="I75" s="2"/>
      <c r="J75" s="22"/>
      <c r="K75" s="2"/>
      <c r="L75" s="2">
        <f t="shared" si="0"/>
        <v>-3453.14</v>
      </c>
      <c r="M75" s="2"/>
      <c r="N75" s="22">
        <f t="shared" si="1"/>
        <v>0</v>
      </c>
      <c r="O75" s="11"/>
      <c r="P75" s="2">
        <f>-11609.96</f>
        <v>-11609.96</v>
      </c>
      <c r="Q75" s="2"/>
      <c r="R75" s="22"/>
      <c r="S75" s="2"/>
      <c r="T75" s="2"/>
      <c r="U75" s="2"/>
      <c r="V75" s="22"/>
      <c r="W75" s="2"/>
      <c r="X75" s="2">
        <f t="shared" si="2"/>
        <v>-11609.96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"4241", " - ", "SALES RETURN TAXABLE-LOGO GIFT")</f>
        <v xml:space="preserve">          4241 - SALES RETURN TAXABLE-LOGO GIFT</v>
      </c>
      <c r="C76" s="11"/>
      <c r="D76" s="2">
        <f>-988.92</f>
        <v>-988.92</v>
      </c>
      <c r="E76" s="2"/>
      <c r="F76" s="22"/>
      <c r="G76" s="2"/>
      <c r="H76" s="2"/>
      <c r="I76" s="2"/>
      <c r="J76" s="22"/>
      <c r="K76" s="2"/>
      <c r="L76" s="2">
        <f t="shared" si="0"/>
        <v>-988.92</v>
      </c>
      <c r="M76" s="2"/>
      <c r="N76" s="22">
        <f t="shared" si="1"/>
        <v>0</v>
      </c>
      <c r="O76" s="11"/>
      <c r="P76" s="2">
        <f>-2317.11</f>
        <v>-2317.11</v>
      </c>
      <c r="Q76" s="2"/>
      <c r="R76" s="22"/>
      <c r="S76" s="2"/>
      <c r="T76" s="2"/>
      <c r="U76" s="2"/>
      <c r="V76" s="22"/>
      <c r="W76" s="2"/>
      <c r="X76" s="2">
        <f t="shared" si="2"/>
        <v>-2317.11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"4242", " - ", "SALES RETURN TAXABLE-EVERYDAY")</f>
        <v xml:space="preserve">          4242 - SALES RETURN TAXABLE-EVERYDAY</v>
      </c>
      <c r="C77" s="11"/>
      <c r="D77" s="2">
        <f>-405.07</f>
        <v>-405.07</v>
      </c>
      <c r="E77" s="2"/>
      <c r="F77" s="22"/>
      <c r="G77" s="2"/>
      <c r="H77" s="2"/>
      <c r="I77" s="2"/>
      <c r="J77" s="22"/>
      <c r="K77" s="2"/>
      <c r="L77" s="2">
        <f t="shared" si="0"/>
        <v>-405.07</v>
      </c>
      <c r="M77" s="2"/>
      <c r="N77" s="22">
        <f t="shared" si="1"/>
        <v>0</v>
      </c>
      <c r="O77" s="11"/>
      <c r="P77" s="2">
        <f>-1054.56</f>
        <v>-1054.56</v>
      </c>
      <c r="Q77" s="2"/>
      <c r="R77" s="22"/>
      <c r="S77" s="2"/>
      <c r="T77" s="2"/>
      <c r="U77" s="2"/>
      <c r="V77" s="22"/>
      <c r="W77" s="2"/>
      <c r="X77" s="2">
        <f t="shared" si="2"/>
        <v>-1054.56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"4243", " - ", "SALES RETURN TAXABLE-CARDS")</f>
        <v xml:space="preserve">          4243 - SALES RETURN TAXABLE-CARDS</v>
      </c>
      <c r="C78" s="11"/>
      <c r="D78" s="2">
        <f>-59.94</f>
        <v>-59.94</v>
      </c>
      <c r="E78" s="2"/>
      <c r="F78" s="22"/>
      <c r="G78" s="2"/>
      <c r="H78" s="2"/>
      <c r="I78" s="2"/>
      <c r="J78" s="22"/>
      <c r="K78" s="2"/>
      <c r="L78" s="2">
        <f t="shared" si="0"/>
        <v>-59.94</v>
      </c>
      <c r="M78" s="2"/>
      <c r="N78" s="22">
        <f t="shared" si="1"/>
        <v>0</v>
      </c>
      <c r="O78" s="11"/>
      <c r="P78" s="2">
        <f>-153.37</f>
        <v>-153.37</v>
      </c>
      <c r="Q78" s="2"/>
      <c r="R78" s="22"/>
      <c r="S78" s="2"/>
      <c r="T78" s="2"/>
      <c r="U78" s="2"/>
      <c r="V78" s="22"/>
      <c r="W78" s="2"/>
      <c r="X78" s="2">
        <f t="shared" si="2"/>
        <v>-153.37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"4244", " - ", "SALES RETURN TAXABLE-ACCESSORI")</f>
        <v xml:space="preserve">          4244 - SALES RETURN TAXABLE-ACCESSORI</v>
      </c>
      <c r="C79" s="11"/>
      <c r="D79" s="2">
        <f>-60</f>
        <v>-60</v>
      </c>
      <c r="E79" s="2"/>
      <c r="F79" s="22"/>
      <c r="G79" s="2"/>
      <c r="H79" s="2"/>
      <c r="I79" s="2"/>
      <c r="J79" s="22"/>
      <c r="K79" s="2"/>
      <c r="L79" s="2">
        <f t="shared" si="0"/>
        <v>-60</v>
      </c>
      <c r="M79" s="2"/>
      <c r="N79" s="22">
        <f t="shared" si="1"/>
        <v>0</v>
      </c>
      <c r="O79" s="11"/>
      <c r="P79" s="2">
        <f>-410.99</f>
        <v>-410.99</v>
      </c>
      <c r="Q79" s="2"/>
      <c r="R79" s="22"/>
      <c r="S79" s="2"/>
      <c r="T79" s="2"/>
      <c r="U79" s="2"/>
      <c r="V79" s="22"/>
      <c r="W79" s="2"/>
      <c r="X79" s="2">
        <f t="shared" si="2"/>
        <v>-410.99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"4245", " - ", "SALES RETURN TAXABLE-SPECIAL O")</f>
        <v xml:space="preserve">          4245 - SALES RETURN TAXABLE-SPECIAL O</v>
      </c>
      <c r="C80" s="11"/>
      <c r="D80" s="2">
        <f>-3.99</f>
        <v>-3.99</v>
      </c>
      <c r="E80" s="2"/>
      <c r="F80" s="22"/>
      <c r="G80" s="2"/>
      <c r="H80" s="2"/>
      <c r="I80" s="2"/>
      <c r="J80" s="22"/>
      <c r="K80" s="2"/>
      <c r="L80" s="2">
        <f t="shared" si="0"/>
        <v>-3.99</v>
      </c>
      <c r="M80" s="2"/>
      <c r="N80" s="22">
        <f t="shared" si="1"/>
        <v>0</v>
      </c>
      <c r="O80" s="11"/>
      <c r="P80" s="2">
        <f>-1182.95</f>
        <v>-1182.95</v>
      </c>
      <c r="Q80" s="2"/>
      <c r="R80" s="22"/>
      <c r="S80" s="2"/>
      <c r="T80" s="2"/>
      <c r="U80" s="2"/>
      <c r="V80" s="22"/>
      <c r="W80" s="2"/>
      <c r="X80" s="2">
        <f t="shared" si="2"/>
        <v>-1182.95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"4281", " - ", "SALES RETURN TAXABLE-ELECTRONI")</f>
        <v xml:space="preserve">          4281 - SALES RETURN TAXABLE-ELECTRONI</v>
      </c>
      <c r="C81" s="11"/>
      <c r="D81" s="2">
        <f>-557.94</f>
        <v>-557.94000000000005</v>
      </c>
      <c r="E81" s="2"/>
      <c r="F81" s="22"/>
      <c r="G81" s="2"/>
      <c r="H81" s="2"/>
      <c r="I81" s="2"/>
      <c r="J81" s="22"/>
      <c r="K81" s="2"/>
      <c r="L81" s="2">
        <f t="shared" si="0"/>
        <v>-557.94000000000005</v>
      </c>
      <c r="M81" s="2"/>
      <c r="N81" s="22">
        <f t="shared" si="1"/>
        <v>0</v>
      </c>
      <c r="O81" s="11"/>
      <c r="P81" s="2">
        <f>-14274.16</f>
        <v>-14274.16</v>
      </c>
      <c r="Q81" s="2"/>
      <c r="R81" s="22"/>
      <c r="S81" s="2"/>
      <c r="T81" s="2"/>
      <c r="U81" s="2"/>
      <c r="V81" s="22"/>
      <c r="W81" s="2"/>
      <c r="X81" s="2">
        <f t="shared" si="2"/>
        <v>-14274.16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"4282", " - ", "SALES RETURN TAXABLE-COMPUTER")</f>
        <v xml:space="preserve">          4282 - SALES RETURN TAXABLE-COMPUTER</v>
      </c>
      <c r="C82" s="11"/>
      <c r="D82" s="2">
        <f>-14636</f>
        <v>-14636</v>
      </c>
      <c r="E82" s="2"/>
      <c r="F82" s="22"/>
      <c r="G82" s="2"/>
      <c r="H82" s="2"/>
      <c r="I82" s="2"/>
      <c r="J82" s="22"/>
      <c r="K82" s="2"/>
      <c r="L82" s="2">
        <f t="shared" si="0"/>
        <v>-14636</v>
      </c>
      <c r="M82" s="2"/>
      <c r="N82" s="22">
        <f t="shared" si="1"/>
        <v>0</v>
      </c>
      <c r="O82" s="11"/>
      <c r="P82" s="2">
        <f>-48285</f>
        <v>-48285</v>
      </c>
      <c r="Q82" s="2"/>
      <c r="R82" s="22"/>
      <c r="S82" s="2"/>
      <c r="T82" s="2"/>
      <c r="U82" s="2"/>
      <c r="V82" s="22"/>
      <c r="W82" s="2"/>
      <c r="X82" s="2">
        <f t="shared" si="2"/>
        <v>-48285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"4283", " - ", "SALES RETURN TAXABLE-COMPUTER")</f>
        <v xml:space="preserve">          4283 - SALES RETURN TAXABLE-COMPUTER</v>
      </c>
      <c r="C83" s="11"/>
      <c r="D83" s="2">
        <f>-483.9</f>
        <v>-483.9</v>
      </c>
      <c r="E83" s="2"/>
      <c r="F83" s="22"/>
      <c r="G83" s="2"/>
      <c r="H83" s="2"/>
      <c r="I83" s="2"/>
      <c r="J83" s="22"/>
      <c r="K83" s="2"/>
      <c r="L83" s="2">
        <f t="shared" si="0"/>
        <v>-483.9</v>
      </c>
      <c r="M83" s="2"/>
      <c r="N83" s="22">
        <f t="shared" si="1"/>
        <v>0</v>
      </c>
      <c r="O83" s="11"/>
      <c r="P83" s="2">
        <f>-2002.73</f>
        <v>-2002.73</v>
      </c>
      <c r="Q83" s="2"/>
      <c r="R83" s="22"/>
      <c r="S83" s="2"/>
      <c r="T83" s="2"/>
      <c r="U83" s="2"/>
      <c r="V83" s="22"/>
      <c r="W83" s="2"/>
      <c r="X83" s="2">
        <f t="shared" si="2"/>
        <v>-2002.73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"4285", " - ", "SALES RETURN TAXABLE-SOFTWARE")</f>
        <v xml:space="preserve">          4285 - SALES RETURN TAXABLE-SOFTWARE</v>
      </c>
      <c r="C84" s="11"/>
      <c r="D84" s="2">
        <f>-552.98</f>
        <v>-552.98</v>
      </c>
      <c r="E84" s="2"/>
      <c r="F84" s="22"/>
      <c r="G84" s="2"/>
      <c r="H84" s="2"/>
      <c r="I84" s="2"/>
      <c r="J84" s="22"/>
      <c r="K84" s="2"/>
      <c r="L84" s="2">
        <f t="shared" si="0"/>
        <v>-552.98</v>
      </c>
      <c r="M84" s="2"/>
      <c r="N84" s="22">
        <f t="shared" si="1"/>
        <v>0</v>
      </c>
      <c r="O84" s="11"/>
      <c r="P84" s="2">
        <f>-552.98</f>
        <v>-552.98</v>
      </c>
      <c r="Q84" s="2"/>
      <c r="R84" s="22"/>
      <c r="S84" s="2"/>
      <c r="T84" s="2"/>
      <c r="U84" s="2"/>
      <c r="V84" s="22"/>
      <c r="W84" s="2"/>
      <c r="X84" s="2">
        <f t="shared" si="2"/>
        <v>-552.98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"4286", " - ", "SALES RETURN TAXABLE-COMPUTER")</f>
        <v xml:space="preserve">          4286 - SALES RETURN TAXABLE-COMPUTER</v>
      </c>
      <c r="C85" s="11"/>
      <c r="D85" s="2">
        <f>-258.44</f>
        <v>-258.44</v>
      </c>
      <c r="E85" s="2"/>
      <c r="F85" s="22"/>
      <c r="G85" s="2"/>
      <c r="H85" s="2"/>
      <c r="I85" s="2"/>
      <c r="J85" s="22"/>
      <c r="K85" s="2"/>
      <c r="L85" s="2">
        <f t="shared" si="0"/>
        <v>-258.44</v>
      </c>
      <c r="M85" s="2"/>
      <c r="N85" s="22">
        <f t="shared" si="1"/>
        <v>0</v>
      </c>
      <c r="O85" s="11"/>
      <c r="P85" s="2">
        <f>-412.4</f>
        <v>-412.4</v>
      </c>
      <c r="Q85" s="2"/>
      <c r="R85" s="22"/>
      <c r="S85" s="2"/>
      <c r="T85" s="2"/>
      <c r="U85" s="2"/>
      <c r="V85" s="22"/>
      <c r="W85" s="2"/>
      <c r="X85" s="2">
        <f t="shared" si="2"/>
        <v>-412.4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"4301", " - ", "SALES RETURN NON TAXABLE-NEW T")</f>
        <v xml:space="preserve">          4301 - SALES RETURN NON TAXABLE-NEW T</v>
      </c>
      <c r="C86" s="11"/>
      <c r="D86" s="2">
        <f>-1820.43</f>
        <v>-1820.43</v>
      </c>
      <c r="E86" s="2"/>
      <c r="F86" s="22"/>
      <c r="G86" s="2"/>
      <c r="H86" s="2"/>
      <c r="I86" s="2"/>
      <c r="J86" s="22"/>
      <c r="K86" s="2"/>
      <c r="L86" s="2">
        <f t="shared" si="0"/>
        <v>-1820.43</v>
      </c>
      <c r="M86" s="2"/>
      <c r="N86" s="22">
        <f t="shared" si="1"/>
        <v>0</v>
      </c>
      <c r="O86" s="11"/>
      <c r="P86" s="2">
        <f>-1840.68</f>
        <v>-1840.68</v>
      </c>
      <c r="Q86" s="2"/>
      <c r="R86" s="22"/>
      <c r="S86" s="2"/>
      <c r="T86" s="2"/>
      <c r="U86" s="2"/>
      <c r="V86" s="22"/>
      <c r="W86" s="2"/>
      <c r="X86" s="2">
        <f t="shared" si="2"/>
        <v>-1840.68</v>
      </c>
      <c r="Y86" s="2"/>
      <c r="Z86" s="22">
        <f t="shared" si="3"/>
        <v>0</v>
      </c>
    </row>
    <row r="87" spans="1:26" s="24" customFormat="1" hidden="1" outlineLevel="1" x14ac:dyDescent="0.25">
      <c r="A87" s="51"/>
      <c r="B87" s="11" t="str">
        <f>CONCATENATE("          ", "4302", " - ", "SALES RETURN NON TAXABLE-TEXT")</f>
        <v xml:space="preserve">          4302 - SALES RETURN NON TAXABLE-TEXT</v>
      </c>
      <c r="C87" s="11"/>
      <c r="D87" s="2">
        <f>-737.24</f>
        <v>-737.24</v>
      </c>
      <c r="E87" s="2"/>
      <c r="F87" s="22"/>
      <c r="G87" s="2"/>
      <c r="H87" s="2"/>
      <c r="I87" s="2"/>
      <c r="J87" s="22"/>
      <c r="K87" s="2"/>
      <c r="L87" s="2">
        <f t="shared" si="0"/>
        <v>-737.24</v>
      </c>
      <c r="M87" s="2"/>
      <c r="N87" s="22">
        <f t="shared" si="1"/>
        <v>0</v>
      </c>
      <c r="O87" s="11"/>
      <c r="P87" s="2">
        <f>-1147.08</f>
        <v>-1147.08</v>
      </c>
      <c r="Q87" s="2"/>
      <c r="R87" s="22"/>
      <c r="S87" s="2"/>
      <c r="T87" s="2"/>
      <c r="U87" s="2"/>
      <c r="V87" s="22"/>
      <c r="W87" s="2"/>
      <c r="X87" s="2">
        <f t="shared" si="2"/>
        <v>-1147.08</v>
      </c>
      <c r="Y87" s="2"/>
      <c r="Z87" s="22">
        <f t="shared" si="3"/>
        <v>0</v>
      </c>
    </row>
    <row r="88" spans="1:26" s="24" customFormat="1" hidden="1" outlineLevel="1" x14ac:dyDescent="0.25">
      <c r="A88" s="51"/>
      <c r="B88" s="11" t="str">
        <f>CONCATENATE("          ", "4304", " - ", "SALES RETURN NON TAXABLE-DIGIT")</f>
        <v xml:space="preserve">          4304 - SALES RETURN NON TAXABLE-DIGIT</v>
      </c>
      <c r="C88" s="11"/>
      <c r="D88" s="2">
        <f>-7456.63</f>
        <v>-7456.63</v>
      </c>
      <c r="E88" s="2"/>
      <c r="F88" s="22"/>
      <c r="G88" s="2"/>
      <c r="H88" s="2"/>
      <c r="I88" s="2"/>
      <c r="J88" s="22"/>
      <c r="K88" s="2"/>
      <c r="L88" s="2">
        <f t="shared" si="0"/>
        <v>-7456.63</v>
      </c>
      <c r="M88" s="2"/>
      <c r="N88" s="22">
        <f t="shared" si="1"/>
        <v>0</v>
      </c>
      <c r="O88" s="11"/>
      <c r="P88" s="2">
        <f>-13409.36</f>
        <v>-13409.36</v>
      </c>
      <c r="Q88" s="2"/>
      <c r="R88" s="22"/>
      <c r="S88" s="2"/>
      <c r="T88" s="2"/>
      <c r="U88" s="2"/>
      <c r="V88" s="22"/>
      <c r="W88" s="2"/>
      <c r="X88" s="2">
        <f t="shared" si="2"/>
        <v>-13409.36</v>
      </c>
      <c r="Y88" s="2"/>
      <c r="Z88" s="22">
        <f t="shared" si="3"/>
        <v>0</v>
      </c>
    </row>
    <row r="89" spans="1:26" s="24" customFormat="1" hidden="1" outlineLevel="1" x14ac:dyDescent="0.25">
      <c r="A89" s="51"/>
      <c r="B89" s="11" t="str">
        <f>CONCATENATE("          ", "4340", " - ", "SALES RETURN NON TAXABLE-LOGO")</f>
        <v xml:space="preserve">          4340 - SALES RETURN NON TAXABLE-LOGO</v>
      </c>
      <c r="C89" s="11"/>
      <c r="D89" s="2">
        <f>-36.9</f>
        <v>-36.9</v>
      </c>
      <c r="E89" s="2"/>
      <c r="F89" s="22"/>
      <c r="G89" s="2"/>
      <c r="H89" s="2"/>
      <c r="I89" s="2"/>
      <c r="J89" s="22"/>
      <c r="K89" s="2"/>
      <c r="L89" s="2">
        <f t="shared" si="0"/>
        <v>-36.9</v>
      </c>
      <c r="M89" s="2"/>
      <c r="N89" s="22">
        <f t="shared" si="1"/>
        <v>0</v>
      </c>
      <c r="O89" s="11"/>
      <c r="P89" s="2">
        <f>-541.04</f>
        <v>-541.04</v>
      </c>
      <c r="Q89" s="2"/>
      <c r="R89" s="22"/>
      <c r="S89" s="2"/>
      <c r="T89" s="2"/>
      <c r="U89" s="2"/>
      <c r="V89" s="22"/>
      <c r="W89" s="2"/>
      <c r="X89" s="2">
        <f t="shared" si="2"/>
        <v>-541.04</v>
      </c>
      <c r="Y89" s="2"/>
      <c r="Z89" s="22">
        <f t="shared" si="3"/>
        <v>0</v>
      </c>
    </row>
    <row r="90" spans="1:26" s="24" customFormat="1" hidden="1" outlineLevel="1" x14ac:dyDescent="0.25">
      <c r="A90" s="51"/>
      <c r="B90" s="11" t="str">
        <f>CONCATENATE("          ", "4341", " - ", "SALES RETURN NON TAXABLE-LOGO")</f>
        <v xml:space="preserve">          4341 - SALES RETURN NON TAXABLE-LOGO</v>
      </c>
      <c r="C90" s="11"/>
      <c r="D90" s="2">
        <f>-129.95</f>
        <v>-129.94999999999999</v>
      </c>
      <c r="E90" s="2"/>
      <c r="F90" s="22"/>
      <c r="G90" s="2"/>
      <c r="H90" s="2"/>
      <c r="I90" s="2"/>
      <c r="J90" s="22"/>
      <c r="K90" s="2"/>
      <c r="L90" s="2">
        <f t="shared" si="0"/>
        <v>-129.94999999999999</v>
      </c>
      <c r="M90" s="2"/>
      <c r="N90" s="22">
        <f t="shared" si="1"/>
        <v>0</v>
      </c>
      <c r="O90" s="11"/>
      <c r="P90" s="2">
        <f>-146.9</f>
        <v>-146.9</v>
      </c>
      <c r="Q90" s="2"/>
      <c r="R90" s="22"/>
      <c r="S90" s="2"/>
      <c r="T90" s="2"/>
      <c r="U90" s="2"/>
      <c r="V90" s="22"/>
      <c r="W90" s="2"/>
      <c r="X90" s="2">
        <f t="shared" si="2"/>
        <v>-146.9</v>
      </c>
      <c r="Y90" s="2"/>
      <c r="Z90" s="22">
        <f t="shared" si="3"/>
        <v>0</v>
      </c>
    </row>
    <row r="91" spans="1:26" s="24" customFormat="1" hidden="1" outlineLevel="1" x14ac:dyDescent="0.25">
      <c r="A91" s="51"/>
      <c r="B91" s="11" t="str">
        <f>CONCATENATE("          ", "4342", " - ", "SALES RETURN NON TAXABLE-EVERY")</f>
        <v xml:space="preserve">          4342 - SALES RETURN NON TAXABLE-EVERY</v>
      </c>
      <c r="C91" s="11"/>
      <c r="D91" s="2">
        <f>-24.95</f>
        <v>-24.95</v>
      </c>
      <c r="E91" s="2"/>
      <c r="F91" s="22"/>
      <c r="G91" s="2"/>
      <c r="H91" s="2"/>
      <c r="I91" s="2"/>
      <c r="J91" s="22"/>
      <c r="K91" s="2"/>
      <c r="L91" s="2">
        <f t="shared" si="0"/>
        <v>-24.95</v>
      </c>
      <c r="M91" s="2"/>
      <c r="N91" s="22">
        <f t="shared" si="1"/>
        <v>0</v>
      </c>
      <c r="O91" s="11"/>
      <c r="P91" s="2">
        <f>-118.7</f>
        <v>-118.7</v>
      </c>
      <c r="Q91" s="2"/>
      <c r="R91" s="22"/>
      <c r="S91" s="2"/>
      <c r="T91" s="2"/>
      <c r="U91" s="2"/>
      <c r="V91" s="22"/>
      <c r="W91" s="2"/>
      <c r="X91" s="2">
        <f t="shared" si="2"/>
        <v>-118.7</v>
      </c>
      <c r="Y91" s="2"/>
      <c r="Z91" s="22">
        <f t="shared" si="3"/>
        <v>0</v>
      </c>
    </row>
    <row r="92" spans="1:26" s="24" customFormat="1" hidden="1" outlineLevel="1" x14ac:dyDescent="0.25">
      <c r="A92" s="51"/>
      <c r="B92" s="11" t="str">
        <f>CONCATENATE("          ", "4381", " - ", "SALES RETURN NON TAXABLE-ELECT")</f>
        <v xml:space="preserve">          4381 - SALES RETURN NON TAXABLE-ELECT</v>
      </c>
      <c r="C92" s="11"/>
      <c r="D92" s="2">
        <f>-249.95</f>
        <v>-249.95</v>
      </c>
      <c r="E92" s="2"/>
      <c r="F92" s="22"/>
      <c r="G92" s="2"/>
      <c r="H92" s="2"/>
      <c r="I92" s="2"/>
      <c r="J92" s="22"/>
      <c r="K92" s="2"/>
      <c r="L92" s="2">
        <f t="shared" si="0"/>
        <v>-249.95</v>
      </c>
      <c r="M92" s="2"/>
      <c r="N92" s="22">
        <f t="shared" si="1"/>
        <v>0</v>
      </c>
      <c r="O92" s="11"/>
      <c r="P92" s="2">
        <f>-5624.15</f>
        <v>-5624.15</v>
      </c>
      <c r="Q92" s="2"/>
      <c r="R92" s="22"/>
      <c r="S92" s="2"/>
      <c r="T92" s="2"/>
      <c r="U92" s="2"/>
      <c r="V92" s="22"/>
      <c r="W92" s="2"/>
      <c r="X92" s="2">
        <f t="shared" si="2"/>
        <v>-5624.15</v>
      </c>
      <c r="Y92" s="2"/>
      <c r="Z92" s="22">
        <f t="shared" si="3"/>
        <v>0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collapsed="1" x14ac:dyDescent="0.25">
      <c r="A94" s="10"/>
      <c r="B94" s="25" t="s">
        <v>8</v>
      </c>
      <c r="C94" s="10"/>
      <c r="D94" s="4">
        <f>SUM(OSRRefD16x_0)</f>
        <v>538743.32999999996</v>
      </c>
      <c r="E94" s="4"/>
      <c r="F94" s="12">
        <f t="shared" ref="F94:F130" si="5">IF(D$12=0,0,D94/D$12)</f>
        <v>0.60141262439167109</v>
      </c>
      <c r="G94" s="4"/>
      <c r="H94" s="4">
        <f>SUM(OSRRefH16x_0)</f>
        <v>1205829</v>
      </c>
      <c r="I94" s="4"/>
      <c r="J94" s="12">
        <f t="shared" ref="J94:J130" si="6">IF(H$12=0,0,H94/H$12)</f>
        <v>0.56186074035417155</v>
      </c>
      <c r="K94" s="4"/>
      <c r="L94" s="4">
        <f t="shared" ref="L94:L130" si="7">+D94-H94</f>
        <v>-667085.67000000004</v>
      </c>
      <c r="M94" s="4"/>
      <c r="N94" s="12">
        <f t="shared" ref="N94:N130" si="8">IF(H94=0,0,L94/H94)</f>
        <v>-0.5532174711339668</v>
      </c>
      <c r="O94" s="10"/>
      <c r="P94" s="4">
        <f>SUM(OSRRefP16x_0)</f>
        <v>2483720.1799999997</v>
      </c>
      <c r="Q94" s="4"/>
      <c r="R94" s="12">
        <f t="shared" ref="R94:R130" si="9">IF(P$12=0,0,P94/P$12)</f>
        <v>0.69306089280859429</v>
      </c>
      <c r="S94" s="4"/>
      <c r="T94" s="4">
        <f>SUM(OSRRefT16x_0)</f>
        <v>3328158</v>
      </c>
      <c r="U94" s="4"/>
      <c r="V94" s="12">
        <f t="shared" ref="V94:V130" si="10">IF(T$12=0,0,T94/T$12)</f>
        <v>0.59324809480681229</v>
      </c>
      <c r="W94" s="4"/>
      <c r="X94" s="4">
        <f t="shared" ref="X94:X130" si="11">+P94-T94</f>
        <v>-844437.8200000003</v>
      </c>
      <c r="Y94" s="4"/>
      <c r="Z94" s="12">
        <f t="shared" ref="Z94:Z130" si="12">IF(T94=0,0,X94/T94)</f>
        <v>-0.25372527986952553</v>
      </c>
    </row>
    <row r="95" spans="1:26" s="24" customFormat="1" hidden="1" outlineLevel="1" x14ac:dyDescent="0.25">
      <c r="A95" s="51"/>
      <c r="B95" s="11" t="str">
        <f>CONCATENATE("          ", "5000", " - ", "PURCHASES @ COST")</f>
        <v xml:space="preserve">          5000 - PURCHASES @ COST</v>
      </c>
      <c r="C95" s="11"/>
      <c r="D95" s="2"/>
      <c r="E95" s="2"/>
      <c r="F95" s="22">
        <f t="shared" si="5"/>
        <v>0</v>
      </c>
      <c r="G95" s="2"/>
      <c r="H95" s="2">
        <v>1205829</v>
      </c>
      <c r="I95" s="2"/>
      <c r="J95" s="22">
        <f t="shared" si="6"/>
        <v>0.56186074035417155</v>
      </c>
      <c r="K95" s="2"/>
      <c r="L95" s="2">
        <f t="shared" si="7"/>
        <v>-1205829</v>
      </c>
      <c r="M95" s="2"/>
      <c r="N95" s="22">
        <f t="shared" si="8"/>
        <v>-1</v>
      </c>
      <c r="O95" s="11"/>
      <c r="P95" s="2"/>
      <c r="Q95" s="2"/>
      <c r="R95" s="22">
        <f t="shared" si="9"/>
        <v>0</v>
      </c>
      <c r="S95" s="2"/>
      <c r="T95" s="2">
        <v>3328158</v>
      </c>
      <c r="U95" s="2"/>
      <c r="V95" s="22">
        <f t="shared" si="10"/>
        <v>0.59324809480681229</v>
      </c>
      <c r="W95" s="2"/>
      <c r="X95" s="2">
        <f t="shared" si="11"/>
        <v>-3328158</v>
      </c>
      <c r="Y95" s="2"/>
      <c r="Z95" s="22">
        <f t="shared" si="12"/>
        <v>-1</v>
      </c>
    </row>
    <row r="96" spans="1:26" s="24" customFormat="1" hidden="1" outlineLevel="1" x14ac:dyDescent="0.25">
      <c r="A96" s="51"/>
      <c r="B96" s="11" t="str">
        <f>CONCATENATE("          ", "5001", " - ", "PURCHASES @ COST-NEW TEXT")</f>
        <v xml:space="preserve">          5001 - PURCHASES @ COST-NEW TEXT</v>
      </c>
      <c r="C96" s="11"/>
      <c r="D96" s="2">
        <v>602088.99</v>
      </c>
      <c r="E96" s="2"/>
      <c r="F96" s="22">
        <f t="shared" si="5"/>
        <v>0.67212696553149087</v>
      </c>
      <c r="G96" s="2"/>
      <c r="H96" s="2"/>
      <c r="I96" s="2"/>
      <c r="J96" s="22">
        <f t="shared" si="6"/>
        <v>0</v>
      </c>
      <c r="K96" s="2"/>
      <c r="L96" s="2">
        <f t="shared" si="7"/>
        <v>602088.99</v>
      </c>
      <c r="M96" s="2"/>
      <c r="N96" s="22">
        <f t="shared" si="8"/>
        <v>0</v>
      </c>
      <c r="O96" s="11"/>
      <c r="P96" s="2">
        <v>1293421.76</v>
      </c>
      <c r="Q96" s="2"/>
      <c r="R96" s="22">
        <f t="shared" si="9"/>
        <v>0.36091828982267377</v>
      </c>
      <c r="S96" s="2"/>
      <c r="T96" s="2"/>
      <c r="U96" s="2"/>
      <c r="V96" s="22">
        <f t="shared" si="10"/>
        <v>0</v>
      </c>
      <c r="W96" s="2"/>
      <c r="X96" s="2">
        <f t="shared" si="11"/>
        <v>1293421.76</v>
      </c>
      <c r="Y96" s="2"/>
      <c r="Z96" s="22">
        <f t="shared" si="12"/>
        <v>0</v>
      </c>
    </row>
    <row r="97" spans="1:26" s="24" customFormat="1" hidden="1" outlineLevel="1" x14ac:dyDescent="0.25">
      <c r="A97" s="51"/>
      <c r="B97" s="11" t="str">
        <f>CONCATENATE("          ", "5002", " - ", "PURCHASES @ COST-USED TEXT")</f>
        <v xml:space="preserve">          5002 - PURCHASES @ COST-USED TEXT</v>
      </c>
      <c r="C97" s="11"/>
      <c r="D97" s="2">
        <v>108363.86</v>
      </c>
      <c r="E97" s="2"/>
      <c r="F97" s="22">
        <f t="shared" si="5"/>
        <v>0.12096928129358304</v>
      </c>
      <c r="G97" s="2"/>
      <c r="H97" s="2"/>
      <c r="I97" s="2"/>
      <c r="J97" s="22">
        <f t="shared" si="6"/>
        <v>0</v>
      </c>
      <c r="K97" s="2"/>
      <c r="L97" s="2">
        <f t="shared" si="7"/>
        <v>108363.86</v>
      </c>
      <c r="M97" s="2"/>
      <c r="N97" s="22">
        <f t="shared" si="8"/>
        <v>0</v>
      </c>
      <c r="O97" s="11"/>
      <c r="P97" s="2">
        <v>296731.38</v>
      </c>
      <c r="Q97" s="2"/>
      <c r="R97" s="22">
        <f t="shared" si="9"/>
        <v>8.2800356015598459E-2</v>
      </c>
      <c r="S97" s="2"/>
      <c r="T97" s="2"/>
      <c r="U97" s="2"/>
      <c r="V97" s="22">
        <f t="shared" si="10"/>
        <v>0</v>
      </c>
      <c r="W97" s="2"/>
      <c r="X97" s="2">
        <f t="shared" si="11"/>
        <v>296731.38</v>
      </c>
      <c r="Y97" s="2"/>
      <c r="Z97" s="22">
        <f t="shared" si="12"/>
        <v>0</v>
      </c>
    </row>
    <row r="98" spans="1:26" s="24" customFormat="1" hidden="1" outlineLevel="1" x14ac:dyDescent="0.25">
      <c r="A98" s="51"/>
      <c r="B98" s="11" t="str">
        <f>CONCATENATE("          ", "5003", " - ", "PURCHASES @ COST-RENTAL TEXT")</f>
        <v xml:space="preserve">          5003 - PURCHASES @ COST-RENTAL TEXT</v>
      </c>
      <c r="C98" s="11"/>
      <c r="D98" s="2">
        <v>781.74</v>
      </c>
      <c r="E98" s="2"/>
      <c r="F98" s="22">
        <f t="shared" si="5"/>
        <v>8.7267587144316942E-4</v>
      </c>
      <c r="G98" s="2"/>
      <c r="H98" s="2"/>
      <c r="I98" s="2"/>
      <c r="J98" s="22">
        <f t="shared" si="6"/>
        <v>0</v>
      </c>
      <c r="K98" s="2"/>
      <c r="L98" s="2">
        <f t="shared" si="7"/>
        <v>781.74</v>
      </c>
      <c r="M98" s="2"/>
      <c r="N98" s="22">
        <f t="shared" si="8"/>
        <v>0</v>
      </c>
      <c r="O98" s="11"/>
      <c r="P98" s="2">
        <v>-11086.1</v>
      </c>
      <c r="Q98" s="2"/>
      <c r="R98" s="22">
        <f t="shared" si="9"/>
        <v>-3.0934814741350445E-3</v>
      </c>
      <c r="S98" s="2"/>
      <c r="T98" s="2"/>
      <c r="U98" s="2"/>
      <c r="V98" s="22">
        <f t="shared" si="10"/>
        <v>0</v>
      </c>
      <c r="W98" s="2"/>
      <c r="X98" s="2">
        <f t="shared" si="11"/>
        <v>-11086.1</v>
      </c>
      <c r="Y98" s="2"/>
      <c r="Z98" s="22">
        <f t="shared" si="12"/>
        <v>0</v>
      </c>
    </row>
    <row r="99" spans="1:26" s="24" customFormat="1" hidden="1" outlineLevel="1" x14ac:dyDescent="0.25">
      <c r="A99" s="51"/>
      <c r="B99" s="11" t="str">
        <f>CONCATENATE("          ", "5004", " - ", "PURCHASES @ COST-DIGITAL TEXT")</f>
        <v xml:space="preserve">          5004 - PURCHASES @ COST-DIGITAL TEXT</v>
      </c>
      <c r="C99" s="11"/>
      <c r="D99" s="2">
        <v>60186.1</v>
      </c>
      <c r="E99" s="2"/>
      <c r="F99" s="22">
        <f t="shared" si="5"/>
        <v>6.7187245460467337E-2</v>
      </c>
      <c r="G99" s="2"/>
      <c r="H99" s="2"/>
      <c r="I99" s="2"/>
      <c r="J99" s="22">
        <f t="shared" si="6"/>
        <v>0</v>
      </c>
      <c r="K99" s="2"/>
      <c r="L99" s="2">
        <f t="shared" si="7"/>
        <v>60186.1</v>
      </c>
      <c r="M99" s="2"/>
      <c r="N99" s="22">
        <f t="shared" si="8"/>
        <v>0</v>
      </c>
      <c r="O99" s="11"/>
      <c r="P99" s="2">
        <v>182616.07</v>
      </c>
      <c r="Q99" s="2"/>
      <c r="R99" s="22">
        <f t="shared" si="9"/>
        <v>5.0957453876868196E-2</v>
      </c>
      <c r="S99" s="2"/>
      <c r="T99" s="2"/>
      <c r="U99" s="2"/>
      <c r="V99" s="22">
        <f t="shared" si="10"/>
        <v>0</v>
      </c>
      <c r="W99" s="2"/>
      <c r="X99" s="2">
        <f t="shared" si="11"/>
        <v>182616.07</v>
      </c>
      <c r="Y99" s="2"/>
      <c r="Z99" s="22">
        <f t="shared" si="12"/>
        <v>0</v>
      </c>
    </row>
    <row r="100" spans="1:26" s="24" customFormat="1" hidden="1" outlineLevel="1" x14ac:dyDescent="0.25">
      <c r="A100" s="51"/>
      <c r="B100" s="11" t="str">
        <f>CONCATENATE("          ", "5013", " - ", "PURCHASES @ COST-TRADE BOOKS")</f>
        <v xml:space="preserve">          5013 - PURCHASES @ COST-TRADE BOOKS</v>
      </c>
      <c r="C100" s="11"/>
      <c r="D100" s="2">
        <v>-9.36</v>
      </c>
      <c r="E100" s="2"/>
      <c r="F100" s="22">
        <f t="shared" si="5"/>
        <v>-1.0448801592227678E-5</v>
      </c>
      <c r="G100" s="2"/>
      <c r="H100" s="2"/>
      <c r="I100" s="2"/>
      <c r="J100" s="22">
        <f t="shared" si="6"/>
        <v>0</v>
      </c>
      <c r="K100" s="2"/>
      <c r="L100" s="2">
        <f t="shared" si="7"/>
        <v>-9.36</v>
      </c>
      <c r="M100" s="2"/>
      <c r="N100" s="22">
        <f t="shared" si="8"/>
        <v>0</v>
      </c>
      <c r="O100" s="11"/>
      <c r="P100" s="2">
        <v>99.18</v>
      </c>
      <c r="Q100" s="2"/>
      <c r="R100" s="22">
        <f t="shared" si="9"/>
        <v>2.767533150564344E-5</v>
      </c>
      <c r="S100" s="2"/>
      <c r="T100" s="2"/>
      <c r="U100" s="2"/>
      <c r="V100" s="22">
        <f t="shared" si="10"/>
        <v>0</v>
      </c>
      <c r="W100" s="2"/>
      <c r="X100" s="2">
        <f t="shared" si="11"/>
        <v>99.18</v>
      </c>
      <c r="Y100" s="2"/>
      <c r="Z100" s="22">
        <f t="shared" si="12"/>
        <v>0</v>
      </c>
    </row>
    <row r="101" spans="1:26" s="24" customFormat="1" hidden="1" outlineLevel="1" x14ac:dyDescent="0.25">
      <c r="A101" s="51"/>
      <c r="B101" s="11" t="str">
        <f>CONCATENATE("          ", "5014", " - ", "PURCHASES @ COST-REMAINDERS")</f>
        <v xml:space="preserve">          5014 - PURCHASES @ COST-REMAINDERS</v>
      </c>
      <c r="C101" s="11"/>
      <c r="D101" s="2"/>
      <c r="E101" s="2"/>
      <c r="F101" s="22">
        <f t="shared" si="5"/>
        <v>0</v>
      </c>
      <c r="G101" s="2"/>
      <c r="H101" s="2"/>
      <c r="I101" s="2"/>
      <c r="J101" s="22">
        <f t="shared" si="6"/>
        <v>0</v>
      </c>
      <c r="K101" s="2"/>
      <c r="L101" s="2">
        <f t="shared" si="7"/>
        <v>0</v>
      </c>
      <c r="M101" s="2"/>
      <c r="N101" s="22">
        <f t="shared" si="8"/>
        <v>0</v>
      </c>
      <c r="O101" s="11"/>
      <c r="P101" s="2">
        <v>-12.51</v>
      </c>
      <c r="Q101" s="2"/>
      <c r="R101" s="22">
        <f t="shared" si="9"/>
        <v>-3.4908086018915042E-6</v>
      </c>
      <c r="S101" s="2"/>
      <c r="T101" s="2"/>
      <c r="U101" s="2"/>
      <c r="V101" s="22">
        <f t="shared" si="10"/>
        <v>0</v>
      </c>
      <c r="W101" s="2"/>
      <c r="X101" s="2">
        <f t="shared" si="11"/>
        <v>-12.51</v>
      </c>
      <c r="Y101" s="2"/>
      <c r="Z101" s="22">
        <f t="shared" si="12"/>
        <v>0</v>
      </c>
    </row>
    <row r="102" spans="1:26" s="24" customFormat="1" hidden="1" outlineLevel="1" x14ac:dyDescent="0.25">
      <c r="A102" s="51"/>
      <c r="B102" s="11" t="str">
        <f>CONCATENATE("          ", "5027", " - ", "PURCHASES @ COST-SCHOOL SUPPLI")</f>
        <v xml:space="preserve">          5027 - PURCHASES @ COST-SCHOOL SUPPLI</v>
      </c>
      <c r="C102" s="11"/>
      <c r="D102" s="2"/>
      <c r="E102" s="2"/>
      <c r="F102" s="22">
        <f t="shared" si="5"/>
        <v>0</v>
      </c>
      <c r="G102" s="2"/>
      <c r="H102" s="2"/>
      <c r="I102" s="2"/>
      <c r="J102" s="22">
        <f t="shared" si="6"/>
        <v>0</v>
      </c>
      <c r="K102" s="2"/>
      <c r="L102" s="2">
        <f t="shared" si="7"/>
        <v>0</v>
      </c>
      <c r="M102" s="2"/>
      <c r="N102" s="22">
        <f t="shared" si="8"/>
        <v>0</v>
      </c>
      <c r="O102" s="11"/>
      <c r="P102" s="2">
        <v>8503.4</v>
      </c>
      <c r="Q102" s="2"/>
      <c r="R102" s="22">
        <f t="shared" si="9"/>
        <v>2.3728011083392658E-3</v>
      </c>
      <c r="S102" s="2"/>
      <c r="T102" s="2"/>
      <c r="U102" s="2"/>
      <c r="V102" s="22">
        <f t="shared" si="10"/>
        <v>0</v>
      </c>
      <c r="W102" s="2"/>
      <c r="X102" s="2">
        <f t="shared" si="11"/>
        <v>8503.4</v>
      </c>
      <c r="Y102" s="2"/>
      <c r="Z102" s="22">
        <f t="shared" si="12"/>
        <v>0</v>
      </c>
    </row>
    <row r="103" spans="1:26" s="24" customFormat="1" hidden="1" outlineLevel="1" x14ac:dyDescent="0.25">
      <c r="A103" s="51"/>
      <c r="B103" s="11" t="str">
        <f>CONCATENATE("          ", "5028", " - ", "PURCHASES @ COST-ART/TECH")</f>
        <v xml:space="preserve">          5028 - PURCHASES @ COST-ART/TECH</v>
      </c>
      <c r="C103" s="11"/>
      <c r="D103" s="2">
        <v>-83.4</v>
      </c>
      <c r="E103" s="2"/>
      <c r="F103" s="22">
        <f t="shared" si="5"/>
        <v>-9.3101501366644058E-5</v>
      </c>
      <c r="G103" s="2"/>
      <c r="H103" s="2"/>
      <c r="I103" s="2"/>
      <c r="J103" s="22">
        <f t="shared" si="6"/>
        <v>0</v>
      </c>
      <c r="K103" s="2"/>
      <c r="L103" s="2">
        <f t="shared" si="7"/>
        <v>-83.4</v>
      </c>
      <c r="M103" s="2"/>
      <c r="N103" s="22">
        <f t="shared" si="8"/>
        <v>0</v>
      </c>
      <c r="O103" s="11"/>
      <c r="P103" s="2">
        <v>-83.4</v>
      </c>
      <c r="Q103" s="2"/>
      <c r="R103" s="22">
        <f t="shared" si="9"/>
        <v>-2.3272057345943363E-5</v>
      </c>
      <c r="S103" s="2"/>
      <c r="T103" s="2"/>
      <c r="U103" s="2"/>
      <c r="V103" s="22">
        <f t="shared" si="10"/>
        <v>0</v>
      </c>
      <c r="W103" s="2"/>
      <c r="X103" s="2">
        <f t="shared" si="11"/>
        <v>-83.4</v>
      </c>
      <c r="Y103" s="2"/>
      <c r="Z103" s="22">
        <f t="shared" si="12"/>
        <v>0</v>
      </c>
    </row>
    <row r="104" spans="1:26" s="24" customFormat="1" hidden="1" outlineLevel="1" x14ac:dyDescent="0.25">
      <c r="A104" s="51"/>
      <c r="B104" s="11" t="str">
        <f>CONCATENATE("          ", "5031", " - ", "PURCHASES @ COST-FOOD")</f>
        <v xml:space="preserve">          5031 - PURCHASES @ COST-FOOD</v>
      </c>
      <c r="C104" s="11"/>
      <c r="D104" s="2">
        <v>4065.92</v>
      </c>
      <c r="E104" s="2"/>
      <c r="F104" s="22">
        <f t="shared" si="5"/>
        <v>4.5388879668664915E-3</v>
      </c>
      <c r="G104" s="2"/>
      <c r="H104" s="2"/>
      <c r="I104" s="2"/>
      <c r="J104" s="22">
        <f t="shared" si="6"/>
        <v>0</v>
      </c>
      <c r="K104" s="2"/>
      <c r="L104" s="2">
        <f t="shared" si="7"/>
        <v>4065.92</v>
      </c>
      <c r="M104" s="2"/>
      <c r="N104" s="22">
        <f t="shared" si="8"/>
        <v>0</v>
      </c>
      <c r="O104" s="11"/>
      <c r="P104" s="2">
        <v>4065.92</v>
      </c>
      <c r="Q104" s="2"/>
      <c r="R104" s="22">
        <f t="shared" si="9"/>
        <v>1.1345602326620868E-3</v>
      </c>
      <c r="S104" s="2"/>
      <c r="T104" s="2"/>
      <c r="U104" s="2"/>
      <c r="V104" s="22">
        <f t="shared" si="10"/>
        <v>0</v>
      </c>
      <c r="W104" s="2"/>
      <c r="X104" s="2">
        <f t="shared" si="11"/>
        <v>4065.92</v>
      </c>
      <c r="Y104" s="2"/>
      <c r="Z104" s="22">
        <f t="shared" si="12"/>
        <v>0</v>
      </c>
    </row>
    <row r="105" spans="1:26" s="24" customFormat="1" hidden="1" outlineLevel="1" x14ac:dyDescent="0.25">
      <c r="A105" s="51"/>
      <c r="B105" s="11" t="str">
        <f>CONCATENATE("          ", "5040", " - ", "PURCHASES @ COST-LOGO CLOTHING")</f>
        <v xml:space="preserve">          5040 - PURCHASES @ COST-LOGO CLOTHING</v>
      </c>
      <c r="C105" s="11"/>
      <c r="D105" s="2">
        <v>4398.1499999999996</v>
      </c>
      <c r="E105" s="2"/>
      <c r="F105" s="22">
        <f t="shared" si="5"/>
        <v>4.9097646071427524E-3</v>
      </c>
      <c r="G105" s="2"/>
      <c r="H105" s="2"/>
      <c r="I105" s="2"/>
      <c r="J105" s="22">
        <f t="shared" si="6"/>
        <v>0</v>
      </c>
      <c r="K105" s="2"/>
      <c r="L105" s="2">
        <f t="shared" si="7"/>
        <v>4398.1499999999996</v>
      </c>
      <c r="M105" s="2"/>
      <c r="N105" s="22">
        <f t="shared" si="8"/>
        <v>0</v>
      </c>
      <c r="O105" s="11"/>
      <c r="P105" s="2">
        <v>13750.05</v>
      </c>
      <c r="Q105" s="2"/>
      <c r="R105" s="22">
        <f t="shared" si="9"/>
        <v>3.8368339581485431E-3</v>
      </c>
      <c r="S105" s="2"/>
      <c r="T105" s="2"/>
      <c r="U105" s="2"/>
      <c r="V105" s="22">
        <f t="shared" si="10"/>
        <v>0</v>
      </c>
      <c r="W105" s="2"/>
      <c r="X105" s="2">
        <f t="shared" si="11"/>
        <v>13750.05</v>
      </c>
      <c r="Y105" s="2"/>
      <c r="Z105" s="22">
        <f t="shared" si="12"/>
        <v>0</v>
      </c>
    </row>
    <row r="106" spans="1:26" s="24" customFormat="1" hidden="1" outlineLevel="1" x14ac:dyDescent="0.25">
      <c r="A106" s="51"/>
      <c r="B106" s="11" t="str">
        <f>CONCATENATE("          ", "5041", " - ", "PURCHASES @ COST-LOGO GIFTS")</f>
        <v xml:space="preserve">          5041 - PURCHASES @ COST-LOGO GIFTS</v>
      </c>
      <c r="C106" s="11"/>
      <c r="D106" s="2">
        <v>868</v>
      </c>
      <c r="E106" s="2"/>
      <c r="F106" s="22">
        <f t="shared" si="5"/>
        <v>9.6897006218521638E-4</v>
      </c>
      <c r="G106" s="2"/>
      <c r="H106" s="2"/>
      <c r="I106" s="2"/>
      <c r="J106" s="22">
        <f t="shared" si="6"/>
        <v>0</v>
      </c>
      <c r="K106" s="2"/>
      <c r="L106" s="2">
        <f t="shared" si="7"/>
        <v>868</v>
      </c>
      <c r="M106" s="2"/>
      <c r="N106" s="22">
        <f t="shared" si="8"/>
        <v>0</v>
      </c>
      <c r="O106" s="11"/>
      <c r="P106" s="2">
        <v>1997.54</v>
      </c>
      <c r="Q106" s="2"/>
      <c r="R106" s="22">
        <f t="shared" si="9"/>
        <v>5.5739646799539216E-4</v>
      </c>
      <c r="S106" s="2"/>
      <c r="T106" s="2"/>
      <c r="U106" s="2"/>
      <c r="V106" s="22">
        <f t="shared" si="10"/>
        <v>0</v>
      </c>
      <c r="W106" s="2"/>
      <c r="X106" s="2">
        <f t="shared" si="11"/>
        <v>1997.54</v>
      </c>
      <c r="Y106" s="2"/>
      <c r="Z106" s="22">
        <f t="shared" si="12"/>
        <v>0</v>
      </c>
    </row>
    <row r="107" spans="1:26" s="24" customFormat="1" hidden="1" outlineLevel="1" x14ac:dyDescent="0.25">
      <c r="A107" s="51"/>
      <c r="B107" s="11" t="str">
        <f>CONCATENATE("          ", "5042", " - ", "PURCHASES @ COST-EVERYDAY GIFT")</f>
        <v xml:space="preserve">          5042 - PURCHASES @ COST-EVERYDAY GIFT</v>
      </c>
      <c r="C107" s="11"/>
      <c r="D107" s="2">
        <v>522</v>
      </c>
      <c r="E107" s="2"/>
      <c r="F107" s="22">
        <f t="shared" si="5"/>
        <v>5.8272162725885133E-4</v>
      </c>
      <c r="G107" s="2"/>
      <c r="H107" s="2"/>
      <c r="I107" s="2"/>
      <c r="J107" s="22">
        <f t="shared" si="6"/>
        <v>0</v>
      </c>
      <c r="K107" s="2"/>
      <c r="L107" s="2">
        <f t="shared" si="7"/>
        <v>522</v>
      </c>
      <c r="M107" s="2"/>
      <c r="N107" s="22">
        <f t="shared" si="8"/>
        <v>0</v>
      </c>
      <c r="O107" s="11"/>
      <c r="P107" s="2">
        <v>1491.15</v>
      </c>
      <c r="Q107" s="2"/>
      <c r="R107" s="22">
        <f t="shared" si="9"/>
        <v>4.1609266560435788E-4</v>
      </c>
      <c r="S107" s="2"/>
      <c r="T107" s="2"/>
      <c r="U107" s="2"/>
      <c r="V107" s="22">
        <f t="shared" si="10"/>
        <v>0</v>
      </c>
      <c r="W107" s="2"/>
      <c r="X107" s="2">
        <f t="shared" si="11"/>
        <v>1491.15</v>
      </c>
      <c r="Y107" s="2"/>
      <c r="Z107" s="22">
        <f t="shared" si="12"/>
        <v>0</v>
      </c>
    </row>
    <row r="108" spans="1:26" s="24" customFormat="1" hidden="1" outlineLevel="1" x14ac:dyDescent="0.25">
      <c r="A108" s="51"/>
      <c r="B108" s="11" t="str">
        <f>CONCATENATE("          ", "5043", " - ", "PURCHASES @ COST-CARDS")</f>
        <v xml:space="preserve">          5043 - PURCHASES @ COST-CARDS</v>
      </c>
      <c r="C108" s="11"/>
      <c r="D108" s="2">
        <v>1401</v>
      </c>
      <c r="E108" s="2"/>
      <c r="F108" s="22">
        <f t="shared" si="5"/>
        <v>1.563971263964848E-3</v>
      </c>
      <c r="G108" s="2"/>
      <c r="H108" s="2"/>
      <c r="I108" s="2"/>
      <c r="J108" s="22">
        <f t="shared" si="6"/>
        <v>0</v>
      </c>
      <c r="K108" s="2"/>
      <c r="L108" s="2">
        <f t="shared" si="7"/>
        <v>1401</v>
      </c>
      <c r="M108" s="2"/>
      <c r="N108" s="22">
        <f t="shared" si="8"/>
        <v>0</v>
      </c>
      <c r="O108" s="11"/>
      <c r="P108" s="2">
        <v>3116.25</v>
      </c>
      <c r="Q108" s="2"/>
      <c r="R108" s="22">
        <f t="shared" si="9"/>
        <v>8.6956293410426859E-4</v>
      </c>
      <c r="S108" s="2"/>
      <c r="T108" s="2"/>
      <c r="U108" s="2"/>
      <c r="V108" s="22">
        <f t="shared" si="10"/>
        <v>0</v>
      </c>
      <c r="W108" s="2"/>
      <c r="X108" s="2">
        <f t="shared" si="11"/>
        <v>3116.25</v>
      </c>
      <c r="Y108" s="2"/>
      <c r="Z108" s="22">
        <f t="shared" si="12"/>
        <v>0</v>
      </c>
    </row>
    <row r="109" spans="1:26" s="24" customFormat="1" hidden="1" outlineLevel="1" x14ac:dyDescent="0.25">
      <c r="A109" s="51"/>
      <c r="B109" s="11" t="str">
        <f>CONCATENATE("          ", "5045", " - ", "PURCHASES @ COST-SPECIAL ORDER")</f>
        <v xml:space="preserve">          5045 - PURCHASES @ COST-SPECIAL ORDER</v>
      </c>
      <c r="C109" s="11"/>
      <c r="D109" s="2">
        <v>52784.12</v>
      </c>
      <c r="E109" s="2"/>
      <c r="F109" s="22">
        <f t="shared" si="5"/>
        <v>5.8924230459437697E-2</v>
      </c>
      <c r="G109" s="2"/>
      <c r="H109" s="2"/>
      <c r="I109" s="2"/>
      <c r="J109" s="22">
        <f t="shared" si="6"/>
        <v>0</v>
      </c>
      <c r="K109" s="2"/>
      <c r="L109" s="2">
        <f t="shared" si="7"/>
        <v>52784.12</v>
      </c>
      <c r="M109" s="2"/>
      <c r="N109" s="22">
        <f t="shared" si="8"/>
        <v>0</v>
      </c>
      <c r="O109" s="11"/>
      <c r="P109" s="2">
        <v>61174.290000000008</v>
      </c>
      <c r="Q109" s="2"/>
      <c r="R109" s="22">
        <f t="shared" si="9"/>
        <v>1.7070162889416905E-2</v>
      </c>
      <c r="S109" s="2"/>
      <c r="T109" s="2"/>
      <c r="U109" s="2"/>
      <c r="V109" s="22">
        <f t="shared" si="10"/>
        <v>0</v>
      </c>
      <c r="W109" s="2"/>
      <c r="X109" s="2">
        <f t="shared" si="11"/>
        <v>61174.290000000008</v>
      </c>
      <c r="Y109" s="2"/>
      <c r="Z109" s="22">
        <f t="shared" si="12"/>
        <v>0</v>
      </c>
    </row>
    <row r="110" spans="1:26" s="24" customFormat="1" hidden="1" outlineLevel="1" x14ac:dyDescent="0.25">
      <c r="A110" s="51"/>
      <c r="B110" s="11" t="str">
        <f>CONCATENATE("          ", "5053", " - ", "PURCHASES @ COST-FOOD")</f>
        <v xml:space="preserve">          5053 - PURCHASES @ COST-FOOD</v>
      </c>
      <c r="C110" s="11"/>
      <c r="D110" s="2">
        <v>41608.75</v>
      </c>
      <c r="E110" s="2"/>
      <c r="F110" s="22">
        <f t="shared" si="5"/>
        <v>4.6448886031047375E-2</v>
      </c>
      <c r="G110" s="2"/>
      <c r="H110" s="2"/>
      <c r="I110" s="2"/>
      <c r="J110" s="22">
        <f t="shared" si="6"/>
        <v>0</v>
      </c>
      <c r="K110" s="2"/>
      <c r="L110" s="2">
        <f t="shared" si="7"/>
        <v>41608.75</v>
      </c>
      <c r="M110" s="2"/>
      <c r="N110" s="22">
        <f t="shared" si="8"/>
        <v>0</v>
      </c>
      <c r="O110" s="11"/>
      <c r="P110" s="2">
        <v>128080.36</v>
      </c>
      <c r="Q110" s="2"/>
      <c r="R110" s="22">
        <f t="shared" si="9"/>
        <v>3.5739730009701084E-2</v>
      </c>
      <c r="S110" s="2"/>
      <c r="T110" s="2"/>
      <c r="U110" s="2"/>
      <c r="V110" s="22">
        <f t="shared" si="10"/>
        <v>0</v>
      </c>
      <c r="W110" s="2"/>
      <c r="X110" s="2">
        <f t="shared" si="11"/>
        <v>128080.36</v>
      </c>
      <c r="Y110" s="2"/>
      <c r="Z110" s="22">
        <f t="shared" si="12"/>
        <v>0</v>
      </c>
    </row>
    <row r="111" spans="1:26" s="24" customFormat="1" hidden="1" outlineLevel="1" x14ac:dyDescent="0.25">
      <c r="A111" s="51"/>
      <c r="B111" s="11" t="str">
        <f>CONCATENATE("          ", "5059", " - ", "PURCHASES @ COST-FOOD")</f>
        <v xml:space="preserve">          5059 - PURCHASES @ COST-FOOD</v>
      </c>
      <c r="C111" s="11"/>
      <c r="D111" s="2">
        <v>3861.48</v>
      </c>
      <c r="E111" s="2"/>
      <c r="F111" s="22">
        <f t="shared" si="5"/>
        <v>4.3106664927730059E-3</v>
      </c>
      <c r="G111" s="2"/>
      <c r="H111" s="2"/>
      <c r="I111" s="2"/>
      <c r="J111" s="22">
        <f t="shared" si="6"/>
        <v>0</v>
      </c>
      <c r="K111" s="2"/>
      <c r="L111" s="2">
        <f t="shared" si="7"/>
        <v>3861.48</v>
      </c>
      <c r="M111" s="2"/>
      <c r="N111" s="22">
        <f t="shared" si="8"/>
        <v>0</v>
      </c>
      <c r="O111" s="11"/>
      <c r="P111" s="2">
        <v>-22871.609999999997</v>
      </c>
      <c r="Q111" s="2"/>
      <c r="R111" s="22">
        <f t="shared" si="9"/>
        <v>-6.3821273323027769E-3</v>
      </c>
      <c r="S111" s="2"/>
      <c r="T111" s="2"/>
      <c r="U111" s="2"/>
      <c r="V111" s="22">
        <f t="shared" si="10"/>
        <v>0</v>
      </c>
      <c r="W111" s="2"/>
      <c r="X111" s="2">
        <f t="shared" si="11"/>
        <v>-22871.609999999997</v>
      </c>
      <c r="Y111" s="2"/>
      <c r="Z111" s="22">
        <f t="shared" si="12"/>
        <v>0</v>
      </c>
    </row>
    <row r="112" spans="1:26" s="24" customFormat="1" hidden="1" outlineLevel="1" x14ac:dyDescent="0.25">
      <c r="A112" s="51"/>
      <c r="B112" s="11" t="str">
        <f>CONCATENATE("          ", "5081", " - ", "PURCHASES @ COST-ELECTRONICS")</f>
        <v xml:space="preserve">          5081 - PURCHASES @ COST-ELECTRONICS</v>
      </c>
      <c r="C112" s="11"/>
      <c r="D112" s="2">
        <v>8274.98</v>
      </c>
      <c r="E112" s="2"/>
      <c r="F112" s="22">
        <f t="shared" si="5"/>
        <v>9.2375666879970283E-3</v>
      </c>
      <c r="G112" s="2"/>
      <c r="H112" s="2"/>
      <c r="I112" s="2"/>
      <c r="J112" s="22">
        <f t="shared" si="6"/>
        <v>0</v>
      </c>
      <c r="K112" s="2"/>
      <c r="L112" s="2">
        <f t="shared" si="7"/>
        <v>8274.98</v>
      </c>
      <c r="M112" s="2"/>
      <c r="N112" s="22">
        <f t="shared" si="8"/>
        <v>0</v>
      </c>
      <c r="O112" s="11"/>
      <c r="P112" s="2">
        <v>15697.449999999999</v>
      </c>
      <c r="Q112" s="2"/>
      <c r="R112" s="22">
        <f t="shared" si="9"/>
        <v>4.3802392875908706E-3</v>
      </c>
      <c r="S112" s="2"/>
      <c r="T112" s="2"/>
      <c r="U112" s="2"/>
      <c r="V112" s="22">
        <f t="shared" si="10"/>
        <v>0</v>
      </c>
      <c r="W112" s="2"/>
      <c r="X112" s="2">
        <f t="shared" si="11"/>
        <v>15697.449999999999</v>
      </c>
      <c r="Y112" s="2"/>
      <c r="Z112" s="22">
        <f t="shared" si="12"/>
        <v>0</v>
      </c>
    </row>
    <row r="113" spans="1:26" s="24" customFormat="1" hidden="1" outlineLevel="1" x14ac:dyDescent="0.25">
      <c r="A113" s="51"/>
      <c r="B113" s="11" t="str">
        <f>CONCATENATE("          ", "5082", " - ", "PURCHASES @ COST-COMPUTER HARD")</f>
        <v xml:space="preserve">          5082 - PURCHASES @ COST-COMPUTER HARD</v>
      </c>
      <c r="C113" s="11"/>
      <c r="D113" s="2">
        <v>470149.41</v>
      </c>
      <c r="E113" s="2"/>
      <c r="F113" s="22">
        <f t="shared" si="5"/>
        <v>0.52483951963599396</v>
      </c>
      <c r="G113" s="2"/>
      <c r="H113" s="2"/>
      <c r="I113" s="2"/>
      <c r="J113" s="22">
        <f t="shared" si="6"/>
        <v>0</v>
      </c>
      <c r="K113" s="2"/>
      <c r="L113" s="2">
        <f t="shared" si="7"/>
        <v>470149.41</v>
      </c>
      <c r="M113" s="2"/>
      <c r="N113" s="22">
        <f t="shared" si="8"/>
        <v>0</v>
      </c>
      <c r="O113" s="11"/>
      <c r="P113" s="2">
        <v>713373.21</v>
      </c>
      <c r="Q113" s="2"/>
      <c r="R113" s="22">
        <f t="shared" si="9"/>
        <v>0.19906069846738245</v>
      </c>
      <c r="S113" s="2"/>
      <c r="T113" s="2"/>
      <c r="U113" s="2"/>
      <c r="V113" s="22">
        <f t="shared" si="10"/>
        <v>0</v>
      </c>
      <c r="W113" s="2"/>
      <c r="X113" s="2">
        <f t="shared" si="11"/>
        <v>713373.21</v>
      </c>
      <c r="Y113" s="2"/>
      <c r="Z113" s="22">
        <f t="shared" si="12"/>
        <v>0</v>
      </c>
    </row>
    <row r="114" spans="1:26" s="24" customFormat="1" hidden="1" outlineLevel="1" x14ac:dyDescent="0.25">
      <c r="A114" s="51"/>
      <c r="B114" s="11" t="str">
        <f>CONCATENATE("          ", "5083", " - ", "PURCHASES @ COST-COMPUTER EQUI")</f>
        <v xml:space="preserve">          5083 - PURCHASES @ COST-COMPUTER EQUI</v>
      </c>
      <c r="C114" s="11"/>
      <c r="D114" s="2">
        <v>24155.15</v>
      </c>
      <c r="E114" s="2"/>
      <c r="F114" s="22">
        <f t="shared" si="5"/>
        <v>2.6964996771420773E-2</v>
      </c>
      <c r="G114" s="2"/>
      <c r="H114" s="2"/>
      <c r="I114" s="2"/>
      <c r="J114" s="22">
        <f t="shared" si="6"/>
        <v>0</v>
      </c>
      <c r="K114" s="2"/>
      <c r="L114" s="2">
        <f t="shared" si="7"/>
        <v>24155.15</v>
      </c>
      <c r="M114" s="2"/>
      <c r="N114" s="22">
        <f t="shared" si="8"/>
        <v>0</v>
      </c>
      <c r="O114" s="11"/>
      <c r="P114" s="2">
        <v>61434</v>
      </c>
      <c r="Q114" s="2"/>
      <c r="R114" s="22">
        <f t="shared" si="9"/>
        <v>1.7142632745691663E-2</v>
      </c>
      <c r="S114" s="2"/>
      <c r="T114" s="2"/>
      <c r="U114" s="2"/>
      <c r="V114" s="22">
        <f t="shared" si="10"/>
        <v>0</v>
      </c>
      <c r="W114" s="2"/>
      <c r="X114" s="2">
        <f t="shared" si="11"/>
        <v>61434</v>
      </c>
      <c r="Y114" s="2"/>
      <c r="Z114" s="22">
        <f t="shared" si="12"/>
        <v>0</v>
      </c>
    </row>
    <row r="115" spans="1:26" s="24" customFormat="1" hidden="1" outlineLevel="1" x14ac:dyDescent="0.25">
      <c r="A115" s="51"/>
      <c r="B115" s="11" t="str">
        <f>CONCATENATE("          ", "5085", " - ", "PURCHASES @ COST-SOFTWARE")</f>
        <v xml:space="preserve">          5085 - PURCHASES @ COST-SOFTWARE</v>
      </c>
      <c r="C115" s="11"/>
      <c r="D115" s="2">
        <v>8609.1200000000008</v>
      </c>
      <c r="E115" s="2"/>
      <c r="F115" s="22">
        <f t="shared" si="5"/>
        <v>9.6105755089400807E-3</v>
      </c>
      <c r="G115" s="2"/>
      <c r="H115" s="2"/>
      <c r="I115" s="2"/>
      <c r="J115" s="22">
        <f t="shared" si="6"/>
        <v>0</v>
      </c>
      <c r="K115" s="2"/>
      <c r="L115" s="2">
        <f t="shared" si="7"/>
        <v>8609.1200000000008</v>
      </c>
      <c r="M115" s="2"/>
      <c r="N115" s="22">
        <f t="shared" si="8"/>
        <v>0</v>
      </c>
      <c r="O115" s="11"/>
      <c r="P115" s="2">
        <v>14837.68</v>
      </c>
      <c r="Q115" s="2"/>
      <c r="R115" s="22">
        <f t="shared" si="9"/>
        <v>4.1403278158364141E-3</v>
      </c>
      <c r="S115" s="2"/>
      <c r="T115" s="2"/>
      <c r="U115" s="2"/>
      <c r="V115" s="22">
        <f t="shared" si="10"/>
        <v>0</v>
      </c>
      <c r="W115" s="2"/>
      <c r="X115" s="2">
        <f t="shared" si="11"/>
        <v>14837.68</v>
      </c>
      <c r="Y115" s="2"/>
      <c r="Z115" s="22">
        <f t="shared" si="12"/>
        <v>0</v>
      </c>
    </row>
    <row r="116" spans="1:26" s="24" customFormat="1" hidden="1" outlineLevel="1" x14ac:dyDescent="0.25">
      <c r="A116" s="51"/>
      <c r="B116" s="11" t="str">
        <f>CONCATENATE("          ", "5086", " - ", "PURCHASES @ COST-COMPUTER SUPP")</f>
        <v xml:space="preserve">          5086 - PURCHASES @ COST-COMPUTER SUPP</v>
      </c>
      <c r="C116" s="11"/>
      <c r="D116" s="2">
        <v>18.760000000000002</v>
      </c>
      <c r="E116" s="2"/>
      <c r="F116" s="22">
        <f t="shared" si="5"/>
        <v>2.0942256182712743E-5</v>
      </c>
      <c r="G116" s="2"/>
      <c r="H116" s="2"/>
      <c r="I116" s="2"/>
      <c r="J116" s="22">
        <f t="shared" si="6"/>
        <v>0</v>
      </c>
      <c r="K116" s="2"/>
      <c r="L116" s="2">
        <f t="shared" si="7"/>
        <v>18.760000000000002</v>
      </c>
      <c r="M116" s="2"/>
      <c r="N116" s="22">
        <f t="shared" si="8"/>
        <v>0</v>
      </c>
      <c r="O116" s="11"/>
      <c r="P116" s="2">
        <v>21755.969999999998</v>
      </c>
      <c r="Q116" s="2"/>
      <c r="R116" s="22">
        <f t="shared" si="9"/>
        <v>6.0708175234607115E-3</v>
      </c>
      <c r="S116" s="2"/>
      <c r="T116" s="2"/>
      <c r="U116" s="2"/>
      <c r="V116" s="22">
        <f t="shared" si="10"/>
        <v>0</v>
      </c>
      <c r="W116" s="2"/>
      <c r="X116" s="2">
        <f t="shared" si="11"/>
        <v>21755.969999999998</v>
      </c>
      <c r="Y116" s="2"/>
      <c r="Z116" s="22">
        <f t="shared" si="12"/>
        <v>0</v>
      </c>
    </row>
    <row r="117" spans="1:26" s="24" customFormat="1" hidden="1" outlineLevel="1" x14ac:dyDescent="0.25">
      <c r="A117" s="51"/>
      <c r="B117" s="11" t="str">
        <f>CONCATENATE("          ", "5200", " - ", "PURCHASES OFFSET")</f>
        <v xml:space="preserve">          5200 - PURCHASES OFFSET</v>
      </c>
      <c r="C117" s="11"/>
      <c r="D117" s="2">
        <v>-1333358.52</v>
      </c>
      <c r="E117" s="2"/>
      <c r="F117" s="22">
        <f t="shared" si="5"/>
        <v>-1.4884613917506775</v>
      </c>
      <c r="G117" s="2"/>
      <c r="H117" s="2"/>
      <c r="I117" s="2"/>
      <c r="J117" s="22">
        <f t="shared" si="6"/>
        <v>0</v>
      </c>
      <c r="K117" s="2"/>
      <c r="L117" s="2">
        <f t="shared" si="7"/>
        <v>-1333358.52</v>
      </c>
      <c r="M117" s="2"/>
      <c r="N117" s="22">
        <f t="shared" si="8"/>
        <v>0</v>
      </c>
      <c r="O117" s="11"/>
      <c r="P117" s="2">
        <v>-2362293.5</v>
      </c>
      <c r="Q117" s="2"/>
      <c r="R117" s="22">
        <f t="shared" si="9"/>
        <v>-0.65917781534711339</v>
      </c>
      <c r="S117" s="2"/>
      <c r="T117" s="2"/>
      <c r="U117" s="2"/>
      <c r="V117" s="22">
        <f t="shared" si="10"/>
        <v>0</v>
      </c>
      <c r="W117" s="2"/>
      <c r="X117" s="2">
        <f t="shared" si="11"/>
        <v>-2362293.5</v>
      </c>
      <c r="Y117" s="2"/>
      <c r="Z117" s="22">
        <f t="shared" si="12"/>
        <v>0</v>
      </c>
    </row>
    <row r="118" spans="1:26" s="24" customFormat="1" hidden="1" outlineLevel="1" x14ac:dyDescent="0.25">
      <c r="A118" s="51"/>
      <c r="B118" s="11" t="str">
        <f>CONCATENATE("          ", "5300", " - ", "COG$ OFFSET")</f>
        <v xml:space="preserve">          5300 - COG$ OFFSET</v>
      </c>
      <c r="C118" s="11"/>
      <c r="D118" s="2">
        <v>466553</v>
      </c>
      <c r="E118" s="2"/>
      <c r="F118" s="22">
        <f t="shared" si="5"/>
        <v>0.52082475739942313</v>
      </c>
      <c r="G118" s="2"/>
      <c r="H118" s="2"/>
      <c r="I118" s="2"/>
      <c r="J118" s="22">
        <f t="shared" si="6"/>
        <v>0</v>
      </c>
      <c r="K118" s="2"/>
      <c r="L118" s="2">
        <f t="shared" si="7"/>
        <v>466553</v>
      </c>
      <c r="M118" s="2"/>
      <c r="N118" s="22">
        <f t="shared" si="8"/>
        <v>0</v>
      </c>
      <c r="O118" s="11"/>
      <c r="P118" s="2">
        <v>2035029.9999999998</v>
      </c>
      <c r="Q118" s="2"/>
      <c r="R118" s="22">
        <f t="shared" si="9"/>
        <v>0.56785773214286706</v>
      </c>
      <c r="S118" s="2"/>
      <c r="T118" s="2"/>
      <c r="U118" s="2"/>
      <c r="V118" s="22">
        <f t="shared" si="10"/>
        <v>0</v>
      </c>
      <c r="W118" s="2"/>
      <c r="X118" s="2">
        <f t="shared" si="11"/>
        <v>2035029.9999999998</v>
      </c>
      <c r="Y118" s="2"/>
      <c r="Z118" s="22">
        <f t="shared" si="12"/>
        <v>0</v>
      </c>
    </row>
    <row r="119" spans="1:26" s="24" customFormat="1" hidden="1" outlineLevel="1" x14ac:dyDescent="0.25">
      <c r="A119" s="51"/>
      <c r="B119" s="11" t="str">
        <f>CONCATENATE("          ", "5501", " - ", "FREIGHT-IN-NEW TEXT")</f>
        <v xml:space="preserve">          5501 - FREIGHT-IN-NEW TEXT</v>
      </c>
      <c r="C119" s="11"/>
      <c r="D119" s="2">
        <v>5279.6</v>
      </c>
      <c r="E119" s="2"/>
      <c r="F119" s="22">
        <f t="shared" si="5"/>
        <v>5.8937492399920143E-3</v>
      </c>
      <c r="G119" s="2"/>
      <c r="H119" s="2"/>
      <c r="I119" s="2"/>
      <c r="J119" s="22">
        <f t="shared" si="6"/>
        <v>0</v>
      </c>
      <c r="K119" s="2"/>
      <c r="L119" s="2">
        <f t="shared" si="7"/>
        <v>5279.6</v>
      </c>
      <c r="M119" s="2"/>
      <c r="N119" s="22">
        <f t="shared" si="8"/>
        <v>0</v>
      </c>
      <c r="O119" s="11"/>
      <c r="P119" s="2">
        <v>10762.88</v>
      </c>
      <c r="Q119" s="2"/>
      <c r="R119" s="22">
        <f t="shared" si="9"/>
        <v>3.0032896950540392E-3</v>
      </c>
      <c r="S119" s="2"/>
      <c r="T119" s="2"/>
      <c r="U119" s="2"/>
      <c r="V119" s="22">
        <f t="shared" si="10"/>
        <v>0</v>
      </c>
      <c r="W119" s="2"/>
      <c r="X119" s="2">
        <f t="shared" si="11"/>
        <v>10762.88</v>
      </c>
      <c r="Y119" s="2"/>
      <c r="Z119" s="22">
        <f t="shared" si="12"/>
        <v>0</v>
      </c>
    </row>
    <row r="120" spans="1:26" s="24" customFormat="1" hidden="1" outlineLevel="1" x14ac:dyDescent="0.25">
      <c r="A120" s="51"/>
      <c r="B120" s="11" t="str">
        <f>CONCATENATE("          ", "5502", " - ", "FREIGHT-IN-USED TEXT")</f>
        <v xml:space="preserve">          5502 - FREIGHT-IN-USED TEXT</v>
      </c>
      <c r="C120" s="11"/>
      <c r="D120" s="2">
        <v>7276.27</v>
      </c>
      <c r="E120" s="2"/>
      <c r="F120" s="22">
        <f t="shared" si="5"/>
        <v>8.1226817907562501E-3</v>
      </c>
      <c r="G120" s="2"/>
      <c r="H120" s="2"/>
      <c r="I120" s="2"/>
      <c r="J120" s="22">
        <f t="shared" si="6"/>
        <v>0</v>
      </c>
      <c r="K120" s="2"/>
      <c r="L120" s="2">
        <f t="shared" si="7"/>
        <v>7276.27</v>
      </c>
      <c r="M120" s="2"/>
      <c r="N120" s="22">
        <f t="shared" si="8"/>
        <v>0</v>
      </c>
      <c r="O120" s="11"/>
      <c r="P120" s="2">
        <v>8510.82</v>
      </c>
      <c r="Q120" s="2"/>
      <c r="R120" s="22">
        <f t="shared" si="9"/>
        <v>2.3748715959352718E-3</v>
      </c>
      <c r="S120" s="2"/>
      <c r="T120" s="2"/>
      <c r="U120" s="2"/>
      <c r="V120" s="22">
        <f t="shared" si="10"/>
        <v>0</v>
      </c>
      <c r="W120" s="2"/>
      <c r="X120" s="2">
        <f t="shared" si="11"/>
        <v>8510.82</v>
      </c>
      <c r="Y120" s="2"/>
      <c r="Z120" s="22">
        <f t="shared" si="12"/>
        <v>0</v>
      </c>
    </row>
    <row r="121" spans="1:26" s="24" customFormat="1" hidden="1" outlineLevel="1" x14ac:dyDescent="0.25">
      <c r="A121" s="51"/>
      <c r="B121" s="11" t="str">
        <f>CONCATENATE("          ", "5504", " - ", "FREIGHT-IN-DIGITAL TEXT")</f>
        <v xml:space="preserve">          5504 - FREIGHT-IN-DIGITAL TEXT</v>
      </c>
      <c r="C121" s="11"/>
      <c r="D121" s="2">
        <v>10.99</v>
      </c>
      <c r="E121" s="2"/>
      <c r="F121" s="22">
        <f t="shared" si="5"/>
        <v>1.2268411271216046E-5</v>
      </c>
      <c r="G121" s="2"/>
      <c r="H121" s="2"/>
      <c r="I121" s="2"/>
      <c r="J121" s="22">
        <f t="shared" si="6"/>
        <v>0</v>
      </c>
      <c r="K121" s="2"/>
      <c r="L121" s="2">
        <f t="shared" si="7"/>
        <v>10.99</v>
      </c>
      <c r="M121" s="2"/>
      <c r="N121" s="22">
        <f t="shared" si="8"/>
        <v>0</v>
      </c>
      <c r="O121" s="11"/>
      <c r="P121" s="2">
        <v>10.99</v>
      </c>
      <c r="Q121" s="2"/>
      <c r="R121" s="22">
        <f t="shared" si="9"/>
        <v>3.0666655903107621E-6</v>
      </c>
      <c r="S121" s="2"/>
      <c r="T121" s="2"/>
      <c r="U121" s="2"/>
      <c r="V121" s="22">
        <f t="shared" si="10"/>
        <v>0</v>
      </c>
      <c r="W121" s="2"/>
      <c r="X121" s="2">
        <f t="shared" si="11"/>
        <v>10.99</v>
      </c>
      <c r="Y121" s="2"/>
      <c r="Z121" s="22">
        <f t="shared" si="12"/>
        <v>0</v>
      </c>
    </row>
    <row r="122" spans="1:26" s="24" customFormat="1" hidden="1" outlineLevel="1" x14ac:dyDescent="0.25">
      <c r="A122" s="51"/>
      <c r="B122" s="11" t="str">
        <f>CONCATENATE("          ", "5528", " - ", "FREIGHT-IN-ART/TECH")</f>
        <v xml:space="preserve">          5528 - FREIGHT-IN-ART/TECH</v>
      </c>
      <c r="C122" s="11"/>
      <c r="D122" s="2">
        <v>6.76</v>
      </c>
      <c r="E122" s="2"/>
      <c r="F122" s="22">
        <f t="shared" si="5"/>
        <v>7.5463567054977676E-6</v>
      </c>
      <c r="G122" s="2"/>
      <c r="H122" s="2"/>
      <c r="I122" s="2"/>
      <c r="J122" s="22">
        <f t="shared" si="6"/>
        <v>0</v>
      </c>
      <c r="K122" s="2"/>
      <c r="L122" s="2">
        <f t="shared" si="7"/>
        <v>6.76</v>
      </c>
      <c r="M122" s="2"/>
      <c r="N122" s="22">
        <f t="shared" si="8"/>
        <v>0</v>
      </c>
      <c r="O122" s="11"/>
      <c r="P122" s="2">
        <v>44.81</v>
      </c>
      <c r="Q122" s="2"/>
      <c r="R122" s="22">
        <f t="shared" si="9"/>
        <v>1.250384759798228E-5</v>
      </c>
      <c r="S122" s="2"/>
      <c r="T122" s="2"/>
      <c r="U122" s="2"/>
      <c r="V122" s="22">
        <f t="shared" si="10"/>
        <v>0</v>
      </c>
      <c r="W122" s="2"/>
      <c r="X122" s="2">
        <f t="shared" si="11"/>
        <v>44.81</v>
      </c>
      <c r="Y122" s="2"/>
      <c r="Z122" s="22">
        <f t="shared" si="12"/>
        <v>0</v>
      </c>
    </row>
    <row r="123" spans="1:26" s="24" customFormat="1" hidden="1" outlineLevel="1" x14ac:dyDescent="0.25">
      <c r="A123" s="51"/>
      <c r="B123" s="11" t="str">
        <f>CONCATENATE("          ", "5540", " - ", "FREIGHT-IN-LOGO CLOTHING")</f>
        <v xml:space="preserve">          5540 - FREIGHT-IN-LOGO CLOTHING</v>
      </c>
      <c r="C123" s="11"/>
      <c r="D123" s="2">
        <v>234.23</v>
      </c>
      <c r="E123" s="2"/>
      <c r="F123" s="22">
        <f t="shared" si="5"/>
        <v>2.6147679454567189E-4</v>
      </c>
      <c r="G123" s="2"/>
      <c r="H123" s="2"/>
      <c r="I123" s="2"/>
      <c r="J123" s="22">
        <f t="shared" si="6"/>
        <v>0</v>
      </c>
      <c r="K123" s="2"/>
      <c r="L123" s="2">
        <f t="shared" si="7"/>
        <v>234.23</v>
      </c>
      <c r="M123" s="2"/>
      <c r="N123" s="22">
        <f t="shared" si="8"/>
        <v>0</v>
      </c>
      <c r="O123" s="11"/>
      <c r="P123" s="2">
        <v>2165.7600000000002</v>
      </c>
      <c r="Q123" s="2"/>
      <c r="R123" s="22">
        <f t="shared" si="9"/>
        <v>6.0433682155336095E-4</v>
      </c>
      <c r="S123" s="2"/>
      <c r="T123" s="2"/>
      <c r="U123" s="2"/>
      <c r="V123" s="22">
        <f t="shared" si="10"/>
        <v>0</v>
      </c>
      <c r="W123" s="2"/>
      <c r="X123" s="2">
        <f t="shared" si="11"/>
        <v>2165.7600000000002</v>
      </c>
      <c r="Y123" s="2"/>
      <c r="Z123" s="22">
        <f t="shared" si="12"/>
        <v>0</v>
      </c>
    </row>
    <row r="124" spans="1:26" s="24" customFormat="1" hidden="1" outlineLevel="1" x14ac:dyDescent="0.25">
      <c r="A124" s="51"/>
      <c r="B124" s="11" t="str">
        <f>CONCATENATE("          ", "5541", " - ", "FREIGHT-IN-LOGO GIFTS")</f>
        <v xml:space="preserve">          5541 - FREIGHT-IN-LOGO GIFTS</v>
      </c>
      <c r="C124" s="11"/>
      <c r="D124" s="2">
        <v>154.41</v>
      </c>
      <c r="E124" s="2"/>
      <c r="F124" s="22">
        <f t="shared" si="5"/>
        <v>1.7237173652306364E-4</v>
      </c>
      <c r="G124" s="2"/>
      <c r="H124" s="2"/>
      <c r="I124" s="2"/>
      <c r="J124" s="22">
        <f t="shared" si="6"/>
        <v>0</v>
      </c>
      <c r="K124" s="2"/>
      <c r="L124" s="2">
        <f t="shared" si="7"/>
        <v>154.41</v>
      </c>
      <c r="M124" s="2"/>
      <c r="N124" s="22">
        <f t="shared" si="8"/>
        <v>0</v>
      </c>
      <c r="O124" s="11"/>
      <c r="P124" s="2">
        <v>361.11</v>
      </c>
      <c r="Q124" s="2"/>
      <c r="R124" s="22">
        <f t="shared" si="9"/>
        <v>1.0076465981047492E-4</v>
      </c>
      <c r="S124" s="2"/>
      <c r="T124" s="2"/>
      <c r="U124" s="2"/>
      <c r="V124" s="22">
        <f t="shared" si="10"/>
        <v>0</v>
      </c>
      <c r="W124" s="2"/>
      <c r="X124" s="2">
        <f t="shared" si="11"/>
        <v>361.11</v>
      </c>
      <c r="Y124" s="2"/>
      <c r="Z124" s="22">
        <f t="shared" si="12"/>
        <v>0</v>
      </c>
    </row>
    <row r="125" spans="1:26" s="24" customFormat="1" hidden="1" outlineLevel="1" x14ac:dyDescent="0.25">
      <c r="A125" s="51"/>
      <c r="B125" s="11" t="str">
        <f>CONCATENATE("          ", "5542", " - ", "FREIGHT-IN-EVERYDAY GIFTS")</f>
        <v xml:space="preserve">          5542 - FREIGHT-IN-EVERYDAY GIFTS</v>
      </c>
      <c r="C125" s="11"/>
      <c r="D125" s="2">
        <v>65.44</v>
      </c>
      <c r="E125" s="2"/>
      <c r="F125" s="22">
        <f t="shared" si="5"/>
        <v>7.3052305149078983E-5</v>
      </c>
      <c r="G125" s="2"/>
      <c r="H125" s="2"/>
      <c r="I125" s="2"/>
      <c r="J125" s="22">
        <f t="shared" si="6"/>
        <v>0</v>
      </c>
      <c r="K125" s="2"/>
      <c r="L125" s="2">
        <f t="shared" si="7"/>
        <v>65.44</v>
      </c>
      <c r="M125" s="2"/>
      <c r="N125" s="22">
        <f t="shared" si="8"/>
        <v>0</v>
      </c>
      <c r="O125" s="11"/>
      <c r="P125" s="2">
        <v>71.38</v>
      </c>
      <c r="Q125" s="2"/>
      <c r="R125" s="22">
        <f t="shared" si="9"/>
        <v>1.9917979056995648E-5</v>
      </c>
      <c r="S125" s="2"/>
      <c r="T125" s="2"/>
      <c r="U125" s="2"/>
      <c r="V125" s="22">
        <f t="shared" si="10"/>
        <v>0</v>
      </c>
      <c r="W125" s="2"/>
      <c r="X125" s="2">
        <f t="shared" si="11"/>
        <v>71.38</v>
      </c>
      <c r="Y125" s="2"/>
      <c r="Z125" s="22">
        <f t="shared" si="12"/>
        <v>0</v>
      </c>
    </row>
    <row r="126" spans="1:26" s="24" customFormat="1" hidden="1" outlineLevel="1" x14ac:dyDescent="0.25">
      <c r="A126" s="51"/>
      <c r="B126" s="11" t="str">
        <f>CONCATENATE("          ", "5543", " - ", "FREIGHT-IN-CARDS")</f>
        <v xml:space="preserve">          5543 - FREIGHT-IN-CARDS</v>
      </c>
      <c r="C126" s="11"/>
      <c r="D126" s="2">
        <v>81.77</v>
      </c>
      <c r="E126" s="2"/>
      <c r="F126" s="22">
        <f t="shared" si="5"/>
        <v>9.1281891687655688E-5</v>
      </c>
      <c r="G126" s="2"/>
      <c r="H126" s="2"/>
      <c r="I126" s="2"/>
      <c r="J126" s="22">
        <f t="shared" si="6"/>
        <v>0</v>
      </c>
      <c r="K126" s="2"/>
      <c r="L126" s="2">
        <f t="shared" si="7"/>
        <v>81.77</v>
      </c>
      <c r="M126" s="2"/>
      <c r="N126" s="22">
        <f t="shared" si="8"/>
        <v>0</v>
      </c>
      <c r="O126" s="11"/>
      <c r="P126" s="2">
        <v>81.77</v>
      </c>
      <c r="Q126" s="2"/>
      <c r="R126" s="22">
        <f t="shared" si="9"/>
        <v>2.2817219774314011E-5</v>
      </c>
      <c r="S126" s="2"/>
      <c r="T126" s="2"/>
      <c r="U126" s="2"/>
      <c r="V126" s="22">
        <f t="shared" si="10"/>
        <v>0</v>
      </c>
      <c r="W126" s="2"/>
      <c r="X126" s="2">
        <f t="shared" si="11"/>
        <v>81.77</v>
      </c>
      <c r="Y126" s="2"/>
      <c r="Z126" s="22">
        <f t="shared" si="12"/>
        <v>0</v>
      </c>
    </row>
    <row r="127" spans="1:26" s="24" customFormat="1" hidden="1" outlineLevel="1" x14ac:dyDescent="0.25">
      <c r="A127" s="51"/>
      <c r="B127" s="11" t="str">
        <f>CONCATENATE("          ", "5545", " - ", "FREIGHT-IN-SPECIAL ORDERS")</f>
        <v xml:space="preserve">          5545 - FREIGHT-IN-SPECIAL ORDERS</v>
      </c>
      <c r="C127" s="11"/>
      <c r="D127" s="2">
        <v>214.61</v>
      </c>
      <c r="E127" s="2"/>
      <c r="F127" s="22">
        <f t="shared" si="5"/>
        <v>2.3957449890042544E-4</v>
      </c>
      <c r="G127" s="2"/>
      <c r="H127" s="2"/>
      <c r="I127" s="2"/>
      <c r="J127" s="22">
        <f t="shared" si="6"/>
        <v>0</v>
      </c>
      <c r="K127" s="2"/>
      <c r="L127" s="2">
        <f t="shared" si="7"/>
        <v>214.61</v>
      </c>
      <c r="M127" s="2"/>
      <c r="N127" s="22">
        <f t="shared" si="8"/>
        <v>0</v>
      </c>
      <c r="O127" s="11"/>
      <c r="P127" s="2">
        <v>660.61</v>
      </c>
      <c r="Q127" s="2"/>
      <c r="R127" s="22">
        <f t="shared" si="9"/>
        <v>1.8433757557918039E-4</v>
      </c>
      <c r="S127" s="2"/>
      <c r="T127" s="2"/>
      <c r="U127" s="2"/>
      <c r="V127" s="22">
        <f t="shared" si="10"/>
        <v>0</v>
      </c>
      <c r="W127" s="2"/>
      <c r="X127" s="2">
        <f t="shared" si="11"/>
        <v>660.61</v>
      </c>
      <c r="Y127" s="2"/>
      <c r="Z127" s="22">
        <f t="shared" si="12"/>
        <v>0</v>
      </c>
    </row>
    <row r="128" spans="1:26" s="24" customFormat="1" hidden="1" outlineLevel="1" x14ac:dyDescent="0.25">
      <c r="A128" s="51"/>
      <c r="B128" s="11" t="str">
        <f>CONCATENATE("          ", "5582", " - ", "FREIGHT-IN-COMPUTER HARDWARE")</f>
        <v xml:space="preserve">          5582 - FREIGHT-IN-COMPUTER HARDWARE</v>
      </c>
      <c r="C128" s="11"/>
      <c r="D128" s="2">
        <v>24</v>
      </c>
      <c r="E128" s="2"/>
      <c r="F128" s="22">
        <f t="shared" si="5"/>
        <v>2.6791798954429946E-5</v>
      </c>
      <c r="G128" s="2"/>
      <c r="H128" s="2"/>
      <c r="I128" s="2"/>
      <c r="J128" s="22">
        <f t="shared" si="6"/>
        <v>0</v>
      </c>
      <c r="K128" s="2"/>
      <c r="L128" s="2">
        <f t="shared" si="7"/>
        <v>24</v>
      </c>
      <c r="M128" s="2"/>
      <c r="N128" s="22">
        <f t="shared" si="8"/>
        <v>0</v>
      </c>
      <c r="O128" s="11"/>
      <c r="P128" s="2">
        <v>24</v>
      </c>
      <c r="Q128" s="2"/>
      <c r="R128" s="22">
        <f t="shared" si="9"/>
        <v>6.6969949196959319E-6</v>
      </c>
      <c r="S128" s="2"/>
      <c r="T128" s="2"/>
      <c r="U128" s="2"/>
      <c r="V128" s="22">
        <f t="shared" si="10"/>
        <v>0</v>
      </c>
      <c r="W128" s="2"/>
      <c r="X128" s="2">
        <f t="shared" si="11"/>
        <v>24</v>
      </c>
      <c r="Y128" s="2"/>
      <c r="Z128" s="22">
        <f t="shared" si="12"/>
        <v>0</v>
      </c>
    </row>
    <row r="129" spans="1:26" s="24" customFormat="1" hidden="1" outlineLevel="1" x14ac:dyDescent="0.25">
      <c r="A129" s="51"/>
      <c r="B129" s="11" t="str">
        <f>CONCATENATE("          ", "5583", " - ", "FREIGHT-IN-COMPUTER EQUIPMENT")</f>
        <v xml:space="preserve">          5583 - FREIGHT-IN-COMPUTER EQUIPMENT</v>
      </c>
      <c r="C129" s="11"/>
      <c r="D129" s="2">
        <v>156</v>
      </c>
      <c r="E129" s="2"/>
      <c r="F129" s="22">
        <f t="shared" si="5"/>
        <v>1.7414669320379463E-4</v>
      </c>
      <c r="G129" s="2"/>
      <c r="H129" s="2"/>
      <c r="I129" s="2"/>
      <c r="J129" s="22">
        <f t="shared" si="6"/>
        <v>0</v>
      </c>
      <c r="K129" s="2"/>
      <c r="L129" s="2">
        <f t="shared" si="7"/>
        <v>156</v>
      </c>
      <c r="M129" s="2"/>
      <c r="N129" s="22">
        <f t="shared" si="8"/>
        <v>0</v>
      </c>
      <c r="O129" s="11"/>
      <c r="P129" s="2">
        <v>173.39</v>
      </c>
      <c r="Q129" s="2"/>
      <c r="R129" s="22">
        <f t="shared" si="9"/>
        <v>4.8382997880253226E-5</v>
      </c>
      <c r="S129" s="2"/>
      <c r="T129" s="2"/>
      <c r="U129" s="2"/>
      <c r="V129" s="22">
        <f t="shared" si="10"/>
        <v>0</v>
      </c>
      <c r="W129" s="2"/>
      <c r="X129" s="2">
        <f t="shared" si="11"/>
        <v>173.39</v>
      </c>
      <c r="Y129" s="2"/>
      <c r="Z129" s="22">
        <f t="shared" si="12"/>
        <v>0</v>
      </c>
    </row>
    <row r="130" spans="1:26" s="24" customFormat="1" hidden="1" outlineLevel="1" x14ac:dyDescent="0.25">
      <c r="A130" s="51"/>
      <c r="B130" s="11" t="str">
        <f>CONCATENATE("          ", "5586", " - ", "FREIGHT-IN-COMPUTER SUPPLIES")</f>
        <v xml:space="preserve">          5586 - FREIGHT-IN-COMPUTER SUPPLIES</v>
      </c>
      <c r="C130" s="11"/>
      <c r="D130" s="2"/>
      <c r="E130" s="2"/>
      <c r="F130" s="22">
        <f t="shared" si="5"/>
        <v>0</v>
      </c>
      <c r="G130" s="2"/>
      <c r="H130" s="2"/>
      <c r="I130" s="2"/>
      <c r="J130" s="22">
        <f t="shared" si="6"/>
        <v>0</v>
      </c>
      <c r="K130" s="2"/>
      <c r="L130" s="2">
        <f t="shared" si="7"/>
        <v>0</v>
      </c>
      <c r="M130" s="2"/>
      <c r="N130" s="22">
        <f t="shared" si="8"/>
        <v>0</v>
      </c>
      <c r="O130" s="11"/>
      <c r="P130" s="2">
        <v>24.12</v>
      </c>
      <c r="Q130" s="2"/>
      <c r="R130" s="22">
        <f t="shared" si="9"/>
        <v>6.7304798942944112E-6</v>
      </c>
      <c r="S130" s="2"/>
      <c r="T130" s="2"/>
      <c r="U130" s="2"/>
      <c r="V130" s="22">
        <f t="shared" si="10"/>
        <v>0</v>
      </c>
      <c r="W130" s="2"/>
      <c r="X130" s="2">
        <f t="shared" si="11"/>
        <v>24.12</v>
      </c>
      <c r="Y130" s="2"/>
      <c r="Z130" s="22">
        <f t="shared" si="12"/>
        <v>0</v>
      </c>
    </row>
    <row r="131" spans="1:26" x14ac:dyDescent="0.25">
      <c r="A131" s="9"/>
      <c r="B131" s="10"/>
      <c r="C131" s="10"/>
      <c r="D131" s="3"/>
      <c r="E131" s="3"/>
      <c r="F131" s="8"/>
      <c r="G131" s="3"/>
      <c r="H131" s="3"/>
      <c r="I131" s="3"/>
      <c r="J131" s="8"/>
      <c r="K131" s="3"/>
      <c r="L131" s="3"/>
      <c r="M131" s="3"/>
      <c r="N131" s="8"/>
      <c r="O131" s="10"/>
      <c r="P131" s="3"/>
      <c r="Q131" s="3"/>
      <c r="R131" s="8"/>
      <c r="S131" s="3"/>
      <c r="T131" s="3"/>
      <c r="U131" s="3"/>
      <c r="V131" s="8"/>
      <c r="W131" s="3"/>
      <c r="X131" s="3"/>
      <c r="Y131" s="3"/>
      <c r="Z131" s="8"/>
    </row>
    <row r="132" spans="1:26" s="23" customFormat="1" x14ac:dyDescent="0.25">
      <c r="A132" s="10"/>
      <c r="B132" s="26" t="s">
        <v>6</v>
      </c>
      <c r="C132" s="26"/>
      <c r="D132" s="20">
        <f>D12-D94</f>
        <v>357053.18000000028</v>
      </c>
      <c r="E132" s="13"/>
      <c r="F132" s="21">
        <f>IF(D$12=0,0,D132/D$12)</f>
        <v>0.39858737560832891</v>
      </c>
      <c r="G132" s="13"/>
      <c r="H132" s="20">
        <f>H12-H94</f>
        <v>940306</v>
      </c>
      <c r="I132" s="13"/>
      <c r="J132" s="21">
        <f>IF(H$12=0,0,H132/H$12)</f>
        <v>0.43813925964582845</v>
      </c>
      <c r="K132" s="16"/>
      <c r="L132" s="20">
        <f>+D132-H132</f>
        <v>-583252.81999999972</v>
      </c>
      <c r="M132" s="16"/>
      <c r="N132" s="21">
        <f>IF(H132=0,0,L132/H132)</f>
        <v>-0.62027980253236681</v>
      </c>
      <c r="O132" s="25"/>
      <c r="P132" s="20">
        <f>P12-P94</f>
        <v>1099976.7299999991</v>
      </c>
      <c r="Q132" s="13"/>
      <c r="R132" s="21">
        <f>IF(P$12=0,0,P132/P$12)</f>
        <v>0.30693910719140571</v>
      </c>
      <c r="S132" s="13"/>
      <c r="T132" s="20">
        <f>T12-T94</f>
        <v>2281903</v>
      </c>
      <c r="U132" s="13"/>
      <c r="V132" s="21">
        <f>IF(T$12=0,0,T132/T$12)</f>
        <v>0.40675190519318771</v>
      </c>
      <c r="W132" s="16"/>
      <c r="X132" s="20">
        <f>+P132-T132</f>
        <v>-1181926.2700000009</v>
      </c>
      <c r="Y132" s="16"/>
      <c r="Z132" s="21">
        <f>IF(T132=0,0,X132/T132)</f>
        <v>-0.51795640305481916</v>
      </c>
    </row>
    <row r="133" spans="1:26" x14ac:dyDescent="0.25">
      <c r="A133" s="9"/>
      <c r="B133" s="10"/>
      <c r="C133" s="9"/>
      <c r="D133" s="1"/>
      <c r="E133" s="1"/>
      <c r="F133" s="5"/>
      <c r="G133" s="1"/>
      <c r="H133" s="1"/>
      <c r="I133" s="1"/>
      <c r="J133" s="5"/>
      <c r="K133" s="1"/>
      <c r="L133" s="1"/>
      <c r="M133" s="1"/>
      <c r="N133" s="5"/>
      <c r="O133" s="36"/>
      <c r="P133" s="1"/>
      <c r="Q133" s="1"/>
      <c r="R133" s="5"/>
      <c r="S133" s="1"/>
      <c r="T133" s="1"/>
      <c r="U133" s="1"/>
      <c r="V133" s="5"/>
      <c r="W133" s="1"/>
      <c r="X133" s="1"/>
      <c r="Y133" s="1"/>
      <c r="Z133" s="5"/>
    </row>
    <row r="134" spans="1:26" s="23" customFormat="1" x14ac:dyDescent="0.25">
      <c r="A134" s="10"/>
      <c r="B134" s="25" t="s">
        <v>9</v>
      </c>
      <c r="C134" s="10"/>
      <c r="D134" s="19">
        <f>SUM(OSRRefD22x_0)</f>
        <v>689724.47</v>
      </c>
      <c r="E134" s="19"/>
      <c r="F134" s="35">
        <f t="shared" ref="F134:F145" si="13">IF(D$12=0,0,D134/D$12)</f>
        <v>0.76995663892461441</v>
      </c>
      <c r="G134" s="19"/>
      <c r="H134" s="19">
        <f>SUM(OSRRefH22x_0)</f>
        <v>974827.72186598263</v>
      </c>
      <c r="I134" s="19"/>
      <c r="J134" s="35">
        <f t="shared" ref="J134:J145" si="14">IF(H$12=0,0,H134/H$12)</f>
        <v>0.45422479101546859</v>
      </c>
      <c r="K134" s="4"/>
      <c r="L134" s="19">
        <f t="shared" ref="L134:L145" si="15">+D134-H134</f>
        <v>-285103.25186598266</v>
      </c>
      <c r="M134" s="4"/>
      <c r="N134" s="35">
        <f t="shared" ref="N134:N145" si="16">IF(H134=0,0,L134/H134)</f>
        <v>-0.29246526896080421</v>
      </c>
      <c r="O134" s="10"/>
      <c r="P134" s="19">
        <f>SUM(OSRRefP22x_0)</f>
        <v>1998642.2599999993</v>
      </c>
      <c r="Q134" s="19"/>
      <c r="R134" s="35">
        <f t="shared" ref="R134:R145" si="17">IF(P$12=0,0,P134/P$12)</f>
        <v>0.55770404422956632</v>
      </c>
      <c r="S134" s="19"/>
      <c r="T134" s="19">
        <f>SUM(OSRRefT22x_0)</f>
        <v>2952612.3593686353</v>
      </c>
      <c r="U134" s="19"/>
      <c r="V134" s="35">
        <f t="shared" ref="V134:V145" si="18">IF(T$12=0,0,T134/T$12)</f>
        <v>0.5263066407599909</v>
      </c>
      <c r="W134" s="4"/>
      <c r="X134" s="19">
        <f t="shared" ref="X134:X145" si="19">+P134-T134</f>
        <v>-953970.09936863603</v>
      </c>
      <c r="Y134" s="4"/>
      <c r="Z134" s="35">
        <f t="shared" ref="Z134:Z145" si="20">IF(T134=0,0,X134/T134)</f>
        <v>-0.32309358061910498</v>
      </c>
    </row>
    <row r="135" spans="1:26" s="28" customFormat="1" outlineLevel="1" collapsed="1" x14ac:dyDescent="0.25">
      <c r="A135" s="27"/>
      <c r="B135" s="14" t="str">
        <f>CONCATENATE("     ","*Benefits                                         ")</f>
        <v xml:space="preserve">     *Benefits                                         </v>
      </c>
      <c r="C135" s="14"/>
      <c r="D135" s="1">
        <f>SUM(OSRRefD22_0x_0)</f>
        <v>157498.78</v>
      </c>
      <c r="E135" s="1"/>
      <c r="F135" s="5">
        <f t="shared" si="13"/>
        <v>0.17581981872199967</v>
      </c>
      <c r="G135" s="1"/>
      <c r="H135" s="1">
        <f>SUM(OSRRefH22_0x_0)</f>
        <v>167093.47501049543</v>
      </c>
      <c r="I135" s="1"/>
      <c r="J135" s="5">
        <f t="shared" si="14"/>
        <v>7.785785843411315E-2</v>
      </c>
      <c r="K135" s="1"/>
      <c r="L135" s="1">
        <f t="shared" si="15"/>
        <v>-9594.6950104954303</v>
      </c>
      <c r="M135" s="1"/>
      <c r="N135" s="5">
        <f t="shared" si="16"/>
        <v>-5.7421123176071183E-2</v>
      </c>
      <c r="O135" s="14"/>
      <c r="P135" s="1">
        <f>SUM(OSRRefP22_0x_0)</f>
        <v>463577.5</v>
      </c>
      <c r="Q135" s="1"/>
      <c r="R135" s="5">
        <f t="shared" si="17"/>
        <v>0.12935734009938921</v>
      </c>
      <c r="S135" s="1"/>
      <c r="T135" s="1">
        <f>SUM(OSRRefT22_0x_0)</f>
        <v>535038.18160663499</v>
      </c>
      <c r="U135" s="1"/>
      <c r="V135" s="5">
        <f t="shared" si="18"/>
        <v>9.5371187872401925E-2</v>
      </c>
      <c r="W135" s="1"/>
      <c r="X135" s="1">
        <f t="shared" si="19"/>
        <v>-71460.681606634986</v>
      </c>
      <c r="Y135" s="1"/>
      <c r="Z135" s="5">
        <f t="shared" si="20"/>
        <v>-0.13356183551620535</v>
      </c>
    </row>
    <row r="136" spans="1:26" s="24" customFormat="1" hidden="1" outlineLevel="2" x14ac:dyDescent="0.25">
      <c r="A136" s="29"/>
      <c r="B136" s="11" t="str">
        <f>CONCATENATE("          ", "6111", " - ", "F.I.C.A.")</f>
        <v xml:space="preserve">          6111 - F.I.C.A.</v>
      </c>
      <c r="C136" s="11"/>
      <c r="D136" s="6">
        <v>24213.34</v>
      </c>
      <c r="E136" s="2"/>
      <c r="F136" s="7">
        <f t="shared" si="13"/>
        <v>2.7029955720635698E-2</v>
      </c>
      <c r="G136" s="2"/>
      <c r="H136" s="6">
        <v>20023.699196879999</v>
      </c>
      <c r="I136" s="2"/>
      <c r="J136" s="7">
        <f t="shared" si="14"/>
        <v>9.3301209834796041E-3</v>
      </c>
      <c r="K136" s="2"/>
      <c r="L136" s="6">
        <f t="shared" si="15"/>
        <v>4189.6408031200008</v>
      </c>
      <c r="M136" s="2"/>
      <c r="N136" s="7">
        <f t="shared" si="16"/>
        <v>0.20923410614222626</v>
      </c>
      <c r="O136" s="11"/>
      <c r="P136" s="6">
        <v>65678.210000000006</v>
      </c>
      <c r="Q136" s="2"/>
      <c r="R136" s="7">
        <f t="shared" si="17"/>
        <v>1.832694327936344E-2</v>
      </c>
      <c r="S136" s="2"/>
      <c r="T136" s="6">
        <v>77205.917130884991</v>
      </c>
      <c r="U136" s="2"/>
      <c r="V136" s="7">
        <f t="shared" si="18"/>
        <v>1.3762045926218091E-2</v>
      </c>
      <c r="W136" s="2"/>
      <c r="X136" s="6">
        <f t="shared" si="19"/>
        <v>-11527.707130884985</v>
      </c>
      <c r="Y136" s="2"/>
      <c r="Z136" s="7">
        <f t="shared" si="20"/>
        <v>-0.14931118700840496</v>
      </c>
    </row>
    <row r="137" spans="1:26" s="24" customFormat="1" hidden="1" outlineLevel="2" x14ac:dyDescent="0.25">
      <c r="A137" s="29"/>
      <c r="B137" s="11" t="str">
        <f>CONCATENATE("          ", "6112", " - ", "COMPENSATION INSURANCE")</f>
        <v xml:space="preserve">          6112 - COMPENSATION INSURANCE</v>
      </c>
      <c r="C137" s="11"/>
      <c r="D137" s="6">
        <v>10584.2</v>
      </c>
      <c r="E137" s="2"/>
      <c r="F137" s="7">
        <f t="shared" si="13"/>
        <v>1.1815406603894893E-2</v>
      </c>
      <c r="G137" s="2"/>
      <c r="H137" s="6">
        <v>12120.225735184613</v>
      </c>
      <c r="I137" s="2"/>
      <c r="J137" s="7">
        <f t="shared" si="14"/>
        <v>5.6474666016744579E-3</v>
      </c>
      <c r="K137" s="2"/>
      <c r="L137" s="6">
        <f t="shared" si="15"/>
        <v>-1536.0257351846121</v>
      </c>
      <c r="M137" s="2"/>
      <c r="N137" s="7">
        <f t="shared" si="16"/>
        <v>-0.1267324362388384</v>
      </c>
      <c r="O137" s="11"/>
      <c r="P137" s="6">
        <v>23984.969999999998</v>
      </c>
      <c r="Q137" s="2"/>
      <c r="R137" s="7">
        <f t="shared" si="17"/>
        <v>6.6928009266274714E-3</v>
      </c>
      <c r="S137" s="2"/>
      <c r="T137" s="6">
        <v>34814.906472649993</v>
      </c>
      <c r="U137" s="2"/>
      <c r="V137" s="7">
        <f t="shared" si="18"/>
        <v>6.2057982030231029E-3</v>
      </c>
      <c r="W137" s="2"/>
      <c r="X137" s="6">
        <f t="shared" si="19"/>
        <v>-10829.936472649995</v>
      </c>
      <c r="Y137" s="2"/>
      <c r="Z137" s="7">
        <f t="shared" si="20"/>
        <v>-0.31107182439676556</v>
      </c>
    </row>
    <row r="138" spans="1:26" s="24" customFormat="1" hidden="1" outlineLevel="2" x14ac:dyDescent="0.25">
      <c r="A138" s="29"/>
      <c r="B138" s="11" t="str">
        <f>CONCATENATE("          ", "6113", " - ", "GROUP INSURANCE")</f>
        <v xml:space="preserve">          6113 - GROUP INSURANCE</v>
      </c>
      <c r="C138" s="11"/>
      <c r="D138" s="6">
        <v>74825.47</v>
      </c>
      <c r="E138" s="2"/>
      <c r="F138" s="7">
        <f t="shared" si="13"/>
        <v>8.3529539537947048E-2</v>
      </c>
      <c r="G138" s="2"/>
      <c r="H138" s="6">
        <v>90074.23076923081</v>
      </c>
      <c r="I138" s="2"/>
      <c r="J138" s="7">
        <f t="shared" si="14"/>
        <v>4.1970440242217202E-2</v>
      </c>
      <c r="K138" s="2"/>
      <c r="L138" s="6">
        <f t="shared" si="15"/>
        <v>-15248.760769230808</v>
      </c>
      <c r="M138" s="2"/>
      <c r="N138" s="7">
        <f t="shared" si="16"/>
        <v>-0.16929104627380018</v>
      </c>
      <c r="O138" s="11"/>
      <c r="P138" s="6">
        <v>226050.11000000002</v>
      </c>
      <c r="Q138" s="2"/>
      <c r="R138" s="7">
        <f t="shared" si="17"/>
        <v>6.3077351594446107E-2</v>
      </c>
      <c r="S138" s="2"/>
      <c r="T138" s="6">
        <v>282362.5</v>
      </c>
      <c r="U138" s="2"/>
      <c r="V138" s="7">
        <f t="shared" si="18"/>
        <v>5.0331449158930716E-2</v>
      </c>
      <c r="W138" s="2"/>
      <c r="X138" s="6">
        <f t="shared" si="19"/>
        <v>-56312.389999999985</v>
      </c>
      <c r="Y138" s="2"/>
      <c r="Z138" s="7">
        <f t="shared" si="20"/>
        <v>-0.19943296294656687</v>
      </c>
    </row>
    <row r="139" spans="1:26" s="24" customFormat="1" hidden="1" outlineLevel="2" x14ac:dyDescent="0.25">
      <c r="A139" s="29"/>
      <c r="B139" s="11" t="str">
        <f>CONCATENATE("          ", "6114", " - ", "STATE UNEMPLOYMENT INSURANCE")</f>
        <v xml:space="preserve">          6114 - STATE UNEMPLOYMENT INSURANCE</v>
      </c>
      <c r="C139" s="11"/>
      <c r="D139" s="6">
        <v>982.97</v>
      </c>
      <c r="E139" s="2"/>
      <c r="F139" s="7">
        <f t="shared" si="13"/>
        <v>1.0973139424265001E-3</v>
      </c>
      <c r="G139" s="2"/>
      <c r="H139" s="6">
        <v>1094.3143692000001</v>
      </c>
      <c r="I139" s="2"/>
      <c r="J139" s="7">
        <f t="shared" si="14"/>
        <v>5.0990006183208425E-4</v>
      </c>
      <c r="K139" s="2"/>
      <c r="L139" s="6">
        <f t="shared" si="15"/>
        <v>-111.34436920000007</v>
      </c>
      <c r="M139" s="2"/>
      <c r="N139" s="7">
        <f t="shared" si="16"/>
        <v>-0.10174806466390322</v>
      </c>
      <c r="O139" s="11"/>
      <c r="P139" s="6">
        <v>2484.44</v>
      </c>
      <c r="Q139" s="2"/>
      <c r="R139" s="7">
        <f t="shared" si="17"/>
        <v>6.9326175242872341E-4</v>
      </c>
      <c r="S139" s="2"/>
      <c r="T139" s="6">
        <v>3232.5459881000002</v>
      </c>
      <c r="U139" s="2"/>
      <c r="V139" s="7">
        <f t="shared" si="18"/>
        <v>5.7620514074624147E-4</v>
      </c>
      <c r="W139" s="2"/>
      <c r="X139" s="6">
        <f t="shared" si="19"/>
        <v>-748.1059881000001</v>
      </c>
      <c r="Y139" s="2"/>
      <c r="Z139" s="7">
        <f t="shared" si="20"/>
        <v>-0.23142934109955721</v>
      </c>
    </row>
    <row r="140" spans="1:26" s="24" customFormat="1" hidden="1" outlineLevel="2" x14ac:dyDescent="0.25">
      <c r="A140" s="29"/>
      <c r="B140" s="11" t="str">
        <f>CONCATENATE("          ", "6115", " - ", "P.E.R.S.")</f>
        <v xml:space="preserve">          6115 - P.E.R.S.</v>
      </c>
      <c r="C140" s="11"/>
      <c r="D140" s="6">
        <v>14016.4</v>
      </c>
      <c r="E140" s="2"/>
      <c r="F140" s="7">
        <f t="shared" si="13"/>
        <v>1.564685711936966E-2</v>
      </c>
      <c r="G140" s="2"/>
      <c r="H140" s="6">
        <v>12274.868580000008</v>
      </c>
      <c r="I140" s="2"/>
      <c r="J140" s="7">
        <f t="shared" si="14"/>
        <v>5.7195230402560917E-3</v>
      </c>
      <c r="K140" s="2"/>
      <c r="L140" s="6">
        <f t="shared" si="15"/>
        <v>1741.5314199999921</v>
      </c>
      <c r="M140" s="2"/>
      <c r="N140" s="7">
        <f t="shared" si="16"/>
        <v>0.14187780574999778</v>
      </c>
      <c r="O140" s="11"/>
      <c r="P140" s="6">
        <v>49509.35</v>
      </c>
      <c r="Q140" s="2"/>
      <c r="R140" s="7">
        <f t="shared" si="17"/>
        <v>1.381516105947699E-2</v>
      </c>
      <c r="S140" s="2"/>
      <c r="T140" s="6">
        <v>40138.670135000029</v>
      </c>
      <c r="U140" s="2"/>
      <c r="V140" s="7">
        <f t="shared" si="18"/>
        <v>7.1547653644051341E-3</v>
      </c>
      <c r="W140" s="2"/>
      <c r="X140" s="6">
        <f t="shared" si="19"/>
        <v>9370.6798649999691</v>
      </c>
      <c r="Y140" s="2"/>
      <c r="Z140" s="7">
        <f t="shared" si="20"/>
        <v>0.23345765650638595</v>
      </c>
    </row>
    <row r="141" spans="1:26" s="24" customFormat="1" hidden="1" outlineLevel="2" x14ac:dyDescent="0.25">
      <c r="A141" s="29"/>
      <c r="B141" s="11" t="str">
        <f>CONCATENATE("          ", "6116", " - ", "EDUCATIONAL BENEFITS")</f>
        <v xml:space="preserve">          6116 - EDUCATIONAL BENEFITS</v>
      </c>
      <c r="C141" s="11"/>
      <c r="D141" s="6"/>
      <c r="E141" s="2"/>
      <c r="F141" s="7">
        <f t="shared" si="13"/>
        <v>0</v>
      </c>
      <c r="G141" s="2"/>
      <c r="H141" s="6">
        <v>0</v>
      </c>
      <c r="I141" s="2"/>
      <c r="J141" s="7">
        <f t="shared" si="14"/>
        <v>0</v>
      </c>
      <c r="K141" s="2"/>
      <c r="L141" s="6">
        <f t="shared" si="15"/>
        <v>0</v>
      </c>
      <c r="M141" s="2"/>
      <c r="N141" s="7">
        <f t="shared" si="16"/>
        <v>0</v>
      </c>
      <c r="O141" s="11"/>
      <c r="P141" s="6">
        <v>0</v>
      </c>
      <c r="Q141" s="2"/>
      <c r="R141" s="7">
        <f t="shared" si="17"/>
        <v>0</v>
      </c>
      <c r="S141" s="2"/>
      <c r="T141" s="6">
        <v>0</v>
      </c>
      <c r="U141" s="2"/>
      <c r="V141" s="7">
        <f t="shared" si="18"/>
        <v>0</v>
      </c>
      <c r="W141" s="2"/>
      <c r="X141" s="6">
        <f t="shared" si="19"/>
        <v>0</v>
      </c>
      <c r="Y141" s="2"/>
      <c r="Z141" s="7">
        <f t="shared" si="20"/>
        <v>0</v>
      </c>
    </row>
    <row r="142" spans="1:26" s="24" customFormat="1" hidden="1" outlineLevel="2" x14ac:dyDescent="0.25">
      <c r="A142" s="29"/>
      <c r="B142" s="11" t="str">
        <f>CONCATENATE("          ", "6117", " - ", "RETIREMENT STAFF HOURLY")</f>
        <v xml:space="preserve">          6117 - RETIREMENT STAFF HOURLY</v>
      </c>
      <c r="C142" s="11"/>
      <c r="D142" s="6">
        <v>2046.41</v>
      </c>
      <c r="E142" s="2"/>
      <c r="F142" s="7">
        <f t="shared" si="13"/>
        <v>2.2844585540972911E-3</v>
      </c>
      <c r="G142" s="2"/>
      <c r="H142" s="6"/>
      <c r="I142" s="2"/>
      <c r="J142" s="7">
        <f t="shared" si="14"/>
        <v>0</v>
      </c>
      <c r="K142" s="2"/>
      <c r="L142" s="6">
        <f t="shared" si="15"/>
        <v>2046.41</v>
      </c>
      <c r="M142" s="2"/>
      <c r="N142" s="7">
        <f t="shared" si="16"/>
        <v>0</v>
      </c>
      <c r="O142" s="11"/>
      <c r="P142" s="6">
        <v>6616.3</v>
      </c>
      <c r="Q142" s="2"/>
      <c r="R142" s="7">
        <f t="shared" si="17"/>
        <v>1.8462219786326748E-3</v>
      </c>
      <c r="S142" s="2"/>
      <c r="T142" s="6"/>
      <c r="U142" s="2"/>
      <c r="V142" s="7">
        <f t="shared" si="18"/>
        <v>0</v>
      </c>
      <c r="W142" s="2"/>
      <c r="X142" s="6">
        <f t="shared" si="19"/>
        <v>6616.3</v>
      </c>
      <c r="Y142" s="2"/>
      <c r="Z142" s="7">
        <f t="shared" si="20"/>
        <v>0</v>
      </c>
    </row>
    <row r="143" spans="1:26" s="24" customFormat="1" hidden="1" outlineLevel="2" x14ac:dyDescent="0.25">
      <c r="A143" s="29"/>
      <c r="B143" s="11" t="str">
        <f>CONCATENATE("          ", "6118", " - ", "VACATION")</f>
        <v xml:space="preserve">          6118 - VACATION</v>
      </c>
      <c r="C143" s="11"/>
      <c r="D143" s="6">
        <v>15107.470000000001</v>
      </c>
      <c r="E143" s="2"/>
      <c r="F143" s="7">
        <f t="shared" si="13"/>
        <v>1.686484578958674E-2</v>
      </c>
      <c r="G143" s="2"/>
      <c r="H143" s="6">
        <v>12991.104450769239</v>
      </c>
      <c r="I143" s="2"/>
      <c r="J143" s="7">
        <f t="shared" si="14"/>
        <v>6.0532559465127957E-3</v>
      </c>
      <c r="K143" s="2"/>
      <c r="L143" s="6">
        <f t="shared" si="15"/>
        <v>2116.3655492307626</v>
      </c>
      <c r="M143" s="2"/>
      <c r="N143" s="7">
        <f t="shared" si="16"/>
        <v>0.1629088240534812</v>
      </c>
      <c r="O143" s="11"/>
      <c r="P143" s="6">
        <v>44276.85</v>
      </c>
      <c r="Q143" s="2"/>
      <c r="R143" s="7">
        <f t="shared" si="17"/>
        <v>1.2355076646255783E-2</v>
      </c>
      <c r="S143" s="2"/>
      <c r="T143" s="6">
        <v>42306.675715000012</v>
      </c>
      <c r="U143" s="2"/>
      <c r="V143" s="7">
        <f t="shared" si="18"/>
        <v>7.5412149199447229E-3</v>
      </c>
      <c r="W143" s="2"/>
      <c r="X143" s="6">
        <f t="shared" si="19"/>
        <v>1970.1742849999864</v>
      </c>
      <c r="Y143" s="2"/>
      <c r="Z143" s="7">
        <f t="shared" si="20"/>
        <v>4.6568874810020887E-2</v>
      </c>
    </row>
    <row r="144" spans="1:26" s="24" customFormat="1" hidden="1" outlineLevel="2" x14ac:dyDescent="0.25">
      <c r="A144" s="29"/>
      <c r="B144" s="11" t="str">
        <f>CONCATENATE("          ", "6119", " - ", "SICK LEAVE")</f>
        <v xml:space="preserve">          6119 - SICK LEAVE</v>
      </c>
      <c r="C144" s="11"/>
      <c r="D144" s="6">
        <v>10103.620000000001</v>
      </c>
      <c r="E144" s="2"/>
      <c r="F144" s="7">
        <f t="shared" si="13"/>
        <v>1.1278923156331562E-2</v>
      </c>
      <c r="G144" s="2"/>
      <c r="H144" s="6">
        <v>12165.031909230765</v>
      </c>
      <c r="I144" s="2"/>
      <c r="J144" s="7">
        <f t="shared" si="14"/>
        <v>5.6683442137753521E-3</v>
      </c>
      <c r="K144" s="2"/>
      <c r="L144" s="6">
        <f t="shared" si="15"/>
        <v>-2061.4119092307646</v>
      </c>
      <c r="M144" s="2"/>
      <c r="N144" s="7">
        <f t="shared" si="16"/>
        <v>-0.1694538842653241</v>
      </c>
      <c r="O144" s="11"/>
      <c r="P144" s="6">
        <v>30502.739999999998</v>
      </c>
      <c r="Q144" s="2"/>
      <c r="R144" s="7">
        <f t="shared" si="17"/>
        <v>8.5115289507002451E-3</v>
      </c>
      <c r="S144" s="2"/>
      <c r="T144" s="6">
        <v>35926.966164999983</v>
      </c>
      <c r="U144" s="2"/>
      <c r="V144" s="7">
        <f t="shared" si="18"/>
        <v>6.4040241567783276E-3</v>
      </c>
      <c r="W144" s="2"/>
      <c r="X144" s="6">
        <f t="shared" si="19"/>
        <v>-5424.2261649999855</v>
      </c>
      <c r="Y144" s="2"/>
      <c r="Z144" s="7">
        <f t="shared" si="20"/>
        <v>-0.15097924328172918</v>
      </c>
    </row>
    <row r="145" spans="1:26" s="24" customFormat="1" hidden="1" outlineLevel="2" x14ac:dyDescent="0.25">
      <c r="A145" s="29"/>
      <c r="B145" s="11" t="str">
        <f>CONCATENATE("          ", "6156", " - ", "EMPLOYEE MEALS")</f>
        <v xml:space="preserve">          6156 - EMPLOYEE MEALS</v>
      </c>
      <c r="C145" s="11"/>
      <c r="D145" s="6">
        <v>5618.9</v>
      </c>
      <c r="E145" s="2"/>
      <c r="F145" s="7">
        <f t="shared" si="13"/>
        <v>6.2725182977102665E-3</v>
      </c>
      <c r="G145" s="2"/>
      <c r="H145" s="6">
        <v>6350</v>
      </c>
      <c r="I145" s="2"/>
      <c r="J145" s="7">
        <f t="shared" si="14"/>
        <v>2.958807344365569E-3</v>
      </c>
      <c r="K145" s="2"/>
      <c r="L145" s="6">
        <f t="shared" si="15"/>
        <v>-731.10000000000036</v>
      </c>
      <c r="M145" s="2"/>
      <c r="N145" s="7">
        <f t="shared" si="16"/>
        <v>-0.11513385826771659</v>
      </c>
      <c r="O145" s="11"/>
      <c r="P145" s="6">
        <v>14474.53</v>
      </c>
      <c r="Q145" s="2"/>
      <c r="R145" s="7">
        <f t="shared" si="17"/>
        <v>4.0389939114577646E-3</v>
      </c>
      <c r="S145" s="2"/>
      <c r="T145" s="6">
        <v>19050</v>
      </c>
      <c r="U145" s="2"/>
      <c r="V145" s="7">
        <f t="shared" si="18"/>
        <v>3.3956850023555895E-3</v>
      </c>
      <c r="W145" s="2"/>
      <c r="X145" s="6">
        <f t="shared" si="19"/>
        <v>-4575.4699999999993</v>
      </c>
      <c r="Y145" s="2"/>
      <c r="Z145" s="7">
        <f t="shared" si="20"/>
        <v>-0.24018215223097109</v>
      </c>
    </row>
    <row r="146" spans="1:26" s="28" customFormat="1" outlineLevel="1" collapsed="1" x14ac:dyDescent="0.25">
      <c r="A146" s="27"/>
      <c r="B146" s="14" t="str">
        <f>CONCATENATE("     ","*Payroll                                          ")</f>
        <v xml:space="preserve">     *Payroll                                          </v>
      </c>
      <c r="C146" s="14"/>
      <c r="D146" s="1">
        <f>SUM(OSRRefD22_1x_0)</f>
        <v>302225.3</v>
      </c>
      <c r="E146" s="1"/>
      <c r="F146" s="5">
        <f t="shared" ref="F146:F156" si="21">IF(D$12=0,0,D146/D$12)</f>
        <v>0.33738164485592814</v>
      </c>
      <c r="G146" s="1"/>
      <c r="H146" s="1">
        <f>SUM(OSRRefH22_1x_0)</f>
        <v>392469.91352215386</v>
      </c>
      <c r="I146" s="1"/>
      <c r="J146" s="5">
        <f t="shared" ref="J146:J156" si="22">IF(H$12=0,0,H146/H$12)</f>
        <v>0.18287289174360133</v>
      </c>
      <c r="K146" s="1"/>
      <c r="L146" s="1">
        <f t="shared" ref="L146:L156" si="23">+D146-H146</f>
        <v>-90244.613522153872</v>
      </c>
      <c r="M146" s="1"/>
      <c r="N146" s="5">
        <f t="shared" ref="N146:N156" si="24">IF(H146=0,0,L146/H146)</f>
        <v>-0.22994020793153055</v>
      </c>
      <c r="O146" s="14"/>
      <c r="P146" s="1">
        <f>SUM(OSRRefP22_1x_0)</f>
        <v>894308.61999999988</v>
      </c>
      <c r="Q146" s="1"/>
      <c r="R146" s="5">
        <f t="shared" ref="R146:R156" si="25">IF(P$12=0,0,P146/P$12)</f>
        <v>0.2495491785325116</v>
      </c>
      <c r="S146" s="1"/>
      <c r="T146" s="1">
        <f>SUM(OSRRefT22_1x_0)</f>
        <v>1158188.1777620001</v>
      </c>
      <c r="U146" s="1"/>
      <c r="V146" s="5">
        <f t="shared" ref="V146:V156" si="26">IF(T$12=0,0,T146/T$12)</f>
        <v>0.20644841076808257</v>
      </c>
      <c r="W146" s="1"/>
      <c r="X146" s="1">
        <f t="shared" ref="X146:X156" si="27">+P146-T146</f>
        <v>-263879.55776200024</v>
      </c>
      <c r="Y146" s="1"/>
      <c r="Z146" s="5">
        <f t="shared" ref="Z146:Z156" si="28">IF(T146=0,0,X146/T146)</f>
        <v>-0.22783824151262033</v>
      </c>
    </row>
    <row r="147" spans="1:26" s="24" customFormat="1" hidden="1" outlineLevel="2" x14ac:dyDescent="0.25">
      <c r="A147" s="29"/>
      <c r="B147" s="11" t="str">
        <f>CONCATENATE("          ", "6001", " - ", "ADMINISTRATIVE SALARIES")</f>
        <v xml:space="preserve">          6001 - ADMINISTRATIVE SALARIES</v>
      </c>
      <c r="C147" s="11"/>
      <c r="D147" s="6">
        <v>28440.28</v>
      </c>
      <c r="E147" s="2"/>
      <c r="F147" s="7">
        <f t="shared" si="21"/>
        <v>3.1748594331987283E-2</v>
      </c>
      <c r="G147" s="2"/>
      <c r="H147" s="6">
        <v>27028.93076923077</v>
      </c>
      <c r="I147" s="2"/>
      <c r="J147" s="7">
        <f t="shared" si="22"/>
        <v>1.2594236042574567E-2</v>
      </c>
      <c r="K147" s="2"/>
      <c r="L147" s="6">
        <f t="shared" si="23"/>
        <v>1411.3492307692286</v>
      </c>
      <c r="M147" s="2"/>
      <c r="N147" s="7">
        <f t="shared" si="24"/>
        <v>5.2216243506601534E-2</v>
      </c>
      <c r="O147" s="11"/>
      <c r="P147" s="6">
        <v>85487.180000000008</v>
      </c>
      <c r="Q147" s="2"/>
      <c r="R147" s="7">
        <f t="shared" si="25"/>
        <v>2.3854467089963822E-2</v>
      </c>
      <c r="S147" s="2"/>
      <c r="T147" s="6">
        <v>87844.024999999994</v>
      </c>
      <c r="U147" s="2"/>
      <c r="V147" s="7">
        <f t="shared" si="26"/>
        <v>1.5658301219897607E-2</v>
      </c>
      <c r="W147" s="2"/>
      <c r="X147" s="6">
        <f t="shared" si="27"/>
        <v>-2356.8449999999866</v>
      </c>
      <c r="Y147" s="2"/>
      <c r="Z147" s="7">
        <f t="shared" si="28"/>
        <v>-2.6829883990402155E-2</v>
      </c>
    </row>
    <row r="148" spans="1:26" s="24" customFormat="1" hidden="1" outlineLevel="2" x14ac:dyDescent="0.25">
      <c r="A148" s="29"/>
      <c r="B148" s="11" t="str">
        <f>CONCATENATE("          ", "6002", " - ", "STAFF SALARIES")</f>
        <v xml:space="preserve">          6002 - STAFF SALARIES</v>
      </c>
      <c r="C148" s="11"/>
      <c r="D148" s="6">
        <v>110555.99</v>
      </c>
      <c r="E148" s="2"/>
      <c r="F148" s="7">
        <f t="shared" si="21"/>
        <v>0.12341641072033198</v>
      </c>
      <c r="G148" s="2"/>
      <c r="H148" s="6">
        <v>102115.08893292308</v>
      </c>
      <c r="I148" s="2"/>
      <c r="J148" s="7">
        <f t="shared" si="22"/>
        <v>4.7580925213429298E-2</v>
      </c>
      <c r="K148" s="2"/>
      <c r="L148" s="6">
        <f t="shared" si="23"/>
        <v>8440.9010670769203</v>
      </c>
      <c r="M148" s="2"/>
      <c r="N148" s="7">
        <f t="shared" si="24"/>
        <v>8.2660664112250273E-2</v>
      </c>
      <c r="O148" s="11"/>
      <c r="P148" s="6">
        <v>357011.6</v>
      </c>
      <c r="Q148" s="2"/>
      <c r="R148" s="7">
        <f t="shared" si="25"/>
        <v>9.9621036311354827E-2</v>
      </c>
      <c r="S148" s="2"/>
      <c r="T148" s="6">
        <v>334584.27028200007</v>
      </c>
      <c r="U148" s="2"/>
      <c r="V148" s="7">
        <f t="shared" si="26"/>
        <v>5.9640041397410845E-2</v>
      </c>
      <c r="W148" s="2"/>
      <c r="X148" s="6">
        <f t="shared" si="27"/>
        <v>22427.329717999906</v>
      </c>
      <c r="Y148" s="2"/>
      <c r="Z148" s="7">
        <f t="shared" si="28"/>
        <v>6.7030436604498228E-2</v>
      </c>
    </row>
    <row r="149" spans="1:26" s="24" customFormat="1" hidden="1" outlineLevel="2" x14ac:dyDescent="0.25">
      <c r="A149" s="29"/>
      <c r="B149" s="11" t="str">
        <f>CONCATENATE("          ", "6003", " - ", "STAFF HOURLY-9 MONTH")</f>
        <v xml:space="preserve">          6003 - STAFF HOURLY-9 MONTH</v>
      </c>
      <c r="C149" s="11"/>
      <c r="D149" s="6"/>
      <c r="E149" s="2"/>
      <c r="F149" s="7">
        <f t="shared" si="21"/>
        <v>0</v>
      </c>
      <c r="G149" s="2"/>
      <c r="H149" s="6">
        <v>0</v>
      </c>
      <c r="I149" s="2"/>
      <c r="J149" s="7">
        <f t="shared" si="22"/>
        <v>0</v>
      </c>
      <c r="K149" s="2"/>
      <c r="L149" s="6">
        <f t="shared" si="23"/>
        <v>0</v>
      </c>
      <c r="M149" s="2"/>
      <c r="N149" s="7">
        <f t="shared" si="24"/>
        <v>0</v>
      </c>
      <c r="O149" s="11"/>
      <c r="P149" s="6"/>
      <c r="Q149" s="2"/>
      <c r="R149" s="7">
        <f t="shared" si="25"/>
        <v>0</v>
      </c>
      <c r="S149" s="2"/>
      <c r="T149" s="6">
        <v>0</v>
      </c>
      <c r="U149" s="2"/>
      <c r="V149" s="7">
        <f t="shared" si="26"/>
        <v>0</v>
      </c>
      <c r="W149" s="2"/>
      <c r="X149" s="6">
        <f t="shared" si="27"/>
        <v>0</v>
      </c>
      <c r="Y149" s="2"/>
      <c r="Z149" s="7">
        <f t="shared" si="28"/>
        <v>0</v>
      </c>
    </row>
    <row r="150" spans="1:26" s="24" customFormat="1" hidden="1" outlineLevel="2" x14ac:dyDescent="0.25">
      <c r="A150" s="29"/>
      <c r="B150" s="11" t="str">
        <f>CONCATENATE("          ", "6004", " - ", "STAFF HOURLY")</f>
        <v xml:space="preserve">          6004 - STAFF HOURLY</v>
      </c>
      <c r="C150" s="11"/>
      <c r="D150" s="6">
        <v>71482.58</v>
      </c>
      <c r="E150" s="2"/>
      <c r="F150" s="7">
        <f t="shared" si="21"/>
        <v>7.979778800433146E-2</v>
      </c>
      <c r="G150" s="2"/>
      <c r="H150" s="6">
        <v>109000.81</v>
      </c>
      <c r="I150" s="2"/>
      <c r="J150" s="7">
        <f t="shared" si="22"/>
        <v>5.078935388500723E-2</v>
      </c>
      <c r="K150" s="2"/>
      <c r="L150" s="6">
        <f t="shared" si="23"/>
        <v>-37518.229999999996</v>
      </c>
      <c r="M150" s="2"/>
      <c r="N150" s="7">
        <f t="shared" si="24"/>
        <v>-0.34420138712730663</v>
      </c>
      <c r="O150" s="11"/>
      <c r="P150" s="6">
        <v>190378.37</v>
      </c>
      <c r="Q150" s="2"/>
      <c r="R150" s="7">
        <f t="shared" si="25"/>
        <v>5.3123457362916349E-2</v>
      </c>
      <c r="S150" s="2"/>
      <c r="T150" s="6">
        <v>328548.34999999998</v>
      </c>
      <c r="U150" s="2"/>
      <c r="V150" s="7">
        <f t="shared" si="26"/>
        <v>5.8564131477358262E-2</v>
      </c>
      <c r="W150" s="2"/>
      <c r="X150" s="6">
        <f t="shared" si="27"/>
        <v>-138169.97999999998</v>
      </c>
      <c r="Y150" s="2"/>
      <c r="Z150" s="7">
        <f t="shared" si="28"/>
        <v>-0.42054686928118795</v>
      </c>
    </row>
    <row r="151" spans="1:26" s="24" customFormat="1" hidden="1" outlineLevel="2" x14ac:dyDescent="0.25">
      <c r="A151" s="29"/>
      <c r="B151" s="11" t="str">
        <f>CONCATENATE("          ", "6005", " - ", "TEMPORARY WAGES-HOURLY")</f>
        <v xml:space="preserve">          6005 - TEMPORARY WAGES-HOURLY</v>
      </c>
      <c r="C151" s="11"/>
      <c r="D151" s="6">
        <v>48822.03</v>
      </c>
      <c r="E151" s="2"/>
      <c r="F151" s="7">
        <f t="shared" si="21"/>
        <v>5.4501250512797805E-2</v>
      </c>
      <c r="G151" s="2"/>
      <c r="H151" s="6">
        <v>18624.94382</v>
      </c>
      <c r="I151" s="2"/>
      <c r="J151" s="7">
        <f t="shared" si="22"/>
        <v>8.6783654429940342E-3</v>
      </c>
      <c r="K151" s="2"/>
      <c r="L151" s="6">
        <f t="shared" si="23"/>
        <v>30197.086179999998</v>
      </c>
      <c r="M151" s="2"/>
      <c r="N151" s="7">
        <f t="shared" si="24"/>
        <v>1.6213249538811225</v>
      </c>
      <c r="O151" s="11"/>
      <c r="P151" s="6">
        <v>99463.62999999999</v>
      </c>
      <c r="Q151" s="2"/>
      <c r="R151" s="7">
        <f t="shared" si="25"/>
        <v>2.7754476033521491E-2</v>
      </c>
      <c r="S151" s="2"/>
      <c r="T151" s="6">
        <v>39450.082480000005</v>
      </c>
      <c r="U151" s="2"/>
      <c r="V151" s="7">
        <f t="shared" si="26"/>
        <v>7.0320238015237277E-3</v>
      </c>
      <c r="W151" s="2"/>
      <c r="X151" s="6">
        <f t="shared" si="27"/>
        <v>60013.547519999986</v>
      </c>
      <c r="Y151" s="2"/>
      <c r="Z151" s="7">
        <f t="shared" si="28"/>
        <v>1.5212527768585791</v>
      </c>
    </row>
    <row r="152" spans="1:26" s="24" customFormat="1" hidden="1" outlineLevel="2" x14ac:dyDescent="0.25">
      <c r="A152" s="29"/>
      <c r="B152" s="11" t="str">
        <f>CONCATENATE("          ", "6006", " - ", "TEMPORARY PART TIME")</f>
        <v xml:space="preserve">          6006 - TEMPORARY PART TIME</v>
      </c>
      <c r="C152" s="11"/>
      <c r="D152" s="6">
        <v>1728.86</v>
      </c>
      <c r="E152" s="2"/>
      <c r="F152" s="7">
        <f t="shared" si="21"/>
        <v>1.9299695641814896E-3</v>
      </c>
      <c r="G152" s="2"/>
      <c r="H152" s="6">
        <v>0</v>
      </c>
      <c r="I152" s="2"/>
      <c r="J152" s="7">
        <f t="shared" si="22"/>
        <v>0</v>
      </c>
      <c r="K152" s="2"/>
      <c r="L152" s="6">
        <f t="shared" si="23"/>
        <v>1728.86</v>
      </c>
      <c r="M152" s="2"/>
      <c r="N152" s="7">
        <f t="shared" si="24"/>
        <v>0</v>
      </c>
      <c r="O152" s="11"/>
      <c r="P152" s="6">
        <v>5704.41</v>
      </c>
      <c r="Q152" s="2"/>
      <c r="R152" s="7">
        <f t="shared" si="25"/>
        <v>1.5917668662442778E-3</v>
      </c>
      <c r="S152" s="2"/>
      <c r="T152" s="6">
        <v>0</v>
      </c>
      <c r="U152" s="2"/>
      <c r="V152" s="7">
        <f t="shared" si="26"/>
        <v>0</v>
      </c>
      <c r="W152" s="2"/>
      <c r="X152" s="6">
        <f t="shared" si="27"/>
        <v>5704.41</v>
      </c>
      <c r="Y152" s="2"/>
      <c r="Z152" s="7">
        <f t="shared" si="28"/>
        <v>0</v>
      </c>
    </row>
    <row r="153" spans="1:26" s="24" customFormat="1" hidden="1" outlineLevel="2" x14ac:dyDescent="0.25">
      <c r="A153" s="29"/>
      <c r="B153" s="11" t="str">
        <f>CONCATENATE("          ", "6007", " - ", "STUDENT HOURLY")</f>
        <v xml:space="preserve">          6007 - STUDENT HOURLY</v>
      </c>
      <c r="C153" s="11"/>
      <c r="D153" s="6">
        <v>36210.199999999997</v>
      </c>
      <c r="E153" s="2"/>
      <c r="F153" s="7">
        <f t="shared" si="21"/>
        <v>4.0422349937487466E-2</v>
      </c>
      <c r="G153" s="2"/>
      <c r="H153" s="6">
        <v>0</v>
      </c>
      <c r="I153" s="2"/>
      <c r="J153" s="7">
        <f t="shared" si="22"/>
        <v>0</v>
      </c>
      <c r="K153" s="2"/>
      <c r="L153" s="6">
        <f t="shared" si="23"/>
        <v>36210.199999999997</v>
      </c>
      <c r="M153" s="2"/>
      <c r="N153" s="7">
        <f t="shared" si="24"/>
        <v>0</v>
      </c>
      <c r="O153" s="11"/>
      <c r="P153" s="6">
        <v>150228.71</v>
      </c>
      <c r="Q153" s="2"/>
      <c r="R153" s="7">
        <f t="shared" si="25"/>
        <v>4.1920037819269722E-2</v>
      </c>
      <c r="S153" s="2"/>
      <c r="T153" s="6">
        <v>180176.75</v>
      </c>
      <c r="U153" s="2"/>
      <c r="V153" s="7">
        <f t="shared" si="26"/>
        <v>3.2116718516964432E-2</v>
      </c>
      <c r="W153" s="2"/>
      <c r="X153" s="6">
        <f t="shared" si="27"/>
        <v>-29948.040000000008</v>
      </c>
      <c r="Y153" s="2"/>
      <c r="Z153" s="7">
        <f t="shared" si="28"/>
        <v>-0.1662147863139945</v>
      </c>
    </row>
    <row r="154" spans="1:26" s="24" customFormat="1" hidden="1" outlineLevel="2" x14ac:dyDescent="0.25">
      <c r="A154" s="29"/>
      <c r="B154" s="11" t="str">
        <f>CONCATENATE("          ", "6008", " - ", "STUDENT HOURLY-FICA EXEMPT")</f>
        <v xml:space="preserve">          6008 - STUDENT HOURLY-FICA EXEMPT</v>
      </c>
      <c r="C154" s="11"/>
      <c r="D154" s="6">
        <v>4985.3599999999997</v>
      </c>
      <c r="E154" s="2"/>
      <c r="F154" s="7">
        <f t="shared" si="21"/>
        <v>5.5652817848107026E-3</v>
      </c>
      <c r="G154" s="2"/>
      <c r="H154" s="6">
        <v>135700.14000000001</v>
      </c>
      <c r="I154" s="2"/>
      <c r="J154" s="7">
        <f t="shared" si="22"/>
        <v>6.3230011159596214E-2</v>
      </c>
      <c r="K154" s="2"/>
      <c r="L154" s="6">
        <f t="shared" si="23"/>
        <v>-130714.78000000001</v>
      </c>
      <c r="M154" s="2"/>
      <c r="N154" s="7">
        <f t="shared" si="24"/>
        <v>-0.96326193915496328</v>
      </c>
      <c r="O154" s="11"/>
      <c r="P154" s="6">
        <v>6034.72</v>
      </c>
      <c r="Q154" s="2"/>
      <c r="R154" s="7">
        <f t="shared" si="25"/>
        <v>1.683937049241143E-3</v>
      </c>
      <c r="S154" s="2"/>
      <c r="T154" s="6">
        <v>187584.69999999998</v>
      </c>
      <c r="U154" s="2"/>
      <c r="V154" s="7">
        <f t="shared" si="26"/>
        <v>3.3437194354927688E-2</v>
      </c>
      <c r="W154" s="2"/>
      <c r="X154" s="6">
        <f t="shared" si="27"/>
        <v>-181549.97999999998</v>
      </c>
      <c r="Y154" s="2"/>
      <c r="Z154" s="7">
        <f t="shared" si="28"/>
        <v>-0.96782935921746283</v>
      </c>
    </row>
    <row r="155" spans="1:26" s="24" customFormat="1" hidden="1" outlineLevel="2" x14ac:dyDescent="0.25">
      <c r="A155" s="29"/>
      <c r="B155" s="11" t="str">
        <f>CONCATENATE("          ", "6009", " - ", "TEMPORARY-SEASONAL")</f>
        <v xml:space="preserve">          6009 - TEMPORARY-SEASONAL</v>
      </c>
      <c r="C155" s="11"/>
      <c r="D155" s="6"/>
      <c r="E155" s="2"/>
      <c r="F155" s="7">
        <f t="shared" si="21"/>
        <v>0</v>
      </c>
      <c r="G155" s="2"/>
      <c r="H155" s="6">
        <v>0</v>
      </c>
      <c r="I155" s="2"/>
      <c r="J155" s="7">
        <f t="shared" si="22"/>
        <v>0</v>
      </c>
      <c r="K155" s="2"/>
      <c r="L155" s="6">
        <f t="shared" si="23"/>
        <v>0</v>
      </c>
      <c r="M155" s="2"/>
      <c r="N155" s="7">
        <f t="shared" si="24"/>
        <v>0</v>
      </c>
      <c r="O155" s="11"/>
      <c r="P155" s="6"/>
      <c r="Q155" s="2"/>
      <c r="R155" s="7">
        <f t="shared" si="25"/>
        <v>0</v>
      </c>
      <c r="S155" s="2"/>
      <c r="T155" s="6">
        <v>0</v>
      </c>
      <c r="U155" s="2"/>
      <c r="V155" s="7">
        <f t="shared" si="26"/>
        <v>0</v>
      </c>
      <c r="W155" s="2"/>
      <c r="X155" s="6">
        <f t="shared" si="27"/>
        <v>0</v>
      </c>
      <c r="Y155" s="2"/>
      <c r="Z155" s="7">
        <f t="shared" si="28"/>
        <v>0</v>
      </c>
    </row>
    <row r="156" spans="1:26" s="24" customFormat="1" hidden="1" outlineLevel="2" x14ac:dyDescent="0.25">
      <c r="A156" s="29"/>
      <c r="B156" s="11" t="str">
        <f>CONCATENATE("          ", "6010", " - ", "GRATUITY")</f>
        <v xml:space="preserve">          6010 - GRATUITY</v>
      </c>
      <c r="C156" s="11"/>
      <c r="D156" s="6"/>
      <c r="E156" s="2"/>
      <c r="F156" s="7">
        <f t="shared" si="21"/>
        <v>0</v>
      </c>
      <c r="G156" s="2"/>
      <c r="H156" s="6">
        <v>0</v>
      </c>
      <c r="I156" s="2"/>
      <c r="J156" s="7">
        <f t="shared" si="22"/>
        <v>0</v>
      </c>
      <c r="K156" s="2"/>
      <c r="L156" s="6">
        <f t="shared" si="23"/>
        <v>0</v>
      </c>
      <c r="M156" s="2"/>
      <c r="N156" s="7">
        <f t="shared" si="24"/>
        <v>0</v>
      </c>
      <c r="O156" s="11"/>
      <c r="P156" s="6"/>
      <c r="Q156" s="2"/>
      <c r="R156" s="7">
        <f t="shared" si="25"/>
        <v>0</v>
      </c>
      <c r="S156" s="2"/>
      <c r="T156" s="6">
        <v>0</v>
      </c>
      <c r="U156" s="2"/>
      <c r="V156" s="7">
        <f t="shared" si="26"/>
        <v>0</v>
      </c>
      <c r="W156" s="2"/>
      <c r="X156" s="6">
        <f t="shared" si="27"/>
        <v>0</v>
      </c>
      <c r="Y156" s="2"/>
      <c r="Z156" s="7">
        <f t="shared" si="28"/>
        <v>0</v>
      </c>
    </row>
    <row r="157" spans="1:26" s="28" customFormat="1" outlineLevel="1" collapsed="1" x14ac:dyDescent="0.25">
      <c r="A157" s="27"/>
      <c r="B157" s="14" t="str">
        <f>CONCATENATE("     ","Advertising/Promo                                 ")</f>
        <v xml:space="preserve">     Advertising/Promo                                 </v>
      </c>
      <c r="C157" s="14"/>
      <c r="D157" s="1">
        <f>SUM(OSRRefD22_2x_0)</f>
        <v>441</v>
      </c>
      <c r="E157" s="1"/>
      <c r="F157" s="5">
        <f t="shared" ref="F157:F161" si="29">IF(D$12=0,0,D157/D$12)</f>
        <v>4.9229930578765027E-4</v>
      </c>
      <c r="G157" s="1"/>
      <c r="H157" s="1">
        <f>SUM(OSRRefH22_2x_0)</f>
        <v>2712</v>
      </c>
      <c r="I157" s="1"/>
      <c r="J157" s="5">
        <f t="shared" ref="J157:J161" si="30">IF(H$12=0,0,H157/H$12)</f>
        <v>1.2636670106959721E-3</v>
      </c>
      <c r="K157" s="1"/>
      <c r="L157" s="1">
        <f t="shared" ref="L157:L161" si="31">+D157-H157</f>
        <v>-2271</v>
      </c>
      <c r="M157" s="1"/>
      <c r="N157" s="5">
        <f t="shared" ref="N157:N161" si="32">IF(H157=0,0,L157/H157)</f>
        <v>-0.83738938053097345</v>
      </c>
      <c r="O157" s="14"/>
      <c r="P157" s="1">
        <f>SUM(OSRRefP22_2x_0)</f>
        <v>14167.05</v>
      </c>
      <c r="Q157" s="1"/>
      <c r="R157" s="5">
        <f t="shared" ref="R157:R161" si="33">IF(P$12=0,0,P157/P$12)</f>
        <v>3.9531942448782602E-3</v>
      </c>
      <c r="S157" s="1"/>
      <c r="T157" s="1">
        <f>SUM(OSRRefT22_2x_0)</f>
        <v>10390</v>
      </c>
      <c r="U157" s="1"/>
      <c r="V157" s="5">
        <f t="shared" ref="V157:V161" si="34">IF(T$12=0,0,T157/T$12)</f>
        <v>1.8520297729382978E-3</v>
      </c>
      <c r="W157" s="1"/>
      <c r="X157" s="1">
        <f t="shared" ref="X157:X161" si="35">+P157-T157</f>
        <v>3777.0499999999993</v>
      </c>
      <c r="Y157" s="1"/>
      <c r="Z157" s="5">
        <f t="shared" ref="Z157:Z161" si="36">IF(T157=0,0,X157/T157)</f>
        <v>0.36352743022136663</v>
      </c>
    </row>
    <row r="158" spans="1:26" s="24" customFormat="1" hidden="1" outlineLevel="2" x14ac:dyDescent="0.25">
      <c r="A158" s="29"/>
      <c r="B158" s="11" t="str">
        <f>CONCATENATE("          ", "6362", " - ", "ADVERTISING EXPENSE")</f>
        <v xml:space="preserve">          6362 - ADVERTISING EXPENSE</v>
      </c>
      <c r="C158" s="11"/>
      <c r="D158" s="6">
        <v>441</v>
      </c>
      <c r="E158" s="2"/>
      <c r="F158" s="7">
        <f t="shared" si="29"/>
        <v>4.9229930578765027E-4</v>
      </c>
      <c r="G158" s="2"/>
      <c r="H158" s="6">
        <v>2712</v>
      </c>
      <c r="I158" s="2"/>
      <c r="J158" s="7">
        <f t="shared" si="30"/>
        <v>1.2636670106959721E-3</v>
      </c>
      <c r="K158" s="2"/>
      <c r="L158" s="6">
        <f t="shared" si="31"/>
        <v>-2271</v>
      </c>
      <c r="M158" s="2"/>
      <c r="N158" s="7">
        <f t="shared" si="32"/>
        <v>-0.83738938053097345</v>
      </c>
      <c r="O158" s="11"/>
      <c r="P158" s="6">
        <v>14167.05</v>
      </c>
      <c r="Q158" s="2"/>
      <c r="R158" s="7">
        <f t="shared" si="33"/>
        <v>3.9531942448782602E-3</v>
      </c>
      <c r="S158" s="2"/>
      <c r="T158" s="6">
        <v>10390</v>
      </c>
      <c r="U158" s="2"/>
      <c r="V158" s="7">
        <f t="shared" si="34"/>
        <v>1.8520297729382978E-3</v>
      </c>
      <c r="W158" s="2"/>
      <c r="X158" s="6">
        <f t="shared" si="35"/>
        <v>3777.0499999999993</v>
      </c>
      <c r="Y158" s="2"/>
      <c r="Z158" s="7">
        <f t="shared" si="36"/>
        <v>0.36352743022136663</v>
      </c>
    </row>
    <row r="159" spans="1:26" s="28" customFormat="1" outlineLevel="1" collapsed="1" x14ac:dyDescent="0.25">
      <c r="A159" s="27"/>
      <c r="B159" s="14" t="str">
        <f>CONCATENATE("     ","Bad Debts/Over/Short                              ")</f>
        <v xml:space="preserve">     Bad Debts/Over/Short                              </v>
      </c>
      <c r="C159" s="14"/>
      <c r="D159" s="1">
        <f>SUM(OSRRefD22_3x_0)</f>
        <v>-155.86000000000001</v>
      </c>
      <c r="E159" s="1"/>
      <c r="F159" s="5">
        <f t="shared" si="29"/>
        <v>-1.7399040770989382E-4</v>
      </c>
      <c r="G159" s="1"/>
      <c r="H159" s="1">
        <f>SUM(OSRRefH22_3x_0)</f>
        <v>154</v>
      </c>
      <c r="I159" s="1"/>
      <c r="J159" s="5">
        <f t="shared" si="30"/>
        <v>7.1756902524771276E-5</v>
      </c>
      <c r="K159" s="1"/>
      <c r="L159" s="1">
        <f t="shared" si="31"/>
        <v>-309.86</v>
      </c>
      <c r="M159" s="1"/>
      <c r="N159" s="5">
        <f t="shared" si="32"/>
        <v>-2.0120779220779221</v>
      </c>
      <c r="O159" s="14"/>
      <c r="P159" s="1">
        <f>SUM(OSRRefP22_3x_0)</f>
        <v>-48.46</v>
      </c>
      <c r="Q159" s="1"/>
      <c r="R159" s="5">
        <f t="shared" si="33"/>
        <v>-1.3522348908686035E-5</v>
      </c>
      <c r="S159" s="1"/>
      <c r="T159" s="1">
        <f>SUM(OSRRefT22_3x_0)</f>
        <v>455</v>
      </c>
      <c r="U159" s="1"/>
      <c r="V159" s="5">
        <f t="shared" si="34"/>
        <v>8.1104287457836914E-5</v>
      </c>
      <c r="W159" s="1"/>
      <c r="X159" s="1">
        <f t="shared" si="35"/>
        <v>-503.46</v>
      </c>
      <c r="Y159" s="1"/>
      <c r="Z159" s="5">
        <f t="shared" si="36"/>
        <v>-1.1065054945054944</v>
      </c>
    </row>
    <row r="160" spans="1:26" s="24" customFormat="1" hidden="1" outlineLevel="2" x14ac:dyDescent="0.25">
      <c r="A160" s="29"/>
      <c r="B160" s="11" t="str">
        <f>CONCATENATE("          ", "6272", " - ", "CASH (OVER/SHORT)")</f>
        <v xml:space="preserve">          6272 - CASH (OVER/SHORT)</v>
      </c>
      <c r="C160" s="11"/>
      <c r="D160" s="6">
        <v>-155.86000000000001</v>
      </c>
      <c r="E160" s="2"/>
      <c r="F160" s="7">
        <f t="shared" si="29"/>
        <v>-1.7399040770989382E-4</v>
      </c>
      <c r="G160" s="2"/>
      <c r="H160" s="6">
        <v>104</v>
      </c>
      <c r="I160" s="2"/>
      <c r="J160" s="7">
        <f t="shared" si="30"/>
        <v>4.8459206899845534E-5</v>
      </c>
      <c r="K160" s="2"/>
      <c r="L160" s="6">
        <f t="shared" si="31"/>
        <v>-259.86</v>
      </c>
      <c r="M160" s="2"/>
      <c r="N160" s="7">
        <f t="shared" si="32"/>
        <v>-2.4986538461538461</v>
      </c>
      <c r="O160" s="11"/>
      <c r="P160" s="6">
        <v>-48.46</v>
      </c>
      <c r="Q160" s="2"/>
      <c r="R160" s="7">
        <f t="shared" si="33"/>
        <v>-1.3522348908686035E-5</v>
      </c>
      <c r="S160" s="2"/>
      <c r="T160" s="6">
        <v>305</v>
      </c>
      <c r="U160" s="2"/>
      <c r="V160" s="7">
        <f t="shared" si="34"/>
        <v>5.4366610273934632E-5</v>
      </c>
      <c r="W160" s="2"/>
      <c r="X160" s="6">
        <f t="shared" si="35"/>
        <v>-353.46</v>
      </c>
      <c r="Y160" s="2"/>
      <c r="Z160" s="7">
        <f t="shared" si="36"/>
        <v>-1.1588852459016392</v>
      </c>
    </row>
    <row r="161" spans="1:26" s="24" customFormat="1" hidden="1" outlineLevel="2" x14ac:dyDescent="0.25">
      <c r="A161" s="29"/>
      <c r="B161" s="11" t="str">
        <f>CONCATENATE("          ", "6342", " - ", "BAD DEBT")</f>
        <v xml:space="preserve">          6342 - BAD DEBT</v>
      </c>
      <c r="C161" s="11"/>
      <c r="D161" s="6"/>
      <c r="E161" s="2"/>
      <c r="F161" s="7">
        <f t="shared" si="29"/>
        <v>0</v>
      </c>
      <c r="G161" s="2"/>
      <c r="H161" s="6">
        <v>50</v>
      </c>
      <c r="I161" s="2"/>
      <c r="J161" s="7">
        <f t="shared" si="30"/>
        <v>2.3297695624925738E-5</v>
      </c>
      <c r="K161" s="2"/>
      <c r="L161" s="6">
        <f t="shared" si="31"/>
        <v>-50</v>
      </c>
      <c r="M161" s="2"/>
      <c r="N161" s="7">
        <f t="shared" si="32"/>
        <v>-1</v>
      </c>
      <c r="O161" s="11"/>
      <c r="P161" s="6"/>
      <c r="Q161" s="2"/>
      <c r="R161" s="7">
        <f t="shared" si="33"/>
        <v>0</v>
      </c>
      <c r="S161" s="2"/>
      <c r="T161" s="6">
        <v>150</v>
      </c>
      <c r="U161" s="2"/>
      <c r="V161" s="7">
        <f t="shared" si="34"/>
        <v>2.6737677183902278E-5</v>
      </c>
      <c r="W161" s="2"/>
      <c r="X161" s="6">
        <f t="shared" si="35"/>
        <v>-150</v>
      </c>
      <c r="Y161" s="2"/>
      <c r="Z161" s="7">
        <f t="shared" si="36"/>
        <v>-1</v>
      </c>
    </row>
    <row r="162" spans="1:26" s="28" customFormat="1" outlineLevel="1" collapsed="1" x14ac:dyDescent="0.25">
      <c r="A162" s="27"/>
      <c r="B162" s="14" t="str">
        <f>CONCATENATE("     ","Bank/card Fees                                    ")</f>
        <v xml:space="preserve">     Bank/card Fees                                    </v>
      </c>
      <c r="C162" s="14"/>
      <c r="D162" s="1">
        <f>SUM(OSRRefD22_4x_0)</f>
        <v>9747.83</v>
      </c>
      <c r="E162" s="1"/>
      <c r="F162" s="5">
        <f t="shared" ref="F162:F167" si="37">IF(D$12=0,0,D162/D$12)</f>
        <v>1.0881745900081702E-2</v>
      </c>
      <c r="G162" s="1"/>
      <c r="H162" s="1">
        <f>SUM(OSRRefH22_4x_0)</f>
        <v>43643</v>
      </c>
      <c r="I162" s="1"/>
      <c r="J162" s="5">
        <f t="shared" ref="J162:J167" si="38">IF(H$12=0,0,H162/H$12)</f>
        <v>2.0335626603172681E-2</v>
      </c>
      <c r="K162" s="1"/>
      <c r="L162" s="1">
        <f t="shared" ref="L162:L167" si="39">+D162-H162</f>
        <v>-33895.17</v>
      </c>
      <c r="M162" s="1"/>
      <c r="N162" s="5">
        <f t="shared" ref="N162:N167" si="40">IF(H162=0,0,L162/H162)</f>
        <v>-0.77664619755745479</v>
      </c>
      <c r="O162" s="14"/>
      <c r="P162" s="1">
        <f>SUM(OSRRefP22_4x_0)</f>
        <v>36051.699999999997</v>
      </c>
      <c r="Q162" s="1"/>
      <c r="R162" s="5">
        <f t="shared" ref="R162:R167" si="41">IF(P$12=0,0,P162/P$12)</f>
        <v>1.0059918822766741E-2</v>
      </c>
      <c r="S162" s="1"/>
      <c r="T162" s="1">
        <f>SUM(OSRRefT22_4x_0)</f>
        <v>89788</v>
      </c>
      <c r="U162" s="1"/>
      <c r="V162" s="5">
        <f t="shared" ref="V162:V167" si="42">IF(T$12=0,0,T162/T$12)</f>
        <v>1.6004817059921451E-2</v>
      </c>
      <c r="W162" s="1"/>
      <c r="X162" s="1">
        <f t="shared" ref="X162:X167" si="43">+P162-T162</f>
        <v>-53736.3</v>
      </c>
      <c r="Y162" s="1"/>
      <c r="Z162" s="5">
        <f t="shared" ref="Z162:Z167" si="44">IF(T162=0,0,X162/T162)</f>
        <v>-0.5984797523054306</v>
      </c>
    </row>
    <row r="163" spans="1:26" s="24" customFormat="1" hidden="1" outlineLevel="2" x14ac:dyDescent="0.25">
      <c r="A163" s="29"/>
      <c r="B163" s="11" t="str">
        <f>CONCATENATE("          ", "6381", " - ", "BANK/CREDIT CARD FEES")</f>
        <v xml:space="preserve">          6381 - BANK/CREDIT CARD FEES</v>
      </c>
      <c r="C163" s="11"/>
      <c r="D163" s="6">
        <v>9747.83</v>
      </c>
      <c r="E163" s="2"/>
      <c r="F163" s="7">
        <f t="shared" si="37"/>
        <v>1.0881745900081702E-2</v>
      </c>
      <c r="G163" s="2"/>
      <c r="H163" s="6">
        <v>43643</v>
      </c>
      <c r="I163" s="2"/>
      <c r="J163" s="7">
        <f t="shared" si="38"/>
        <v>2.0335626603172681E-2</v>
      </c>
      <c r="K163" s="2"/>
      <c r="L163" s="6">
        <f t="shared" si="39"/>
        <v>-33895.17</v>
      </c>
      <c r="M163" s="2"/>
      <c r="N163" s="7">
        <f t="shared" si="40"/>
        <v>-0.77664619755745479</v>
      </c>
      <c r="O163" s="11"/>
      <c r="P163" s="6">
        <v>36051.699999999997</v>
      </c>
      <c r="Q163" s="2"/>
      <c r="R163" s="7">
        <f t="shared" si="41"/>
        <v>1.0059918822766741E-2</v>
      </c>
      <c r="S163" s="2"/>
      <c r="T163" s="6">
        <v>89788</v>
      </c>
      <c r="U163" s="2"/>
      <c r="V163" s="7">
        <f t="shared" si="42"/>
        <v>1.6004817059921451E-2</v>
      </c>
      <c r="W163" s="2"/>
      <c r="X163" s="6">
        <f t="shared" si="43"/>
        <v>-53736.3</v>
      </c>
      <c r="Y163" s="2"/>
      <c r="Z163" s="7">
        <f t="shared" si="44"/>
        <v>-0.5984797523054306</v>
      </c>
    </row>
    <row r="164" spans="1:26" s="28" customFormat="1" outlineLevel="1" collapsed="1" x14ac:dyDescent="0.25">
      <c r="A164" s="27"/>
      <c r="B164" s="14" t="str">
        <f>CONCATENATE("     ","Depreciation                                      ")</f>
        <v xml:space="preserve">     Depreciation                                      </v>
      </c>
      <c r="C164" s="14"/>
      <c r="D164" s="1">
        <f>SUM(OSRRefD22_5x_0)</f>
        <v>79051.19</v>
      </c>
      <c r="E164" s="1"/>
      <c r="F164" s="5">
        <f t="shared" si="37"/>
        <v>8.8246816232851785E-2</v>
      </c>
      <c r="G164" s="1"/>
      <c r="H164" s="1">
        <f>SUM(OSRRefH22_5x_0)</f>
        <v>78384</v>
      </c>
      <c r="I164" s="1"/>
      <c r="J164" s="5">
        <f t="shared" si="38"/>
        <v>3.652333147728358E-2</v>
      </c>
      <c r="K164" s="1"/>
      <c r="L164" s="1">
        <f t="shared" si="39"/>
        <v>667.19000000000233</v>
      </c>
      <c r="M164" s="1"/>
      <c r="N164" s="5">
        <f t="shared" si="40"/>
        <v>8.5118136354358324E-3</v>
      </c>
      <c r="O164" s="14"/>
      <c r="P164" s="1">
        <f>SUM(OSRRefP22_5x_0)</f>
        <v>235546.03000000003</v>
      </c>
      <c r="Q164" s="1"/>
      <c r="R164" s="5">
        <f t="shared" si="41"/>
        <v>6.5727106927689405E-2</v>
      </c>
      <c r="S164" s="1"/>
      <c r="T164" s="1">
        <f>SUM(OSRRefT22_5x_0)</f>
        <v>235152</v>
      </c>
      <c r="U164" s="1"/>
      <c r="V164" s="5">
        <f t="shared" si="42"/>
        <v>4.1916121767659922E-2</v>
      </c>
      <c r="W164" s="1"/>
      <c r="X164" s="1">
        <f t="shared" si="43"/>
        <v>394.03000000002794</v>
      </c>
      <c r="Y164" s="1"/>
      <c r="Z164" s="5">
        <f t="shared" si="44"/>
        <v>1.6756395863102502E-3</v>
      </c>
    </row>
    <row r="165" spans="1:26" s="24" customFormat="1" hidden="1" outlineLevel="2" x14ac:dyDescent="0.25">
      <c r="A165" s="29"/>
      <c r="B165" s="11" t="str">
        <f>CONCATENATE("          ", "6321", " - ", "BUILDING DEPRECIATION")</f>
        <v xml:space="preserve">          6321 - BUILDING DEPRECIATION</v>
      </c>
      <c r="C165" s="11"/>
      <c r="D165" s="6">
        <v>45321.91</v>
      </c>
      <c r="E165" s="2"/>
      <c r="F165" s="7">
        <f t="shared" si="37"/>
        <v>5.059397920628201E-2</v>
      </c>
      <c r="G165" s="2"/>
      <c r="H165" s="6"/>
      <c r="I165" s="2"/>
      <c r="J165" s="7">
        <f t="shared" si="38"/>
        <v>0</v>
      </c>
      <c r="K165" s="2"/>
      <c r="L165" s="6">
        <f t="shared" si="39"/>
        <v>45321.91</v>
      </c>
      <c r="M165" s="2"/>
      <c r="N165" s="7">
        <f t="shared" si="40"/>
        <v>0</v>
      </c>
      <c r="O165" s="11"/>
      <c r="P165" s="6">
        <v>135965.75</v>
      </c>
      <c r="Q165" s="2"/>
      <c r="R165" s="7">
        <f t="shared" si="41"/>
        <v>3.7940080708443631E-2</v>
      </c>
      <c r="S165" s="2"/>
      <c r="T165" s="6"/>
      <c r="U165" s="2"/>
      <c r="V165" s="7">
        <f t="shared" si="42"/>
        <v>0</v>
      </c>
      <c r="W165" s="2"/>
      <c r="X165" s="6">
        <f t="shared" si="43"/>
        <v>135965.75</v>
      </c>
      <c r="Y165" s="2"/>
      <c r="Z165" s="7">
        <f t="shared" si="44"/>
        <v>0</v>
      </c>
    </row>
    <row r="166" spans="1:26" s="24" customFormat="1" hidden="1" outlineLevel="2" x14ac:dyDescent="0.25">
      <c r="A166" s="29"/>
      <c r="B166" s="11" t="str">
        <f>CONCATENATE("          ", "6322", " - ", "EQUIPMENT DEPRECIATION EXPENSE")</f>
        <v xml:space="preserve">          6322 - EQUIPMENT DEPRECIATION EXPENSE</v>
      </c>
      <c r="C166" s="11"/>
      <c r="D166" s="6">
        <v>33729.279999999999</v>
      </c>
      <c r="E166" s="2"/>
      <c r="F166" s="7">
        <f t="shared" si="37"/>
        <v>3.7652837026569783E-2</v>
      </c>
      <c r="G166" s="2"/>
      <c r="H166" s="6">
        <v>77834</v>
      </c>
      <c r="I166" s="2"/>
      <c r="J166" s="7">
        <f t="shared" si="38"/>
        <v>3.6267056825409399E-2</v>
      </c>
      <c r="K166" s="2"/>
      <c r="L166" s="6">
        <f t="shared" si="39"/>
        <v>-44104.72</v>
      </c>
      <c r="M166" s="2"/>
      <c r="N166" s="7">
        <f t="shared" si="40"/>
        <v>-0.56665107793509262</v>
      </c>
      <c r="O166" s="11"/>
      <c r="P166" s="6">
        <v>99580.280000000013</v>
      </c>
      <c r="Q166" s="2"/>
      <c r="R166" s="7">
        <f t="shared" si="41"/>
        <v>2.778702621924577E-2</v>
      </c>
      <c r="S166" s="2"/>
      <c r="T166" s="6">
        <v>233502</v>
      </c>
      <c r="U166" s="2"/>
      <c r="V166" s="7">
        <f t="shared" si="42"/>
        <v>4.1622007318637001E-2</v>
      </c>
      <c r="W166" s="2"/>
      <c r="X166" s="6">
        <f t="shared" si="43"/>
        <v>-133921.71999999997</v>
      </c>
      <c r="Y166" s="2"/>
      <c r="Z166" s="7">
        <f t="shared" si="44"/>
        <v>-0.57353564423431047</v>
      </c>
    </row>
    <row r="167" spans="1:26" s="24" customFormat="1" hidden="1" outlineLevel="2" x14ac:dyDescent="0.25">
      <c r="A167" s="29"/>
      <c r="B167" s="11" t="str">
        <f>CONCATENATE("          ", "6326", " - ", "VEHICLES DEPRECIATION EXPENSE")</f>
        <v xml:space="preserve">          6326 - VEHICLES DEPRECIATION EXPENSE</v>
      </c>
      <c r="C167" s="11"/>
      <c r="D167" s="6"/>
      <c r="E167" s="2"/>
      <c r="F167" s="7">
        <f t="shared" si="37"/>
        <v>0</v>
      </c>
      <c r="G167" s="2"/>
      <c r="H167" s="6">
        <v>550</v>
      </c>
      <c r="I167" s="2"/>
      <c r="J167" s="7">
        <f t="shared" si="38"/>
        <v>2.5627465187418313E-4</v>
      </c>
      <c r="K167" s="2"/>
      <c r="L167" s="6">
        <f t="shared" si="39"/>
        <v>-550</v>
      </c>
      <c r="M167" s="2"/>
      <c r="N167" s="7">
        <f t="shared" si="40"/>
        <v>-1</v>
      </c>
      <c r="O167" s="11"/>
      <c r="P167" s="6"/>
      <c r="Q167" s="2"/>
      <c r="R167" s="7">
        <f t="shared" si="41"/>
        <v>0</v>
      </c>
      <c r="S167" s="2"/>
      <c r="T167" s="6">
        <v>1650</v>
      </c>
      <c r="U167" s="2"/>
      <c r="V167" s="7">
        <f t="shared" si="42"/>
        <v>2.9411444902292507E-4</v>
      </c>
      <c r="W167" s="2"/>
      <c r="X167" s="6">
        <f t="shared" si="43"/>
        <v>-1650</v>
      </c>
      <c r="Y167" s="2"/>
      <c r="Z167" s="7">
        <f t="shared" si="44"/>
        <v>-1</v>
      </c>
    </row>
    <row r="168" spans="1:26" s="28" customFormat="1" outlineLevel="1" collapsed="1" x14ac:dyDescent="0.25">
      <c r="A168" s="27"/>
      <c r="B168" s="14" t="str">
        <f>CONCATENATE("     ","Discounts and Markdowns                           ")</f>
        <v xml:space="preserve">     Discounts and Markdowns                           </v>
      </c>
      <c r="C168" s="14"/>
      <c r="D168" s="1">
        <f>SUM(OSRRefD22_6x_0)</f>
        <v>830.95</v>
      </c>
      <c r="E168" s="1"/>
      <c r="F168" s="5">
        <f t="shared" ref="F168:F172" si="45">IF(D$12=0,0,D168/D$12)</f>
        <v>9.2761022254931518E-4</v>
      </c>
      <c r="G168" s="1"/>
      <c r="H168" s="1">
        <f>SUM(OSRRefH22_6x_0)</f>
        <v>32776</v>
      </c>
      <c r="I168" s="1"/>
      <c r="J168" s="5">
        <f t="shared" ref="J168:J172" si="46">IF(H$12=0,0,H168/H$12)</f>
        <v>1.5272105436051319E-2</v>
      </c>
      <c r="K168" s="1"/>
      <c r="L168" s="1">
        <f t="shared" ref="L168:L172" si="47">+D168-H168</f>
        <v>-31945.05</v>
      </c>
      <c r="M168" s="1"/>
      <c r="N168" s="5">
        <f t="shared" ref="N168:N172" si="48">IF(H168=0,0,L168/H168)</f>
        <v>-0.97464760800585792</v>
      </c>
      <c r="O168" s="14"/>
      <c r="P168" s="1">
        <f>SUM(OSRRefP22_6x_0)</f>
        <v>830.95</v>
      </c>
      <c r="Q168" s="1"/>
      <c r="R168" s="5">
        <f t="shared" ref="R168:R172" si="49">IF(P$12=0,0,P168/P$12)</f>
        <v>2.3186949702172228E-4</v>
      </c>
      <c r="S168" s="1"/>
      <c r="T168" s="1">
        <f>SUM(OSRRefT22_6x_0)</f>
        <v>98724</v>
      </c>
      <c r="U168" s="1"/>
      <c r="V168" s="5">
        <f t="shared" ref="V168:V172" si="50">IF(T$12=0,0,T168/T$12)</f>
        <v>1.7597669615357123E-2</v>
      </c>
      <c r="W168" s="1"/>
      <c r="X168" s="1">
        <f t="shared" ref="X168:X172" si="51">+P168-T168</f>
        <v>-97893.05</v>
      </c>
      <c r="Y168" s="1"/>
      <c r="Z168" s="5">
        <f t="shared" ref="Z168:Z172" si="52">IF(T168=0,0,X168/T168)</f>
        <v>-0.99158310036060127</v>
      </c>
    </row>
    <row r="169" spans="1:26" s="24" customFormat="1" hidden="1" outlineLevel="2" x14ac:dyDescent="0.25">
      <c r="A169" s="29"/>
      <c r="B169" s="11" t="str">
        <f>CONCATENATE("          ", "6382", " - ", "DISCOUNTS/MARK DOWNS")</f>
        <v xml:space="preserve">          6382 - DISCOUNTS/MARK DOWNS</v>
      </c>
      <c r="C169" s="11"/>
      <c r="D169" s="6">
        <v>830.95</v>
      </c>
      <c r="E169" s="2"/>
      <c r="F169" s="7">
        <f t="shared" si="45"/>
        <v>9.2761022254931518E-4</v>
      </c>
      <c r="G169" s="2"/>
      <c r="H169" s="6">
        <v>32776</v>
      </c>
      <c r="I169" s="2"/>
      <c r="J169" s="7">
        <f t="shared" si="46"/>
        <v>1.5272105436051319E-2</v>
      </c>
      <c r="K169" s="2"/>
      <c r="L169" s="6">
        <f t="shared" si="47"/>
        <v>-31945.05</v>
      </c>
      <c r="M169" s="2"/>
      <c r="N169" s="7">
        <f t="shared" si="48"/>
        <v>-0.97464760800585792</v>
      </c>
      <c r="O169" s="11"/>
      <c r="P169" s="6">
        <v>830.95</v>
      </c>
      <c r="Q169" s="2"/>
      <c r="R169" s="7">
        <f t="shared" si="49"/>
        <v>2.3186949702172228E-4</v>
      </c>
      <c r="S169" s="2"/>
      <c r="T169" s="6">
        <v>98724</v>
      </c>
      <c r="U169" s="2"/>
      <c r="V169" s="7">
        <f t="shared" si="50"/>
        <v>1.7597669615357123E-2</v>
      </c>
      <c r="W169" s="2"/>
      <c r="X169" s="6">
        <f t="shared" si="51"/>
        <v>-97893.05</v>
      </c>
      <c r="Y169" s="2"/>
      <c r="Z169" s="7">
        <f t="shared" si="52"/>
        <v>-0.99158310036060127</v>
      </c>
    </row>
    <row r="170" spans="1:26" s="28" customFormat="1" outlineLevel="1" collapsed="1" x14ac:dyDescent="0.25">
      <c r="A170" s="27"/>
      <c r="B170" s="14" t="str">
        <f>CONCATENATE("     ","Donations                                         ")</f>
        <v xml:space="preserve">     Donations                                         </v>
      </c>
      <c r="C170" s="14"/>
      <c r="D170" s="1">
        <f>SUM(OSRRefD22_7x_0)</f>
        <v>8888.07</v>
      </c>
      <c r="E170" s="1"/>
      <c r="F170" s="5">
        <f t="shared" si="45"/>
        <v>9.9219743555375058E-3</v>
      </c>
      <c r="G170" s="1"/>
      <c r="H170" s="1">
        <f>SUM(OSRRefH22_7x_0)</f>
        <v>14773</v>
      </c>
      <c r="I170" s="1"/>
      <c r="J170" s="5">
        <f t="shared" si="46"/>
        <v>6.8835371493405585E-3</v>
      </c>
      <c r="K170" s="1"/>
      <c r="L170" s="1">
        <f t="shared" si="47"/>
        <v>-5884.93</v>
      </c>
      <c r="M170" s="1"/>
      <c r="N170" s="5">
        <f t="shared" si="48"/>
        <v>-0.39835713802206729</v>
      </c>
      <c r="O170" s="14"/>
      <c r="P170" s="1">
        <f>SUM(OSRRefP22_7x_0)</f>
        <v>11110.09</v>
      </c>
      <c r="Q170" s="1"/>
      <c r="R170" s="5">
        <f t="shared" si="49"/>
        <v>3.1001756786401906E-3</v>
      </c>
      <c r="S170" s="1"/>
      <c r="T170" s="1">
        <f>SUM(OSRRefT22_7x_0)</f>
        <v>27546</v>
      </c>
      <c r="U170" s="1"/>
      <c r="V170" s="5">
        <f t="shared" si="50"/>
        <v>4.9101070380518147E-3</v>
      </c>
      <c r="W170" s="1"/>
      <c r="X170" s="1">
        <f t="shared" si="51"/>
        <v>-16435.91</v>
      </c>
      <c r="Y170" s="1"/>
      <c r="Z170" s="5">
        <f t="shared" si="52"/>
        <v>-0.59667138604516079</v>
      </c>
    </row>
    <row r="171" spans="1:26" s="24" customFormat="1" hidden="1" outlineLevel="2" x14ac:dyDescent="0.25">
      <c r="A171" s="29"/>
      <c r="B171" s="11" t="str">
        <f>CONCATENATE("          ", "6395", " - ", "DONATION-OFF CAMPUS")</f>
        <v xml:space="preserve">          6395 - DONATION-OFF CAMPUS</v>
      </c>
      <c r="C171" s="11"/>
      <c r="D171" s="6"/>
      <c r="E171" s="2"/>
      <c r="F171" s="7">
        <f t="shared" si="45"/>
        <v>0</v>
      </c>
      <c r="G171" s="2"/>
      <c r="H171" s="6"/>
      <c r="I171" s="2"/>
      <c r="J171" s="7">
        <f t="shared" si="46"/>
        <v>0</v>
      </c>
      <c r="K171" s="2"/>
      <c r="L171" s="6">
        <f t="shared" si="47"/>
        <v>0</v>
      </c>
      <c r="M171" s="2"/>
      <c r="N171" s="7">
        <f t="shared" si="48"/>
        <v>0</v>
      </c>
      <c r="O171" s="11"/>
      <c r="P171" s="6"/>
      <c r="Q171" s="2"/>
      <c r="R171" s="7">
        <f t="shared" si="49"/>
        <v>0</v>
      </c>
      <c r="S171" s="2"/>
      <c r="T171" s="6">
        <v>0</v>
      </c>
      <c r="U171" s="2"/>
      <c r="V171" s="7">
        <f t="shared" si="50"/>
        <v>0</v>
      </c>
      <c r="W171" s="2"/>
      <c r="X171" s="6">
        <f t="shared" si="51"/>
        <v>0</v>
      </c>
      <c r="Y171" s="2"/>
      <c r="Z171" s="7">
        <f t="shared" si="52"/>
        <v>0</v>
      </c>
    </row>
    <row r="172" spans="1:26" s="24" customFormat="1" hidden="1" outlineLevel="2" x14ac:dyDescent="0.25">
      <c r="A172" s="29"/>
      <c r="B172" s="11" t="str">
        <f>CONCATENATE("          ", "6399", " - ", "DONATION-ON CAMPUS")</f>
        <v xml:space="preserve">          6399 - DONATION-ON CAMPUS</v>
      </c>
      <c r="C172" s="11"/>
      <c r="D172" s="6">
        <v>8888.07</v>
      </c>
      <c r="E172" s="2"/>
      <c r="F172" s="7">
        <f t="shared" si="45"/>
        <v>9.9219743555375058E-3</v>
      </c>
      <c r="G172" s="2"/>
      <c r="H172" s="6">
        <v>14773</v>
      </c>
      <c r="I172" s="2"/>
      <c r="J172" s="7">
        <f t="shared" si="46"/>
        <v>6.8835371493405585E-3</v>
      </c>
      <c r="K172" s="2"/>
      <c r="L172" s="6">
        <f t="shared" si="47"/>
        <v>-5884.93</v>
      </c>
      <c r="M172" s="2"/>
      <c r="N172" s="7">
        <f t="shared" si="48"/>
        <v>-0.39835713802206729</v>
      </c>
      <c r="O172" s="11"/>
      <c r="P172" s="6">
        <v>11110.09</v>
      </c>
      <c r="Q172" s="2"/>
      <c r="R172" s="7">
        <f t="shared" si="49"/>
        <v>3.1001756786401906E-3</v>
      </c>
      <c r="S172" s="2"/>
      <c r="T172" s="6">
        <v>27546</v>
      </c>
      <c r="U172" s="2"/>
      <c r="V172" s="7">
        <f t="shared" si="50"/>
        <v>4.9101070380518147E-3</v>
      </c>
      <c r="W172" s="2"/>
      <c r="X172" s="6">
        <f t="shared" si="51"/>
        <v>-16435.91</v>
      </c>
      <c r="Y172" s="2"/>
      <c r="Z172" s="7">
        <f t="shared" si="52"/>
        <v>-0.59667138604516079</v>
      </c>
    </row>
    <row r="173" spans="1:26" s="28" customFormat="1" outlineLevel="1" collapsed="1" x14ac:dyDescent="0.25">
      <c r="A173" s="27"/>
      <c r="B173" s="14" t="str">
        <f>CONCATENATE("     ","Employees' Appreciation                           ")</f>
        <v xml:space="preserve">     Employees' Appreciation                           </v>
      </c>
      <c r="C173" s="14"/>
      <c r="D173" s="1">
        <f>SUM(OSRRefD22_8x_0)</f>
        <v>0</v>
      </c>
      <c r="E173" s="1"/>
      <c r="F173" s="5">
        <f t="shared" ref="F173:F179" si="53">IF(D$12=0,0,D173/D$12)</f>
        <v>0</v>
      </c>
      <c r="G173" s="1"/>
      <c r="H173" s="1">
        <f>SUM(OSRRefH22_8x_0)</f>
        <v>740</v>
      </c>
      <c r="I173" s="1"/>
      <c r="J173" s="5">
        <f t="shared" ref="J173:J179" si="54">IF(H$12=0,0,H173/H$12)</f>
        <v>3.4480589524890095E-4</v>
      </c>
      <c r="K173" s="1"/>
      <c r="L173" s="1">
        <f t="shared" ref="L173:L179" si="55">+D173-H173</f>
        <v>-740</v>
      </c>
      <c r="M173" s="1"/>
      <c r="N173" s="5">
        <f t="shared" ref="N173:N179" si="56">IF(H173=0,0,L173/H173)</f>
        <v>-1</v>
      </c>
      <c r="O173" s="14"/>
      <c r="P173" s="1">
        <f>SUM(OSRRefP22_8x_0)</f>
        <v>107.7</v>
      </c>
      <c r="Q173" s="1"/>
      <c r="R173" s="5">
        <f t="shared" ref="R173:R179" si="57">IF(P$12=0,0,P173/P$12)</f>
        <v>3.0052764702135493E-5</v>
      </c>
      <c r="S173" s="1"/>
      <c r="T173" s="1">
        <f>SUM(OSRRefT22_8x_0)</f>
        <v>2070</v>
      </c>
      <c r="U173" s="1"/>
      <c r="V173" s="5">
        <f t="shared" ref="V173:V179" si="58">IF(T$12=0,0,T173/T$12)</f>
        <v>3.6897994513785147E-4</v>
      </c>
      <c r="W173" s="1"/>
      <c r="X173" s="1">
        <f t="shared" ref="X173:X179" si="59">+P173-T173</f>
        <v>-1962.3</v>
      </c>
      <c r="Y173" s="1"/>
      <c r="Z173" s="5">
        <f t="shared" ref="Z173:Z179" si="60">IF(T173=0,0,X173/T173)</f>
        <v>-0.94797101449275356</v>
      </c>
    </row>
    <row r="174" spans="1:26" s="24" customFormat="1" hidden="1" outlineLevel="2" x14ac:dyDescent="0.25">
      <c r="A174" s="29"/>
      <c r="B174" s="11" t="str">
        <f>CONCATENATE("          ", "6277", " - ", "EMPLOYEE APPRECIATION")</f>
        <v xml:space="preserve">          6277 - EMPLOYEE APPRECIATION</v>
      </c>
      <c r="C174" s="11"/>
      <c r="D174" s="6"/>
      <c r="E174" s="2"/>
      <c r="F174" s="7">
        <f t="shared" si="53"/>
        <v>0</v>
      </c>
      <c r="G174" s="2"/>
      <c r="H174" s="6">
        <v>740</v>
      </c>
      <c r="I174" s="2"/>
      <c r="J174" s="7">
        <f t="shared" si="54"/>
        <v>3.4480589524890095E-4</v>
      </c>
      <c r="K174" s="2"/>
      <c r="L174" s="6">
        <f t="shared" si="55"/>
        <v>-740</v>
      </c>
      <c r="M174" s="2"/>
      <c r="N174" s="7">
        <f t="shared" si="56"/>
        <v>-1</v>
      </c>
      <c r="O174" s="11"/>
      <c r="P174" s="6">
        <v>107.7</v>
      </c>
      <c r="Q174" s="2"/>
      <c r="R174" s="7">
        <f t="shared" si="57"/>
        <v>3.0052764702135493E-5</v>
      </c>
      <c r="S174" s="2"/>
      <c r="T174" s="6">
        <v>2070</v>
      </c>
      <c r="U174" s="2"/>
      <c r="V174" s="7">
        <f t="shared" si="58"/>
        <v>3.6897994513785147E-4</v>
      </c>
      <c r="W174" s="2"/>
      <c r="X174" s="6">
        <f t="shared" si="59"/>
        <v>-1962.3</v>
      </c>
      <c r="Y174" s="2"/>
      <c r="Z174" s="7">
        <f t="shared" si="60"/>
        <v>-0.94797101449275356</v>
      </c>
    </row>
    <row r="175" spans="1:26" s="28" customFormat="1" outlineLevel="1" collapsed="1" x14ac:dyDescent="0.25">
      <c r="A175" s="27"/>
      <c r="B175" s="14" t="str">
        <f>CONCATENATE("     ","Equipment Rental                                  ")</f>
        <v xml:space="preserve">     Equipment Rental                                  </v>
      </c>
      <c r="C175" s="14"/>
      <c r="D175" s="1">
        <f>SUM(OSRRefD22_9x_0)</f>
        <v>2597.83</v>
      </c>
      <c r="E175" s="1"/>
      <c r="F175" s="5">
        <f t="shared" si="53"/>
        <v>2.9000224615744474E-3</v>
      </c>
      <c r="G175" s="1"/>
      <c r="H175" s="1">
        <f>SUM(OSRRefH22_9x_0)</f>
        <v>3961.3333333333326</v>
      </c>
      <c r="I175" s="1"/>
      <c r="J175" s="5">
        <f t="shared" si="54"/>
        <v>1.8457987653774494E-3</v>
      </c>
      <c r="K175" s="1"/>
      <c r="L175" s="1">
        <f t="shared" si="55"/>
        <v>-1363.5033333333326</v>
      </c>
      <c r="M175" s="1"/>
      <c r="N175" s="5">
        <f t="shared" si="56"/>
        <v>-0.34420313025917187</v>
      </c>
      <c r="O175" s="14"/>
      <c r="P175" s="1">
        <f>SUM(OSRRefP22_9x_0)</f>
        <v>7463.66</v>
      </c>
      <c r="Q175" s="1"/>
      <c r="R175" s="5">
        <f t="shared" si="57"/>
        <v>2.082670545930739E-3</v>
      </c>
      <c r="S175" s="1"/>
      <c r="T175" s="1">
        <f>SUM(OSRRefT22_9x_0)</f>
        <v>12061.999999999998</v>
      </c>
      <c r="U175" s="1"/>
      <c r="V175" s="5">
        <f t="shared" si="58"/>
        <v>2.1500657479481947E-3</v>
      </c>
      <c r="W175" s="1"/>
      <c r="X175" s="1">
        <f t="shared" si="59"/>
        <v>-4598.3399999999983</v>
      </c>
      <c r="Y175" s="1"/>
      <c r="Z175" s="5">
        <f t="shared" si="60"/>
        <v>-0.381225335765213</v>
      </c>
    </row>
    <row r="176" spans="1:26" s="24" customFormat="1" hidden="1" outlineLevel="2" x14ac:dyDescent="0.25">
      <c r="A176" s="29"/>
      <c r="B176" s="11" t="str">
        <f>CONCATENATE("          ", "6351", " - ", "EQUIPMENT RENTAL")</f>
        <v xml:space="preserve">          6351 - EQUIPMENT RENTAL</v>
      </c>
      <c r="C176" s="11"/>
      <c r="D176" s="6">
        <v>2597.83</v>
      </c>
      <c r="E176" s="2"/>
      <c r="F176" s="7">
        <f t="shared" si="53"/>
        <v>2.9000224615744474E-3</v>
      </c>
      <c r="G176" s="2"/>
      <c r="H176" s="6">
        <v>3961.3333333333326</v>
      </c>
      <c r="I176" s="2"/>
      <c r="J176" s="7">
        <f t="shared" si="54"/>
        <v>1.8457987653774494E-3</v>
      </c>
      <c r="K176" s="2"/>
      <c r="L176" s="6">
        <f t="shared" si="55"/>
        <v>-1363.5033333333326</v>
      </c>
      <c r="M176" s="2"/>
      <c r="N176" s="7">
        <f t="shared" si="56"/>
        <v>-0.34420313025917187</v>
      </c>
      <c r="O176" s="11"/>
      <c r="P176" s="6">
        <v>7463.66</v>
      </c>
      <c r="Q176" s="2"/>
      <c r="R176" s="7">
        <f t="shared" si="57"/>
        <v>2.082670545930739E-3</v>
      </c>
      <c r="S176" s="2"/>
      <c r="T176" s="6">
        <v>12061.999999999998</v>
      </c>
      <c r="U176" s="2"/>
      <c r="V176" s="7">
        <f t="shared" si="58"/>
        <v>2.1500657479481947E-3</v>
      </c>
      <c r="W176" s="2"/>
      <c r="X176" s="6">
        <f t="shared" si="59"/>
        <v>-4598.3399999999983</v>
      </c>
      <c r="Y176" s="2"/>
      <c r="Z176" s="7">
        <f t="shared" si="60"/>
        <v>-0.381225335765213</v>
      </c>
    </row>
    <row r="177" spans="1:26" s="28" customFormat="1" outlineLevel="1" collapsed="1" x14ac:dyDescent="0.25">
      <c r="A177" s="27"/>
      <c r="B177" s="14" t="str">
        <f>CONCATENATE("     ","Freight out/Postage                               ")</f>
        <v xml:space="preserve">     Freight out/Postage                               </v>
      </c>
      <c r="C177" s="14"/>
      <c r="D177" s="1">
        <f>SUM(OSRRefD22_10x_0)</f>
        <v>-5850.9800000000005</v>
      </c>
      <c r="E177" s="1"/>
      <c r="F177" s="5">
        <f t="shared" si="53"/>
        <v>-6.5315949935996053E-3</v>
      </c>
      <c r="G177" s="1"/>
      <c r="H177" s="1">
        <f>SUM(OSRRefH22_10x_0)</f>
        <v>10828</v>
      </c>
      <c r="I177" s="1"/>
      <c r="J177" s="5">
        <f t="shared" si="54"/>
        <v>5.0453489645339179E-3</v>
      </c>
      <c r="K177" s="1"/>
      <c r="L177" s="1">
        <f t="shared" si="55"/>
        <v>-16678.98</v>
      </c>
      <c r="M177" s="1"/>
      <c r="N177" s="5">
        <f t="shared" si="56"/>
        <v>-1.5403564831917251</v>
      </c>
      <c r="O177" s="14"/>
      <c r="P177" s="1">
        <f>SUM(OSRRefP22_10x_0)</f>
        <v>-80468.87000000001</v>
      </c>
      <c r="Q177" s="1"/>
      <c r="R177" s="5">
        <f t="shared" si="57"/>
        <v>-2.2454150565986351E-2</v>
      </c>
      <c r="S177" s="1"/>
      <c r="T177" s="1">
        <f>SUM(OSRRefT22_10x_0)</f>
        <v>27033</v>
      </c>
      <c r="U177" s="1"/>
      <c r="V177" s="5">
        <f t="shared" si="58"/>
        <v>4.818664182082869E-3</v>
      </c>
      <c r="W177" s="1"/>
      <c r="X177" s="1">
        <f t="shared" si="59"/>
        <v>-107501.87000000001</v>
      </c>
      <c r="Y177" s="1"/>
      <c r="Z177" s="5">
        <f t="shared" si="60"/>
        <v>-3.9766903414345434</v>
      </c>
    </row>
    <row r="178" spans="1:26" s="24" customFormat="1" hidden="1" outlineLevel="2" x14ac:dyDescent="0.25">
      <c r="A178" s="29"/>
      <c r="B178" s="11" t="str">
        <f>CONCATENATE("          ", "6305", " - ", "FREIGHT OUT")</f>
        <v xml:space="preserve">          6305 - FREIGHT OUT</v>
      </c>
      <c r="C178" s="11"/>
      <c r="D178" s="6">
        <v>5418.22</v>
      </c>
      <c r="E178" s="2"/>
      <c r="F178" s="7">
        <f t="shared" si="53"/>
        <v>6.0484942054529756E-3</v>
      </c>
      <c r="G178" s="2"/>
      <c r="H178" s="6">
        <v>9548</v>
      </c>
      <c r="I178" s="2"/>
      <c r="J178" s="7">
        <f t="shared" si="54"/>
        <v>4.4489279565358194E-3</v>
      </c>
      <c r="K178" s="2"/>
      <c r="L178" s="6">
        <f t="shared" si="55"/>
        <v>-4129.78</v>
      </c>
      <c r="M178" s="2"/>
      <c r="N178" s="7">
        <f t="shared" si="56"/>
        <v>-0.43252827817343942</v>
      </c>
      <c r="O178" s="11"/>
      <c r="P178" s="6">
        <v>25933.01</v>
      </c>
      <c r="Q178" s="2"/>
      <c r="R178" s="7">
        <f t="shared" si="57"/>
        <v>7.2363848426009909E-3</v>
      </c>
      <c r="S178" s="2"/>
      <c r="T178" s="6">
        <v>14693</v>
      </c>
      <c r="U178" s="2"/>
      <c r="V178" s="7">
        <f t="shared" si="58"/>
        <v>2.6190446057538412E-3</v>
      </c>
      <c r="W178" s="2"/>
      <c r="X178" s="6">
        <f t="shared" si="59"/>
        <v>11240.009999999998</v>
      </c>
      <c r="Y178" s="2"/>
      <c r="Z178" s="7">
        <f t="shared" si="60"/>
        <v>0.76499081195126917</v>
      </c>
    </row>
    <row r="179" spans="1:26" s="24" customFormat="1" hidden="1" outlineLevel="2" x14ac:dyDescent="0.25">
      <c r="A179" s="29"/>
      <c r="B179" s="11" t="str">
        <f>CONCATENATE("          ", "6307", " - ", "POSTAGE")</f>
        <v xml:space="preserve">          6307 - POSTAGE</v>
      </c>
      <c r="C179" s="11"/>
      <c r="D179" s="6">
        <v>-11269.2</v>
      </c>
      <c r="E179" s="2"/>
      <c r="F179" s="7">
        <f t="shared" si="53"/>
        <v>-1.2580089199052581E-2</v>
      </c>
      <c r="G179" s="2"/>
      <c r="H179" s="6">
        <v>1280</v>
      </c>
      <c r="I179" s="2"/>
      <c r="J179" s="7">
        <f t="shared" si="54"/>
        <v>5.964210079980989E-4</v>
      </c>
      <c r="K179" s="2"/>
      <c r="L179" s="6">
        <f t="shared" si="55"/>
        <v>-12549.2</v>
      </c>
      <c r="M179" s="2"/>
      <c r="N179" s="7">
        <f t="shared" si="56"/>
        <v>-9.8040625000000006</v>
      </c>
      <c r="O179" s="11"/>
      <c r="P179" s="6">
        <v>-106401.88</v>
      </c>
      <c r="Q179" s="2"/>
      <c r="R179" s="7">
        <f t="shared" si="57"/>
        <v>-2.9690535408587342E-2</v>
      </c>
      <c r="S179" s="2"/>
      <c r="T179" s="6">
        <v>12340</v>
      </c>
      <c r="U179" s="2"/>
      <c r="V179" s="7">
        <f t="shared" si="58"/>
        <v>2.1996195763290274E-3</v>
      </c>
      <c r="W179" s="2"/>
      <c r="X179" s="6">
        <f t="shared" si="59"/>
        <v>-118741.88</v>
      </c>
      <c r="Y179" s="2"/>
      <c r="Z179" s="7">
        <f t="shared" si="60"/>
        <v>-9.6225186385737445</v>
      </c>
    </row>
    <row r="180" spans="1:26" s="28" customFormat="1" outlineLevel="1" collapsed="1" x14ac:dyDescent="0.25">
      <c r="A180" s="27"/>
      <c r="B180" s="14" t="str">
        <f>CONCATENATE("     ","General                                           ")</f>
        <v xml:space="preserve">     General                                           </v>
      </c>
      <c r="C180" s="14"/>
      <c r="D180" s="1">
        <f>SUM(OSRRefD22_11x_0)</f>
        <v>552.16999999999996</v>
      </c>
      <c r="E180" s="1"/>
      <c r="F180" s="5">
        <f t="shared" ref="F180:F183" si="61">IF(D$12=0,0,D180/D$12)</f>
        <v>6.1640115119448253E-4</v>
      </c>
      <c r="G180" s="1"/>
      <c r="H180" s="1">
        <f>SUM(OSRRefH22_11x_0)</f>
        <v>1010</v>
      </c>
      <c r="I180" s="1"/>
      <c r="J180" s="5">
        <f t="shared" ref="J180:J183" si="62">IF(H$12=0,0,H180/H$12)</f>
        <v>4.7061345162349992E-4</v>
      </c>
      <c r="K180" s="1"/>
      <c r="L180" s="1">
        <f t="shared" ref="L180:L183" si="63">+D180-H180</f>
        <v>-457.83000000000004</v>
      </c>
      <c r="M180" s="1"/>
      <c r="N180" s="5">
        <f t="shared" ref="N180:N183" si="64">IF(H180=0,0,L180/H180)</f>
        <v>-0.45329702970297031</v>
      </c>
      <c r="O180" s="14"/>
      <c r="P180" s="1">
        <f>SUM(OSRRefP22_11x_0)</f>
        <v>8419.52</v>
      </c>
      <c r="Q180" s="1"/>
      <c r="R180" s="5">
        <f t="shared" ref="R180:R183" si="65">IF(P$12=0,0,P180/P$12)</f>
        <v>2.349395111094929E-3</v>
      </c>
      <c r="S180" s="1"/>
      <c r="T180" s="1">
        <f>SUM(OSRRefT22_11x_0)</f>
        <v>16230</v>
      </c>
      <c r="U180" s="1"/>
      <c r="V180" s="5">
        <f t="shared" ref="V180:V183" si="66">IF(T$12=0,0,T180/T$12)</f>
        <v>2.8930166712982266E-3</v>
      </c>
      <c r="W180" s="1"/>
      <c r="X180" s="1">
        <f t="shared" ref="X180:X183" si="67">+P180-T180</f>
        <v>-7810.48</v>
      </c>
      <c r="Y180" s="1"/>
      <c r="Z180" s="5">
        <f t="shared" ref="Z180:Z183" si="68">IF(T180=0,0,X180/T180)</f>
        <v>-0.48123721503388783</v>
      </c>
    </row>
    <row r="181" spans="1:26" s="24" customFormat="1" hidden="1" outlineLevel="2" x14ac:dyDescent="0.25">
      <c r="A181" s="29"/>
      <c r="B181" s="11" t="str">
        <f>CONCATENATE("          ", "6269", " - ", "ENTERTAINMENT")</f>
        <v xml:space="preserve">          6269 - ENTERTAINMENT</v>
      </c>
      <c r="C181" s="11"/>
      <c r="D181" s="6"/>
      <c r="E181" s="2"/>
      <c r="F181" s="7">
        <f t="shared" si="61"/>
        <v>0</v>
      </c>
      <c r="G181" s="2"/>
      <c r="H181" s="6">
        <v>0</v>
      </c>
      <c r="I181" s="2"/>
      <c r="J181" s="7">
        <f t="shared" si="62"/>
        <v>0</v>
      </c>
      <c r="K181" s="2"/>
      <c r="L181" s="6">
        <f t="shared" si="63"/>
        <v>0</v>
      </c>
      <c r="M181" s="2"/>
      <c r="N181" s="7">
        <f t="shared" si="64"/>
        <v>0</v>
      </c>
      <c r="O181" s="11"/>
      <c r="P181" s="6"/>
      <c r="Q181" s="2"/>
      <c r="R181" s="7">
        <f t="shared" si="65"/>
        <v>0</v>
      </c>
      <c r="S181" s="2"/>
      <c r="T181" s="6">
        <v>125</v>
      </c>
      <c r="U181" s="2"/>
      <c r="V181" s="7">
        <f t="shared" si="66"/>
        <v>2.2281397653251899E-5</v>
      </c>
      <c r="W181" s="2"/>
      <c r="X181" s="6">
        <f t="shared" si="67"/>
        <v>-125</v>
      </c>
      <c r="Y181" s="2"/>
      <c r="Z181" s="7">
        <f t="shared" si="68"/>
        <v>-1</v>
      </c>
    </row>
    <row r="182" spans="1:26" s="24" customFormat="1" hidden="1" outlineLevel="2" x14ac:dyDescent="0.25">
      <c r="A182" s="29"/>
      <c r="B182" s="11" t="str">
        <f>CONCATENATE("          ", "6276", " - ", "PROPERTY TAX")</f>
        <v xml:space="preserve">          6276 - PROPERTY TAX</v>
      </c>
      <c r="C182" s="11"/>
      <c r="D182" s="6"/>
      <c r="E182" s="2"/>
      <c r="F182" s="7">
        <f t="shared" si="61"/>
        <v>0</v>
      </c>
      <c r="G182" s="2"/>
      <c r="H182" s="6"/>
      <c r="I182" s="2"/>
      <c r="J182" s="7">
        <f t="shared" si="62"/>
        <v>0</v>
      </c>
      <c r="K182" s="2"/>
      <c r="L182" s="6">
        <f t="shared" si="63"/>
        <v>0</v>
      </c>
      <c r="M182" s="2"/>
      <c r="N182" s="7">
        <f t="shared" si="64"/>
        <v>0</v>
      </c>
      <c r="O182" s="11"/>
      <c r="P182" s="6"/>
      <c r="Q182" s="2"/>
      <c r="R182" s="7">
        <f t="shared" si="65"/>
        <v>0</v>
      </c>
      <c r="S182" s="2"/>
      <c r="T182" s="6">
        <v>150</v>
      </c>
      <c r="U182" s="2"/>
      <c r="V182" s="7">
        <f t="shared" si="66"/>
        <v>2.6737677183902278E-5</v>
      </c>
      <c r="W182" s="2"/>
      <c r="X182" s="6">
        <f t="shared" si="67"/>
        <v>-150</v>
      </c>
      <c r="Y182" s="2"/>
      <c r="Z182" s="7">
        <f t="shared" si="68"/>
        <v>-1</v>
      </c>
    </row>
    <row r="183" spans="1:26" s="24" customFormat="1" hidden="1" outlineLevel="2" x14ac:dyDescent="0.25">
      <c r="A183" s="29"/>
      <c r="B183" s="11" t="str">
        <f>CONCATENATE("          ", "6279", " - ", "GENERAL EXPENSE")</f>
        <v xml:space="preserve">          6279 - GENERAL EXPENSE</v>
      </c>
      <c r="C183" s="11"/>
      <c r="D183" s="6">
        <v>552.16999999999996</v>
      </c>
      <c r="E183" s="2"/>
      <c r="F183" s="7">
        <f t="shared" si="61"/>
        <v>6.1640115119448253E-4</v>
      </c>
      <c r="G183" s="2"/>
      <c r="H183" s="6">
        <v>1010</v>
      </c>
      <c r="I183" s="2"/>
      <c r="J183" s="7">
        <f t="shared" si="62"/>
        <v>4.7061345162349992E-4</v>
      </c>
      <c r="K183" s="2"/>
      <c r="L183" s="6">
        <f t="shared" si="63"/>
        <v>-457.83000000000004</v>
      </c>
      <c r="M183" s="2"/>
      <c r="N183" s="7">
        <f t="shared" si="64"/>
        <v>-0.45329702970297031</v>
      </c>
      <c r="O183" s="11"/>
      <c r="P183" s="6">
        <v>8419.52</v>
      </c>
      <c r="Q183" s="2"/>
      <c r="R183" s="7">
        <f t="shared" si="65"/>
        <v>2.349395111094929E-3</v>
      </c>
      <c r="S183" s="2"/>
      <c r="T183" s="6">
        <v>15955</v>
      </c>
      <c r="U183" s="2"/>
      <c r="V183" s="7">
        <f t="shared" si="66"/>
        <v>2.8439975964610724E-3</v>
      </c>
      <c r="W183" s="2"/>
      <c r="X183" s="6">
        <f t="shared" si="67"/>
        <v>-7535.48</v>
      </c>
      <c r="Y183" s="2"/>
      <c r="Z183" s="7">
        <f t="shared" si="68"/>
        <v>-0.47229583202757752</v>
      </c>
    </row>
    <row r="184" spans="1:26" s="28" customFormat="1" outlineLevel="1" collapsed="1" x14ac:dyDescent="0.25">
      <c r="A184" s="27"/>
      <c r="B184" s="14" t="str">
        <f>CONCATENATE("     ","Insurance                                         ")</f>
        <v xml:space="preserve">     Insurance                                         </v>
      </c>
      <c r="C184" s="14"/>
      <c r="D184" s="1">
        <f>SUM(OSRRefD22_12x_0)</f>
        <v>8563.32</v>
      </c>
      <c r="E184" s="1"/>
      <c r="F184" s="5">
        <f t="shared" ref="F184:F200" si="69">IF(D$12=0,0,D184/D$12)</f>
        <v>9.5594478259353761E-3</v>
      </c>
      <c r="G184" s="1"/>
      <c r="H184" s="1">
        <f>SUM(OSRRefH22_12x_0)</f>
        <v>9321</v>
      </c>
      <c r="I184" s="1"/>
      <c r="J184" s="5">
        <f t="shared" ref="J184:J200" si="70">IF(H$12=0,0,H184/H$12)</f>
        <v>4.3431564183986559E-3</v>
      </c>
      <c r="K184" s="1"/>
      <c r="L184" s="1">
        <f t="shared" ref="L184:L200" si="71">+D184-H184</f>
        <v>-757.68000000000029</v>
      </c>
      <c r="M184" s="1"/>
      <c r="N184" s="5">
        <f t="shared" ref="N184:N200" si="72">IF(H184=0,0,L184/H184)</f>
        <v>-8.128741551335697E-2</v>
      </c>
      <c r="O184" s="14"/>
      <c r="P184" s="1">
        <f>SUM(OSRRefP22_12x_0)</f>
        <v>25689.96</v>
      </c>
      <c r="Q184" s="1"/>
      <c r="R184" s="5">
        <f t="shared" ref="R184:R200" si="73">IF(P$12=0,0,P184/P$12)</f>
        <v>7.1685638169663203E-3</v>
      </c>
      <c r="S184" s="1"/>
      <c r="T184" s="1">
        <f>SUM(OSRRefT22_12x_0)</f>
        <v>27963</v>
      </c>
      <c r="U184" s="1"/>
      <c r="V184" s="5">
        <f t="shared" ref="V184:V200" si="74">IF(T$12=0,0,T184/T$12)</f>
        <v>4.9844377806230631E-3</v>
      </c>
      <c r="W184" s="1"/>
      <c r="X184" s="1">
        <f t="shared" ref="X184:X200" si="75">+P184-T184</f>
        <v>-2273.0400000000009</v>
      </c>
      <c r="Y184" s="1"/>
      <c r="Z184" s="5">
        <f t="shared" ref="Z184:Z200" si="76">IF(T184=0,0,X184/T184)</f>
        <v>-8.128741551335697E-2</v>
      </c>
    </row>
    <row r="185" spans="1:26" s="24" customFormat="1" hidden="1" outlineLevel="2" x14ac:dyDescent="0.25">
      <c r="A185" s="29"/>
      <c r="B185" s="11" t="str">
        <f>CONCATENATE("          ", "6314", " - ", "LIABILITY INSURANCE")</f>
        <v xml:space="preserve">          6314 - LIABILITY INSURANCE</v>
      </c>
      <c r="C185" s="11"/>
      <c r="D185" s="6">
        <v>8563.32</v>
      </c>
      <c r="E185" s="2"/>
      <c r="F185" s="7">
        <f t="shared" si="69"/>
        <v>9.5594478259353761E-3</v>
      </c>
      <c r="G185" s="2"/>
      <c r="H185" s="6">
        <v>9321</v>
      </c>
      <c r="I185" s="2"/>
      <c r="J185" s="7">
        <f t="shared" si="70"/>
        <v>4.3431564183986559E-3</v>
      </c>
      <c r="K185" s="2"/>
      <c r="L185" s="6">
        <f t="shared" si="71"/>
        <v>-757.68000000000029</v>
      </c>
      <c r="M185" s="2"/>
      <c r="N185" s="7">
        <f t="shared" si="72"/>
        <v>-8.128741551335697E-2</v>
      </c>
      <c r="O185" s="11"/>
      <c r="P185" s="6">
        <v>25689.96</v>
      </c>
      <c r="Q185" s="2"/>
      <c r="R185" s="7">
        <f t="shared" si="73"/>
        <v>7.1685638169663203E-3</v>
      </c>
      <c r="S185" s="2"/>
      <c r="T185" s="6">
        <v>27963</v>
      </c>
      <c r="U185" s="2"/>
      <c r="V185" s="7">
        <f t="shared" si="74"/>
        <v>4.9844377806230631E-3</v>
      </c>
      <c r="W185" s="2"/>
      <c r="X185" s="6">
        <f t="shared" si="75"/>
        <v>-2273.0400000000009</v>
      </c>
      <c r="Y185" s="2"/>
      <c r="Z185" s="7">
        <f t="shared" si="76"/>
        <v>-8.128741551335697E-2</v>
      </c>
    </row>
    <row r="186" spans="1:26" s="28" customFormat="1" outlineLevel="1" collapsed="1" x14ac:dyDescent="0.25">
      <c r="A186" s="27"/>
      <c r="B186" s="14" t="str">
        <f>CONCATENATE("     ","Interest                                          ")</f>
        <v xml:space="preserve">     Interest                                          </v>
      </c>
      <c r="C186" s="14"/>
      <c r="D186" s="1">
        <f>SUM(OSRRefD22_13x_0)</f>
        <v>11554</v>
      </c>
      <c r="E186" s="1"/>
      <c r="F186" s="5">
        <f t="shared" si="69"/>
        <v>1.289801854664515E-2</v>
      </c>
      <c r="G186" s="1"/>
      <c r="H186" s="1">
        <f>SUM(OSRRefH22_13x_0)</f>
        <v>11554</v>
      </c>
      <c r="I186" s="1"/>
      <c r="J186" s="5">
        <f t="shared" si="70"/>
        <v>5.3836315050078401E-3</v>
      </c>
      <c r="K186" s="1"/>
      <c r="L186" s="1">
        <f t="shared" si="71"/>
        <v>0</v>
      </c>
      <c r="M186" s="1"/>
      <c r="N186" s="5">
        <f t="shared" si="72"/>
        <v>0</v>
      </c>
      <c r="O186" s="14"/>
      <c r="P186" s="1">
        <f>SUM(OSRRefP22_13x_0)</f>
        <v>34662</v>
      </c>
      <c r="Q186" s="1"/>
      <c r="R186" s="5">
        <f t="shared" si="73"/>
        <v>9.6721349127708491E-3</v>
      </c>
      <c r="S186" s="1"/>
      <c r="T186" s="1">
        <f>SUM(OSRRefT22_13x_0)</f>
        <v>34662</v>
      </c>
      <c r="U186" s="1"/>
      <c r="V186" s="5">
        <f t="shared" si="74"/>
        <v>6.1785424436561383E-3</v>
      </c>
      <c r="W186" s="1"/>
      <c r="X186" s="1">
        <f t="shared" si="75"/>
        <v>0</v>
      </c>
      <c r="Y186" s="1"/>
      <c r="Z186" s="5">
        <f t="shared" si="76"/>
        <v>0</v>
      </c>
    </row>
    <row r="187" spans="1:26" s="24" customFormat="1" hidden="1" outlineLevel="2" x14ac:dyDescent="0.25">
      <c r="A187" s="29"/>
      <c r="B187" s="11" t="str">
        <f>CONCATENATE("          ", "6401", " - ", "INTEREST EXPENSE")</f>
        <v xml:space="preserve">          6401 - INTEREST EXPENSE</v>
      </c>
      <c r="C187" s="11"/>
      <c r="D187" s="6">
        <v>11554</v>
      </c>
      <c r="E187" s="2"/>
      <c r="F187" s="7">
        <f t="shared" si="69"/>
        <v>1.289801854664515E-2</v>
      </c>
      <c r="G187" s="2"/>
      <c r="H187" s="6">
        <v>11554</v>
      </c>
      <c r="I187" s="2"/>
      <c r="J187" s="7">
        <f t="shared" si="70"/>
        <v>5.3836315050078401E-3</v>
      </c>
      <c r="K187" s="2"/>
      <c r="L187" s="6">
        <f t="shared" si="71"/>
        <v>0</v>
      </c>
      <c r="M187" s="2"/>
      <c r="N187" s="7">
        <f t="shared" si="72"/>
        <v>0</v>
      </c>
      <c r="O187" s="11"/>
      <c r="P187" s="6">
        <v>34662</v>
      </c>
      <c r="Q187" s="2"/>
      <c r="R187" s="7">
        <f t="shared" si="73"/>
        <v>9.6721349127708491E-3</v>
      </c>
      <c r="S187" s="2"/>
      <c r="T187" s="6">
        <v>34662</v>
      </c>
      <c r="U187" s="2"/>
      <c r="V187" s="7">
        <f t="shared" si="74"/>
        <v>6.1785424436561383E-3</v>
      </c>
      <c r="W187" s="2"/>
      <c r="X187" s="6">
        <f t="shared" si="75"/>
        <v>0</v>
      </c>
      <c r="Y187" s="2"/>
      <c r="Z187" s="7">
        <f t="shared" si="76"/>
        <v>0</v>
      </c>
    </row>
    <row r="188" spans="1:26" s="28" customFormat="1" outlineLevel="1" collapsed="1" x14ac:dyDescent="0.25">
      <c r="A188" s="27"/>
      <c r="B188" s="14" t="str">
        <f>CONCATENATE("     ","Inventory Adjustment                              ")</f>
        <v xml:space="preserve">     Inventory Adjustment                              </v>
      </c>
      <c r="C188" s="14"/>
      <c r="D188" s="1">
        <f>SUM(OSRRefD22_14x_0)</f>
        <v>3350</v>
      </c>
      <c r="E188" s="1"/>
      <c r="F188" s="5">
        <f t="shared" si="69"/>
        <v>3.7396886040558463E-3</v>
      </c>
      <c r="G188" s="1"/>
      <c r="H188" s="1">
        <f>SUM(OSRRefH22_14x_0)</f>
        <v>4350</v>
      </c>
      <c r="I188" s="1"/>
      <c r="J188" s="5">
        <f t="shared" si="70"/>
        <v>2.0268995193685395E-3</v>
      </c>
      <c r="K188" s="1"/>
      <c r="L188" s="1">
        <f t="shared" si="71"/>
        <v>-1000</v>
      </c>
      <c r="M188" s="1"/>
      <c r="N188" s="5">
        <f t="shared" si="72"/>
        <v>-0.22988505747126436</v>
      </c>
      <c r="O188" s="14"/>
      <c r="P188" s="1">
        <f>SUM(OSRRefP22_14x_0)</f>
        <v>10050</v>
      </c>
      <c r="Q188" s="1"/>
      <c r="R188" s="5">
        <f t="shared" si="73"/>
        <v>2.8043666226226713E-3</v>
      </c>
      <c r="S188" s="1"/>
      <c r="T188" s="1">
        <f>SUM(OSRRefT22_14x_0)</f>
        <v>13050</v>
      </c>
      <c r="U188" s="1"/>
      <c r="V188" s="5">
        <f t="shared" si="74"/>
        <v>2.3261779149994981E-3</v>
      </c>
      <c r="W188" s="1"/>
      <c r="X188" s="1">
        <f t="shared" si="75"/>
        <v>-3000</v>
      </c>
      <c r="Y188" s="1"/>
      <c r="Z188" s="5">
        <f t="shared" si="76"/>
        <v>-0.22988505747126436</v>
      </c>
    </row>
    <row r="189" spans="1:26" s="24" customFormat="1" hidden="1" outlineLevel="2" x14ac:dyDescent="0.25">
      <c r="A189" s="29"/>
      <c r="B189" s="11" t="str">
        <f>CONCATENATE("          ", "6408", " - ", "INVENTORY ADJUSTMENT")</f>
        <v xml:space="preserve">          6408 - INVENTORY ADJUSTMENT</v>
      </c>
      <c r="C189" s="11"/>
      <c r="D189" s="6">
        <v>3350</v>
      </c>
      <c r="E189" s="2"/>
      <c r="F189" s="7">
        <f t="shared" si="69"/>
        <v>3.7396886040558463E-3</v>
      </c>
      <c r="G189" s="2"/>
      <c r="H189" s="6">
        <v>4350</v>
      </c>
      <c r="I189" s="2"/>
      <c r="J189" s="7">
        <f t="shared" si="70"/>
        <v>2.0268995193685395E-3</v>
      </c>
      <c r="K189" s="2"/>
      <c r="L189" s="6">
        <f t="shared" si="71"/>
        <v>-1000</v>
      </c>
      <c r="M189" s="2"/>
      <c r="N189" s="7">
        <f t="shared" si="72"/>
        <v>-0.22988505747126436</v>
      </c>
      <c r="O189" s="11"/>
      <c r="P189" s="6">
        <v>10050</v>
      </c>
      <c r="Q189" s="2"/>
      <c r="R189" s="7">
        <f t="shared" si="73"/>
        <v>2.8043666226226713E-3</v>
      </c>
      <c r="S189" s="2"/>
      <c r="T189" s="6">
        <v>13050</v>
      </c>
      <c r="U189" s="2"/>
      <c r="V189" s="7">
        <f t="shared" si="74"/>
        <v>2.3261779149994981E-3</v>
      </c>
      <c r="W189" s="2"/>
      <c r="X189" s="6">
        <f t="shared" si="75"/>
        <v>-3000</v>
      </c>
      <c r="Y189" s="2"/>
      <c r="Z189" s="7">
        <f t="shared" si="76"/>
        <v>-0.22988505747126436</v>
      </c>
    </row>
    <row r="190" spans="1:26" s="28" customFormat="1" outlineLevel="1" collapsed="1" x14ac:dyDescent="0.25">
      <c r="A190" s="27"/>
      <c r="B190" s="14" t="str">
        <f>CONCATENATE("     ","Professional Services                             ")</f>
        <v xml:space="preserve">     Professional Services                             </v>
      </c>
      <c r="C190" s="14"/>
      <c r="D190" s="1">
        <f>SUM(OSRRefD22_15x_0)</f>
        <v>0</v>
      </c>
      <c r="E190" s="1"/>
      <c r="F190" s="5">
        <f t="shared" si="69"/>
        <v>0</v>
      </c>
      <c r="G190" s="1"/>
      <c r="H190" s="1">
        <f>SUM(OSRRefH22_15x_0)</f>
        <v>0</v>
      </c>
      <c r="I190" s="1"/>
      <c r="J190" s="5">
        <f t="shared" si="70"/>
        <v>0</v>
      </c>
      <c r="K190" s="1"/>
      <c r="L190" s="1">
        <f t="shared" si="71"/>
        <v>0</v>
      </c>
      <c r="M190" s="1"/>
      <c r="N190" s="5">
        <f t="shared" si="72"/>
        <v>0</v>
      </c>
      <c r="O190" s="14"/>
      <c r="P190" s="1">
        <f>SUM(OSRRefP22_15x_0)</f>
        <v>0</v>
      </c>
      <c r="Q190" s="1"/>
      <c r="R190" s="5">
        <f t="shared" si="73"/>
        <v>0</v>
      </c>
      <c r="S190" s="1"/>
      <c r="T190" s="1">
        <f>SUM(OSRRefT22_15x_0)</f>
        <v>6550</v>
      </c>
      <c r="U190" s="1"/>
      <c r="V190" s="5">
        <f t="shared" si="74"/>
        <v>1.1675452370303995E-3</v>
      </c>
      <c r="W190" s="1"/>
      <c r="X190" s="1">
        <f t="shared" si="75"/>
        <v>-6550</v>
      </c>
      <c r="Y190" s="1"/>
      <c r="Z190" s="5">
        <f t="shared" si="76"/>
        <v>-1</v>
      </c>
    </row>
    <row r="191" spans="1:26" s="24" customFormat="1" hidden="1" outlineLevel="2" x14ac:dyDescent="0.25">
      <c r="A191" s="29"/>
      <c r="B191" s="11" t="str">
        <f>CONCATENATE("          ", "6336", " - ", "PROFESSIONAL SERVICES")</f>
        <v xml:space="preserve">          6336 - PROFESSIONAL SERVICES</v>
      </c>
      <c r="C191" s="11"/>
      <c r="D191" s="6"/>
      <c r="E191" s="2"/>
      <c r="F191" s="7">
        <f t="shared" si="69"/>
        <v>0</v>
      </c>
      <c r="G191" s="2"/>
      <c r="H191" s="6">
        <v>0</v>
      </c>
      <c r="I191" s="2"/>
      <c r="J191" s="7">
        <f t="shared" si="70"/>
        <v>0</v>
      </c>
      <c r="K191" s="2"/>
      <c r="L191" s="6">
        <f t="shared" si="71"/>
        <v>0</v>
      </c>
      <c r="M191" s="2"/>
      <c r="N191" s="7">
        <f t="shared" si="72"/>
        <v>0</v>
      </c>
      <c r="O191" s="11"/>
      <c r="P191" s="6"/>
      <c r="Q191" s="2"/>
      <c r="R191" s="7">
        <f t="shared" si="73"/>
        <v>0</v>
      </c>
      <c r="S191" s="2"/>
      <c r="T191" s="6">
        <v>6550</v>
      </c>
      <c r="U191" s="2"/>
      <c r="V191" s="7">
        <f t="shared" si="74"/>
        <v>1.1675452370303995E-3</v>
      </c>
      <c r="W191" s="2"/>
      <c r="X191" s="6">
        <f t="shared" si="75"/>
        <v>-6550</v>
      </c>
      <c r="Y191" s="2"/>
      <c r="Z191" s="7">
        <f t="shared" si="76"/>
        <v>-1</v>
      </c>
    </row>
    <row r="192" spans="1:26" s="28" customFormat="1" outlineLevel="1" collapsed="1" x14ac:dyDescent="0.25">
      <c r="A192" s="27"/>
      <c r="B192" s="14" t="str">
        <f>CONCATENATE("     ","R/H Commissions                                   ")</f>
        <v xml:space="preserve">     R/H Commissions                                   </v>
      </c>
      <c r="C192" s="14"/>
      <c r="D192" s="1">
        <f>SUM(OSRRefD22_16x_0)</f>
        <v>11792.03</v>
      </c>
      <c r="E192" s="1"/>
      <c r="F192" s="5">
        <f t="shared" si="69"/>
        <v>1.3163737376025273E-2</v>
      </c>
      <c r="G192" s="1"/>
      <c r="H192" s="1">
        <f>SUM(OSRRefH22_16x_0)</f>
        <v>37161</v>
      </c>
      <c r="I192" s="1"/>
      <c r="J192" s="5">
        <f t="shared" si="70"/>
        <v>1.7315313342357308E-2</v>
      </c>
      <c r="K192" s="1"/>
      <c r="L192" s="1">
        <f t="shared" si="71"/>
        <v>-25368.97</v>
      </c>
      <c r="M192" s="1"/>
      <c r="N192" s="5">
        <f t="shared" si="72"/>
        <v>-0.68267726918005434</v>
      </c>
      <c r="O192" s="14"/>
      <c r="P192" s="1">
        <f>SUM(OSRRefP22_16x_0)</f>
        <v>16477.52</v>
      </c>
      <c r="Q192" s="1"/>
      <c r="R192" s="5">
        <f t="shared" si="73"/>
        <v>4.5979111553828382E-3</v>
      </c>
      <c r="S192" s="1"/>
      <c r="T192" s="1">
        <f>SUM(OSRRefT22_16x_0)</f>
        <v>47879</v>
      </c>
      <c r="U192" s="1"/>
      <c r="V192" s="5">
        <f t="shared" si="74"/>
        <v>8.5344883059203808E-3</v>
      </c>
      <c r="W192" s="1"/>
      <c r="X192" s="1">
        <f t="shared" si="75"/>
        <v>-31401.48</v>
      </c>
      <c r="Y192" s="1"/>
      <c r="Z192" s="5">
        <f t="shared" si="76"/>
        <v>-0.65585079053447226</v>
      </c>
    </row>
    <row r="193" spans="1:26" s="24" customFormat="1" hidden="1" outlineLevel="2" x14ac:dyDescent="0.25">
      <c r="A193" s="29"/>
      <c r="B193" s="11" t="str">
        <f>CONCATENATE("          ", "6387", " - ", "COMMISSION DUE HOUSING")</f>
        <v xml:space="preserve">          6387 - COMMISSION DUE HOUSING</v>
      </c>
      <c r="C193" s="11"/>
      <c r="D193" s="6">
        <v>11792.03</v>
      </c>
      <c r="E193" s="2"/>
      <c r="F193" s="7">
        <f t="shared" si="69"/>
        <v>1.3163737376025273E-2</v>
      </c>
      <c r="G193" s="2"/>
      <c r="H193" s="6">
        <v>37161</v>
      </c>
      <c r="I193" s="2"/>
      <c r="J193" s="7">
        <f t="shared" si="70"/>
        <v>1.7315313342357308E-2</v>
      </c>
      <c r="K193" s="2"/>
      <c r="L193" s="6">
        <f t="shared" si="71"/>
        <v>-25368.97</v>
      </c>
      <c r="M193" s="2"/>
      <c r="N193" s="7">
        <f t="shared" si="72"/>
        <v>-0.68267726918005434</v>
      </c>
      <c r="O193" s="11"/>
      <c r="P193" s="6">
        <v>16477.52</v>
      </c>
      <c r="Q193" s="2"/>
      <c r="R193" s="7">
        <f t="shared" si="73"/>
        <v>4.5979111553828382E-3</v>
      </c>
      <c r="S193" s="2"/>
      <c r="T193" s="6">
        <v>47879</v>
      </c>
      <c r="U193" s="2"/>
      <c r="V193" s="7">
        <f t="shared" si="74"/>
        <v>8.5344883059203808E-3</v>
      </c>
      <c r="W193" s="2"/>
      <c r="X193" s="6">
        <f t="shared" si="75"/>
        <v>-31401.48</v>
      </c>
      <c r="Y193" s="2"/>
      <c r="Z193" s="7">
        <f t="shared" si="76"/>
        <v>-0.65585079053447226</v>
      </c>
    </row>
    <row r="194" spans="1:26" s="28" customFormat="1" outlineLevel="1" collapsed="1" x14ac:dyDescent="0.25">
      <c r="A194" s="27"/>
      <c r="B194" s="14" t="str">
        <f>CONCATENATE("     ","Rent                                              ")</f>
        <v xml:space="preserve">     Rent                                              </v>
      </c>
      <c r="C194" s="14"/>
      <c r="D194" s="1">
        <f>SUM(OSRRefD22_17x_0)</f>
        <v>12450</v>
      </c>
      <c r="E194" s="1"/>
      <c r="F194" s="5">
        <f t="shared" si="69"/>
        <v>1.3898245707610534E-2</v>
      </c>
      <c r="G194" s="1"/>
      <c r="H194" s="1">
        <f>SUM(OSRRefH22_17x_0)</f>
        <v>8844</v>
      </c>
      <c r="I194" s="1"/>
      <c r="J194" s="5">
        <f t="shared" si="70"/>
        <v>4.1208964021368644E-3</v>
      </c>
      <c r="K194" s="1"/>
      <c r="L194" s="1">
        <f t="shared" si="71"/>
        <v>3606</v>
      </c>
      <c r="M194" s="1"/>
      <c r="N194" s="5">
        <f t="shared" si="72"/>
        <v>0.40773405698778831</v>
      </c>
      <c r="O194" s="14"/>
      <c r="P194" s="1">
        <f>SUM(OSRRefP22_17x_0)</f>
        <v>26250</v>
      </c>
      <c r="Q194" s="1"/>
      <c r="R194" s="5">
        <f t="shared" si="73"/>
        <v>7.3248381934174255E-3</v>
      </c>
      <c r="S194" s="1"/>
      <c r="T194" s="1">
        <f>SUM(OSRRefT22_17x_0)</f>
        <v>26530</v>
      </c>
      <c r="U194" s="1"/>
      <c r="V194" s="5">
        <f t="shared" si="74"/>
        <v>4.7290038379261832E-3</v>
      </c>
      <c r="W194" s="1"/>
      <c r="X194" s="1">
        <f t="shared" si="75"/>
        <v>-280</v>
      </c>
      <c r="Y194" s="1"/>
      <c r="Z194" s="5">
        <f t="shared" si="76"/>
        <v>-1.0554089709762533E-2</v>
      </c>
    </row>
    <row r="195" spans="1:26" s="24" customFormat="1" hidden="1" outlineLevel="2" x14ac:dyDescent="0.25">
      <c r="A195" s="29"/>
      <c r="B195" s="11" t="str">
        <f>CONCATENATE("          ", "6273", " - ", "RENT")</f>
        <v xml:space="preserve">          6273 - RENT</v>
      </c>
      <c r="C195" s="11"/>
      <c r="D195" s="6">
        <v>12450</v>
      </c>
      <c r="E195" s="2"/>
      <c r="F195" s="7">
        <f t="shared" si="69"/>
        <v>1.3898245707610534E-2</v>
      </c>
      <c r="G195" s="2"/>
      <c r="H195" s="6">
        <v>8844</v>
      </c>
      <c r="I195" s="2"/>
      <c r="J195" s="7">
        <f t="shared" si="70"/>
        <v>4.1208964021368644E-3</v>
      </c>
      <c r="K195" s="2"/>
      <c r="L195" s="6">
        <f t="shared" si="71"/>
        <v>3606</v>
      </c>
      <c r="M195" s="2"/>
      <c r="N195" s="7">
        <f t="shared" si="72"/>
        <v>0.40773405698778831</v>
      </c>
      <c r="O195" s="11"/>
      <c r="P195" s="6">
        <v>26250</v>
      </c>
      <c r="Q195" s="2"/>
      <c r="R195" s="7">
        <f t="shared" si="73"/>
        <v>7.3248381934174255E-3</v>
      </c>
      <c r="S195" s="2"/>
      <c r="T195" s="6">
        <v>26530</v>
      </c>
      <c r="U195" s="2"/>
      <c r="V195" s="7">
        <f t="shared" si="74"/>
        <v>4.7290038379261832E-3</v>
      </c>
      <c r="W195" s="2"/>
      <c r="X195" s="6">
        <f t="shared" si="75"/>
        <v>-280</v>
      </c>
      <c r="Y195" s="2"/>
      <c r="Z195" s="7">
        <f t="shared" si="76"/>
        <v>-1.0554089709762533E-2</v>
      </c>
    </row>
    <row r="196" spans="1:26" s="28" customFormat="1" outlineLevel="1" collapsed="1" x14ac:dyDescent="0.25">
      <c r="A196" s="27"/>
      <c r="B196" s="14" t="str">
        <f>CONCATENATE("     ","Repair and Maintenance                            ")</f>
        <v xml:space="preserve">     Repair and Maintenance                            </v>
      </c>
      <c r="C196" s="14"/>
      <c r="D196" s="1">
        <f>SUM(OSRRefD22_18x_0)</f>
        <v>23477.25</v>
      </c>
      <c r="E196" s="1"/>
      <c r="F196" s="5">
        <f t="shared" si="69"/>
        <v>2.6208240083453769E-2</v>
      </c>
      <c r="G196" s="1"/>
      <c r="H196" s="1">
        <f>SUM(OSRRefH22_18x_0)</f>
        <v>18524</v>
      </c>
      <c r="I196" s="1"/>
      <c r="J196" s="5">
        <f t="shared" si="70"/>
        <v>8.6313302751224869E-3</v>
      </c>
      <c r="K196" s="1"/>
      <c r="L196" s="1">
        <f t="shared" si="71"/>
        <v>4953.25</v>
      </c>
      <c r="M196" s="1"/>
      <c r="N196" s="5">
        <f t="shared" si="72"/>
        <v>0.26739635068019868</v>
      </c>
      <c r="O196" s="14"/>
      <c r="P196" s="1">
        <f>SUM(OSRRefP22_18x_0)</f>
        <v>107962.20999999999</v>
      </c>
      <c r="Q196" s="1"/>
      <c r="R196" s="5">
        <f t="shared" si="73"/>
        <v>3.012593216204772E-2</v>
      </c>
      <c r="S196" s="1"/>
      <c r="T196" s="1">
        <f>SUM(OSRRefT22_18x_0)</f>
        <v>223731</v>
      </c>
      <c r="U196" s="1"/>
      <c r="V196" s="5">
        <f t="shared" si="74"/>
        <v>3.9880315026877604E-2</v>
      </c>
      <c r="W196" s="1"/>
      <c r="X196" s="1">
        <f t="shared" si="75"/>
        <v>-115768.79000000001</v>
      </c>
      <c r="Y196" s="1"/>
      <c r="Z196" s="5">
        <f t="shared" si="76"/>
        <v>-0.51744635298639885</v>
      </c>
    </row>
    <row r="197" spans="1:26" s="24" customFormat="1" hidden="1" outlineLevel="2" x14ac:dyDescent="0.25">
      <c r="A197" s="29"/>
      <c r="B197" s="11" t="str">
        <f>CONCATENATE("          ", "6371", " - ", "COMPUTER SOFTWARE MAINTENANCE")</f>
        <v xml:space="preserve">          6371 - COMPUTER SOFTWARE MAINTENANCE</v>
      </c>
      <c r="C197" s="11"/>
      <c r="D197" s="6"/>
      <c r="E197" s="2"/>
      <c r="F197" s="7">
        <f t="shared" si="69"/>
        <v>0</v>
      </c>
      <c r="G197" s="2"/>
      <c r="H197" s="6">
        <v>43</v>
      </c>
      <c r="I197" s="2"/>
      <c r="J197" s="7">
        <f t="shared" si="70"/>
        <v>2.0036018237436134E-5</v>
      </c>
      <c r="K197" s="2"/>
      <c r="L197" s="6">
        <f t="shared" si="71"/>
        <v>-43</v>
      </c>
      <c r="M197" s="2"/>
      <c r="N197" s="7">
        <f t="shared" si="72"/>
        <v>-1</v>
      </c>
      <c r="O197" s="11"/>
      <c r="P197" s="6">
        <v>58428.780000000006</v>
      </c>
      <c r="Q197" s="2"/>
      <c r="R197" s="7">
        <f t="shared" si="73"/>
        <v>1.6304051784334639E-2</v>
      </c>
      <c r="S197" s="2"/>
      <c r="T197" s="6">
        <v>170043</v>
      </c>
      <c r="U197" s="2"/>
      <c r="V197" s="7">
        <f t="shared" si="74"/>
        <v>3.0310365609215302E-2</v>
      </c>
      <c r="W197" s="2"/>
      <c r="X197" s="6">
        <f t="shared" si="75"/>
        <v>-111614.22</v>
      </c>
      <c r="Y197" s="2"/>
      <c r="Z197" s="7">
        <f t="shared" si="76"/>
        <v>-0.65638820768864348</v>
      </c>
    </row>
    <row r="198" spans="1:26" s="24" customFormat="1" hidden="1" outlineLevel="2" x14ac:dyDescent="0.25">
      <c r="A198" s="29"/>
      <c r="B198" s="11" t="str">
        <f>CONCATENATE("          ", "6372", " - ", "COMPUTER HARDWARE MAINTENANCE")</f>
        <v xml:space="preserve">          6372 - COMPUTER HARDWARE MAINTENANCE</v>
      </c>
      <c r="C198" s="11"/>
      <c r="D198" s="6">
        <v>-9.09</v>
      </c>
      <c r="E198" s="2"/>
      <c r="F198" s="7">
        <f t="shared" si="69"/>
        <v>-1.0147393853990342E-5</v>
      </c>
      <c r="G198" s="2"/>
      <c r="H198" s="6">
        <v>1937</v>
      </c>
      <c r="I198" s="2"/>
      <c r="J198" s="7">
        <f t="shared" si="70"/>
        <v>9.0255272850962311E-4</v>
      </c>
      <c r="K198" s="2"/>
      <c r="L198" s="6">
        <f t="shared" si="71"/>
        <v>-1946.09</v>
      </c>
      <c r="M198" s="2"/>
      <c r="N198" s="7">
        <f t="shared" si="72"/>
        <v>-1.0046928239545689</v>
      </c>
      <c r="O198" s="11"/>
      <c r="P198" s="6">
        <v>-8.11</v>
      </c>
      <c r="Q198" s="2"/>
      <c r="R198" s="7">
        <f t="shared" si="73"/>
        <v>-2.2630261999472501E-6</v>
      </c>
      <c r="S198" s="2"/>
      <c r="T198" s="6">
        <v>8020</v>
      </c>
      <c r="U198" s="2"/>
      <c r="V198" s="7">
        <f t="shared" si="74"/>
        <v>1.4295744734326419E-3</v>
      </c>
      <c r="W198" s="2"/>
      <c r="X198" s="6">
        <f t="shared" si="75"/>
        <v>-8028.11</v>
      </c>
      <c r="Y198" s="2"/>
      <c r="Z198" s="7">
        <f t="shared" si="76"/>
        <v>-1.001011221945137</v>
      </c>
    </row>
    <row r="199" spans="1:26" s="24" customFormat="1" hidden="1" outlineLevel="2" x14ac:dyDescent="0.25">
      <c r="A199" s="29"/>
      <c r="B199" s="11" t="str">
        <f>CONCATENATE("          ", "6373", " - ", "MAINTENANCE CONTRACTS")</f>
        <v xml:space="preserve">          6373 - MAINTENANCE CONTRACTS</v>
      </c>
      <c r="C199" s="11"/>
      <c r="D199" s="6">
        <v>14594.21</v>
      </c>
      <c r="E199" s="2"/>
      <c r="F199" s="7">
        <f t="shared" si="69"/>
        <v>1.6291880842447124E-2</v>
      </c>
      <c r="G199" s="2"/>
      <c r="H199" s="6">
        <v>7098</v>
      </c>
      <c r="I199" s="2"/>
      <c r="J199" s="7">
        <f t="shared" si="70"/>
        <v>3.3073408709144579E-3</v>
      </c>
      <c r="K199" s="2"/>
      <c r="L199" s="6">
        <f t="shared" si="71"/>
        <v>7496.2099999999991</v>
      </c>
      <c r="M199" s="2"/>
      <c r="N199" s="7">
        <f t="shared" si="72"/>
        <v>1.0561017187940263</v>
      </c>
      <c r="O199" s="11"/>
      <c r="P199" s="6">
        <v>34250.39</v>
      </c>
      <c r="Q199" s="2"/>
      <c r="R199" s="7">
        <f t="shared" si="73"/>
        <v>9.5572786594835136E-3</v>
      </c>
      <c r="S199" s="2"/>
      <c r="T199" s="6">
        <v>16394</v>
      </c>
      <c r="U199" s="2"/>
      <c r="V199" s="7">
        <f t="shared" si="74"/>
        <v>2.9222498650192932E-3</v>
      </c>
      <c r="W199" s="2"/>
      <c r="X199" s="6">
        <f t="shared" si="75"/>
        <v>17856.39</v>
      </c>
      <c r="Y199" s="2"/>
      <c r="Z199" s="7">
        <f t="shared" si="76"/>
        <v>1.0892027571062584</v>
      </c>
    </row>
    <row r="200" spans="1:26" s="24" customFormat="1" hidden="1" outlineLevel="2" x14ac:dyDescent="0.25">
      <c r="A200" s="29"/>
      <c r="B200" s="11" t="str">
        <f>CONCATENATE("          ", "6375", " - ", "OUTSIDE REPAIRS &amp; MAINTENANCE")</f>
        <v xml:space="preserve">          6375 - OUTSIDE REPAIRS &amp; MAINTENANCE</v>
      </c>
      <c r="C200" s="11"/>
      <c r="D200" s="6">
        <v>8892.1299999999992</v>
      </c>
      <c r="E200" s="2"/>
      <c r="F200" s="7">
        <f t="shared" si="69"/>
        <v>9.926506634860631E-3</v>
      </c>
      <c r="G200" s="2"/>
      <c r="H200" s="6">
        <v>9446</v>
      </c>
      <c r="I200" s="2"/>
      <c r="J200" s="7">
        <f t="shared" si="70"/>
        <v>4.4014006574609708E-3</v>
      </c>
      <c r="K200" s="2"/>
      <c r="L200" s="6">
        <f t="shared" si="71"/>
        <v>-553.8700000000008</v>
      </c>
      <c r="M200" s="2"/>
      <c r="N200" s="7">
        <f t="shared" si="72"/>
        <v>-5.8635401228033117E-2</v>
      </c>
      <c r="O200" s="11"/>
      <c r="P200" s="6">
        <v>15291.150000000001</v>
      </c>
      <c r="Q200" s="2"/>
      <c r="R200" s="7">
        <f t="shared" si="73"/>
        <v>4.2668647444295193E-3</v>
      </c>
      <c r="S200" s="2"/>
      <c r="T200" s="6">
        <v>29274</v>
      </c>
      <c r="U200" s="2"/>
      <c r="V200" s="7">
        <f t="shared" si="74"/>
        <v>5.2181250792103688E-3</v>
      </c>
      <c r="W200" s="2"/>
      <c r="X200" s="6">
        <f t="shared" si="75"/>
        <v>-13982.849999999999</v>
      </c>
      <c r="Y200" s="2"/>
      <c r="Z200" s="7">
        <f t="shared" si="76"/>
        <v>-0.47765423242467714</v>
      </c>
    </row>
    <row r="201" spans="1:26" s="28" customFormat="1" outlineLevel="1" collapsed="1" x14ac:dyDescent="0.25">
      <c r="A201" s="27"/>
      <c r="B201" s="14" t="str">
        <f>CONCATENATE("     ","Royalty &amp; Commissions                             ")</f>
        <v xml:space="preserve">     Royalty &amp; Commissions                             </v>
      </c>
      <c r="C201" s="14"/>
      <c r="D201" s="1">
        <f>SUM(OSRRefD22_19x_0)</f>
        <v>62.6</v>
      </c>
      <c r="E201" s="1"/>
      <c r="F201" s="5">
        <f t="shared" ref="F201:F205" si="77">IF(D$12=0,0,D201/D$12)</f>
        <v>6.9881942272804776E-5</v>
      </c>
      <c r="G201" s="1"/>
      <c r="H201" s="1">
        <f>SUM(OSRRefH22_19x_0)</f>
        <v>8028</v>
      </c>
      <c r="I201" s="1"/>
      <c r="J201" s="5">
        <f t="shared" ref="J201:J205" si="78">IF(H$12=0,0,H201/H$12)</f>
        <v>3.7406780095380764E-3</v>
      </c>
      <c r="K201" s="1"/>
      <c r="L201" s="1">
        <f t="shared" ref="L201:L205" si="79">+D201-H201</f>
        <v>-7965.4</v>
      </c>
      <c r="M201" s="1"/>
      <c r="N201" s="5">
        <f t="shared" ref="N201:N205" si="80">IF(H201=0,0,L201/H201)</f>
        <v>-0.99220229197807663</v>
      </c>
      <c r="O201" s="14"/>
      <c r="P201" s="1">
        <f>SUM(OSRRefP22_19x_0)</f>
        <v>13307</v>
      </c>
      <c r="Q201" s="1"/>
      <c r="R201" s="5">
        <f t="shared" ref="R201:R205" si="81">IF(P$12=0,0,P201/P$12)</f>
        <v>3.7132046415164067E-3</v>
      </c>
      <c r="S201" s="1"/>
      <c r="T201" s="1">
        <f>SUM(OSRRefT22_19x_0)</f>
        <v>21450</v>
      </c>
      <c r="U201" s="1"/>
      <c r="V201" s="5">
        <f t="shared" ref="V201:V205" si="82">IF(T$12=0,0,T201/T$12)</f>
        <v>3.823487837298026E-3</v>
      </c>
      <c r="W201" s="1"/>
      <c r="X201" s="1">
        <f t="shared" ref="X201:X205" si="83">+P201-T201</f>
        <v>-8143</v>
      </c>
      <c r="Y201" s="1"/>
      <c r="Z201" s="5">
        <f t="shared" ref="Z201:Z205" si="84">IF(T201=0,0,X201/T201)</f>
        <v>-0.37962703962703964</v>
      </c>
    </row>
    <row r="202" spans="1:26" s="24" customFormat="1" hidden="1" outlineLevel="2" x14ac:dyDescent="0.25">
      <c r="A202" s="29"/>
      <c r="B202" s="11" t="str">
        <f>CONCATENATE("          ", "6252", " - ", "ROYALTY DUE CSTV")</f>
        <v xml:space="preserve">          6252 - ROYALTY DUE CSTV</v>
      </c>
      <c r="C202" s="11"/>
      <c r="D202" s="6"/>
      <c r="E202" s="2"/>
      <c r="F202" s="7">
        <f t="shared" si="77"/>
        <v>0</v>
      </c>
      <c r="G202" s="2"/>
      <c r="H202" s="6">
        <v>1085</v>
      </c>
      <c r="I202" s="2"/>
      <c r="J202" s="7">
        <f t="shared" si="78"/>
        <v>5.0555999506088855E-4</v>
      </c>
      <c r="K202" s="2"/>
      <c r="L202" s="6">
        <f t="shared" si="79"/>
        <v>-1085</v>
      </c>
      <c r="M202" s="2"/>
      <c r="N202" s="7">
        <f t="shared" si="80"/>
        <v>-1</v>
      </c>
      <c r="O202" s="11"/>
      <c r="P202" s="6"/>
      <c r="Q202" s="2"/>
      <c r="R202" s="7">
        <f t="shared" si="81"/>
        <v>0</v>
      </c>
      <c r="S202" s="2"/>
      <c r="T202" s="6">
        <v>3255</v>
      </c>
      <c r="U202" s="2"/>
      <c r="V202" s="7">
        <f t="shared" si="82"/>
        <v>5.8020759489067948E-4</v>
      </c>
      <c r="W202" s="2"/>
      <c r="X202" s="6">
        <f t="shared" si="83"/>
        <v>-3255</v>
      </c>
      <c r="Y202" s="2"/>
      <c r="Z202" s="7">
        <f t="shared" si="84"/>
        <v>-1</v>
      </c>
    </row>
    <row r="203" spans="1:26" s="24" customFormat="1" hidden="1" outlineLevel="2" x14ac:dyDescent="0.25">
      <c r="A203" s="29"/>
      <c r="B203" s="11" t="str">
        <f>CONCATENATE("          ", "6253", " - ", "ROYALTY DUE ATHLETICS-LRG")</f>
        <v xml:space="preserve">          6253 - ROYALTY DUE ATHLETICS-LRG</v>
      </c>
      <c r="C203" s="11"/>
      <c r="D203" s="6"/>
      <c r="E203" s="2"/>
      <c r="F203" s="7">
        <f t="shared" si="77"/>
        <v>0</v>
      </c>
      <c r="G203" s="2"/>
      <c r="H203" s="6">
        <v>4037</v>
      </c>
      <c r="I203" s="2"/>
      <c r="J203" s="7">
        <f t="shared" si="78"/>
        <v>1.8810559447565041E-3</v>
      </c>
      <c r="K203" s="2"/>
      <c r="L203" s="6">
        <f t="shared" si="79"/>
        <v>-4037</v>
      </c>
      <c r="M203" s="2"/>
      <c r="N203" s="7">
        <f t="shared" si="80"/>
        <v>-1</v>
      </c>
      <c r="O203" s="11"/>
      <c r="P203" s="6">
        <v>7922.2</v>
      </c>
      <c r="Q203" s="2"/>
      <c r="R203" s="7">
        <f t="shared" si="81"/>
        <v>2.2106222147006294E-3</v>
      </c>
      <c r="S203" s="2"/>
      <c r="T203" s="6">
        <v>12111</v>
      </c>
      <c r="U203" s="2"/>
      <c r="V203" s="7">
        <f t="shared" si="82"/>
        <v>2.1588000558282702E-3</v>
      </c>
      <c r="W203" s="2"/>
      <c r="X203" s="6">
        <f t="shared" si="83"/>
        <v>-4188.8</v>
      </c>
      <c r="Y203" s="2"/>
      <c r="Z203" s="7">
        <f t="shared" si="84"/>
        <v>-0.34586739327883742</v>
      </c>
    </row>
    <row r="204" spans="1:26" s="24" customFormat="1" hidden="1" outlineLevel="2" x14ac:dyDescent="0.25">
      <c r="A204" s="29"/>
      <c r="B204" s="11" t="str">
        <f>CONCATENATE("          ", "6254", " - ", "ROYALTY &amp; COMMISSIONS")</f>
        <v xml:space="preserve">          6254 - ROYALTY &amp; COMMISSIONS</v>
      </c>
      <c r="C204" s="11"/>
      <c r="D204" s="6"/>
      <c r="E204" s="2"/>
      <c r="F204" s="7">
        <f t="shared" si="77"/>
        <v>0</v>
      </c>
      <c r="G204" s="2"/>
      <c r="H204" s="6">
        <v>1149</v>
      </c>
      <c r="I204" s="2"/>
      <c r="J204" s="7">
        <f t="shared" si="78"/>
        <v>5.3538104546079347E-4</v>
      </c>
      <c r="K204" s="2"/>
      <c r="L204" s="6">
        <f t="shared" si="79"/>
        <v>-1149</v>
      </c>
      <c r="M204" s="2"/>
      <c r="N204" s="7">
        <f t="shared" si="80"/>
        <v>-1</v>
      </c>
      <c r="O204" s="11"/>
      <c r="P204" s="6"/>
      <c r="Q204" s="2"/>
      <c r="R204" s="7">
        <f t="shared" si="81"/>
        <v>0</v>
      </c>
      <c r="S204" s="2"/>
      <c r="T204" s="6">
        <v>3447</v>
      </c>
      <c r="U204" s="2"/>
      <c r="V204" s="7">
        <f t="shared" si="82"/>
        <v>6.1443182168607435E-4</v>
      </c>
      <c r="W204" s="2"/>
      <c r="X204" s="6">
        <f t="shared" si="83"/>
        <v>-3447</v>
      </c>
      <c r="Y204" s="2"/>
      <c r="Z204" s="7">
        <f t="shared" si="84"/>
        <v>-1</v>
      </c>
    </row>
    <row r="205" spans="1:26" s="24" customFormat="1" hidden="1" outlineLevel="2" x14ac:dyDescent="0.25">
      <c r="A205" s="29"/>
      <c r="B205" s="11" t="str">
        <f>CONCATENATE("          ", "6259", " - ", "ROYALTY &amp; COMMISSIONS")</f>
        <v xml:space="preserve">          6259 - ROYALTY &amp; COMMISSIONS</v>
      </c>
      <c r="C205" s="11"/>
      <c r="D205" s="6">
        <v>62.6</v>
      </c>
      <c r="E205" s="2"/>
      <c r="F205" s="7">
        <f t="shared" si="77"/>
        <v>6.9881942272804776E-5</v>
      </c>
      <c r="G205" s="2"/>
      <c r="H205" s="6">
        <v>1757</v>
      </c>
      <c r="I205" s="2"/>
      <c r="J205" s="7">
        <f t="shared" si="78"/>
        <v>8.1868102425989046E-4</v>
      </c>
      <c r="K205" s="2"/>
      <c r="L205" s="6">
        <f t="shared" si="79"/>
        <v>-1694.4</v>
      </c>
      <c r="M205" s="2"/>
      <c r="N205" s="7">
        <f t="shared" si="80"/>
        <v>-0.96437108708025043</v>
      </c>
      <c r="O205" s="11"/>
      <c r="P205" s="6">
        <v>5384.8</v>
      </c>
      <c r="Q205" s="2"/>
      <c r="R205" s="7">
        <f t="shared" si="81"/>
        <v>1.5025824268157773E-3</v>
      </c>
      <c r="S205" s="2"/>
      <c r="T205" s="6">
        <v>2637</v>
      </c>
      <c r="U205" s="2"/>
      <c r="V205" s="7">
        <f t="shared" si="82"/>
        <v>4.7004836489300208E-4</v>
      </c>
      <c r="W205" s="2"/>
      <c r="X205" s="6">
        <f t="shared" si="83"/>
        <v>2747.8</v>
      </c>
      <c r="Y205" s="2"/>
      <c r="Z205" s="7">
        <f t="shared" si="84"/>
        <v>1.0420174440652257</v>
      </c>
    </row>
    <row r="206" spans="1:26" s="28" customFormat="1" outlineLevel="1" collapsed="1" x14ac:dyDescent="0.25">
      <c r="A206" s="27"/>
      <c r="B206" s="14" t="str">
        <f>CONCATENATE("     ","Services                                          ")</f>
        <v xml:space="preserve">     Services                                          </v>
      </c>
      <c r="C206" s="14"/>
      <c r="D206" s="1">
        <f>SUM(OSRRefD22_20x_0)</f>
        <v>21871.279999999999</v>
      </c>
      <c r="E206" s="1"/>
      <c r="F206" s="5">
        <f t="shared" ref="F206:F211" si="85">IF(D$12=0,0,D206/D$12)</f>
        <v>2.4415455693168522E-2</v>
      </c>
      <c r="G206" s="1"/>
      <c r="H206" s="1">
        <f>SUM(OSRRefH22_20x_0)</f>
        <v>31831</v>
      </c>
      <c r="I206" s="1"/>
      <c r="J206" s="5">
        <f t="shared" ref="J206:J211" si="86">IF(H$12=0,0,H206/H$12)</f>
        <v>1.4831778988740224E-2</v>
      </c>
      <c r="K206" s="1"/>
      <c r="L206" s="1">
        <f t="shared" ref="L206:L211" si="87">+D206-H206</f>
        <v>-9959.7200000000012</v>
      </c>
      <c r="M206" s="1"/>
      <c r="N206" s="5">
        <f t="shared" ref="N206:N211" si="88">IF(H206=0,0,L206/H206)</f>
        <v>-0.31289371995853105</v>
      </c>
      <c r="O206" s="14"/>
      <c r="P206" s="1">
        <f>SUM(OSRRefP22_20x_0)</f>
        <v>49584.320000000007</v>
      </c>
      <c r="Q206" s="1"/>
      <c r="R206" s="5">
        <f t="shared" ref="R206:R211" si="89">IF(P$12=0,0,P206/P$12)</f>
        <v>1.3836080797357393E-2</v>
      </c>
      <c r="S206" s="1"/>
      <c r="T206" s="1">
        <f>SUM(OSRRefT22_20x_0)</f>
        <v>92052</v>
      </c>
      <c r="U206" s="1"/>
      <c r="V206" s="5">
        <f t="shared" ref="V206:V211" si="90">IF(T$12=0,0,T206/T$12)</f>
        <v>1.6408377734217151E-2</v>
      </c>
      <c r="W206" s="1"/>
      <c r="X206" s="1">
        <f t="shared" ref="X206:X211" si="91">+P206-T206</f>
        <v>-42467.679999999993</v>
      </c>
      <c r="Y206" s="1"/>
      <c r="Z206" s="5">
        <f t="shared" ref="Z206:Z211" si="92">IF(T206=0,0,X206/T206)</f>
        <v>-0.46134445748055442</v>
      </c>
    </row>
    <row r="207" spans="1:26" s="24" customFormat="1" hidden="1" outlineLevel="2" x14ac:dyDescent="0.25">
      <c r="A207" s="29"/>
      <c r="B207" s="11" t="str">
        <f>CONCATENATE("          ", "6282", " - ", "JANITORIAL/EXTERMINATOR EXPENS")</f>
        <v xml:space="preserve">          6282 - JANITORIAL/EXTERMINATOR EXPENS</v>
      </c>
      <c r="C207" s="11"/>
      <c r="D207" s="6">
        <v>315.86</v>
      </c>
      <c r="E207" s="2"/>
      <c r="F207" s="7">
        <f t="shared" si="85"/>
        <v>3.5260240073942676E-4</v>
      </c>
      <c r="G207" s="2"/>
      <c r="H207" s="6">
        <v>6705</v>
      </c>
      <c r="I207" s="2"/>
      <c r="J207" s="7">
        <f t="shared" si="86"/>
        <v>3.1242209833025414E-3</v>
      </c>
      <c r="K207" s="2"/>
      <c r="L207" s="6">
        <f t="shared" si="87"/>
        <v>-6389.14</v>
      </c>
      <c r="M207" s="2"/>
      <c r="N207" s="7">
        <f t="shared" si="88"/>
        <v>-0.95289187173750933</v>
      </c>
      <c r="O207" s="11"/>
      <c r="P207" s="6">
        <v>2927.76</v>
      </c>
      <c r="Q207" s="2"/>
      <c r="R207" s="7">
        <f t="shared" si="89"/>
        <v>8.1696641025370679E-4</v>
      </c>
      <c r="S207" s="2"/>
      <c r="T207" s="6">
        <v>20429</v>
      </c>
      <c r="U207" s="2"/>
      <c r="V207" s="7">
        <f t="shared" si="90"/>
        <v>3.6414933812662642E-3</v>
      </c>
      <c r="W207" s="2"/>
      <c r="X207" s="6">
        <f t="shared" si="91"/>
        <v>-17501.239999999998</v>
      </c>
      <c r="Y207" s="2"/>
      <c r="Z207" s="7">
        <f t="shared" si="92"/>
        <v>-0.85668608350873743</v>
      </c>
    </row>
    <row r="208" spans="1:26" s="24" customFormat="1" hidden="1" outlineLevel="2" x14ac:dyDescent="0.25">
      <c r="A208" s="29"/>
      <c r="B208" s="11" t="str">
        <f>CONCATENATE("          ", "6283", " - ", "PLANT SERVICE")</f>
        <v xml:space="preserve">          6283 - PLANT SERVICE</v>
      </c>
      <c r="C208" s="11"/>
      <c r="D208" s="6"/>
      <c r="E208" s="2"/>
      <c r="F208" s="7">
        <f t="shared" si="85"/>
        <v>0</v>
      </c>
      <c r="G208" s="2"/>
      <c r="H208" s="6">
        <v>62</v>
      </c>
      <c r="I208" s="2"/>
      <c r="J208" s="7">
        <f t="shared" si="86"/>
        <v>2.8889142574907915E-5</v>
      </c>
      <c r="K208" s="2"/>
      <c r="L208" s="6">
        <f t="shared" si="87"/>
        <v>-62</v>
      </c>
      <c r="M208" s="2"/>
      <c r="N208" s="7">
        <f t="shared" si="88"/>
        <v>-1</v>
      </c>
      <c r="O208" s="11"/>
      <c r="P208" s="6">
        <v>130</v>
      </c>
      <c r="Q208" s="2"/>
      <c r="R208" s="7">
        <f t="shared" si="89"/>
        <v>3.627538914835296E-5</v>
      </c>
      <c r="S208" s="2"/>
      <c r="T208" s="6">
        <v>186</v>
      </c>
      <c r="U208" s="2"/>
      <c r="V208" s="7">
        <f t="shared" si="90"/>
        <v>3.3154719708038827E-5</v>
      </c>
      <c r="W208" s="2"/>
      <c r="X208" s="6">
        <f t="shared" si="91"/>
        <v>-56</v>
      </c>
      <c r="Y208" s="2"/>
      <c r="Z208" s="7">
        <f t="shared" si="92"/>
        <v>-0.30107526881720431</v>
      </c>
    </row>
    <row r="209" spans="1:26" s="24" customFormat="1" hidden="1" outlineLevel="2" x14ac:dyDescent="0.25">
      <c r="A209" s="29"/>
      <c r="B209" s="11" t="str">
        <f>CONCATENATE("          ", "6284", " - ", "TRASH REMOVAL EXPENSE")</f>
        <v xml:space="preserve">          6284 - TRASH REMOVAL EXPENSE</v>
      </c>
      <c r="C209" s="11"/>
      <c r="D209" s="6">
        <v>903.57</v>
      </c>
      <c r="E209" s="2"/>
      <c r="F209" s="7">
        <f t="shared" si="85"/>
        <v>1.0086777408855943E-3</v>
      </c>
      <c r="G209" s="2"/>
      <c r="H209" s="6">
        <v>3970</v>
      </c>
      <c r="I209" s="2"/>
      <c r="J209" s="7">
        <f t="shared" si="86"/>
        <v>1.8498370326191036E-3</v>
      </c>
      <c r="K209" s="2"/>
      <c r="L209" s="6">
        <f t="shared" si="87"/>
        <v>-3066.43</v>
      </c>
      <c r="M209" s="2"/>
      <c r="N209" s="7">
        <f t="shared" si="88"/>
        <v>-0.77240050377833747</v>
      </c>
      <c r="O209" s="11"/>
      <c r="P209" s="6">
        <v>3188.71</v>
      </c>
      <c r="Q209" s="2"/>
      <c r="R209" s="7">
        <f t="shared" si="89"/>
        <v>8.8978227793265062E-4</v>
      </c>
      <c r="S209" s="2"/>
      <c r="T209" s="6">
        <v>8740</v>
      </c>
      <c r="U209" s="2"/>
      <c r="V209" s="7">
        <f t="shared" si="90"/>
        <v>1.5579153239153728E-3</v>
      </c>
      <c r="W209" s="2"/>
      <c r="X209" s="6">
        <f t="shared" si="91"/>
        <v>-5551.29</v>
      </c>
      <c r="Y209" s="2"/>
      <c r="Z209" s="7">
        <f t="shared" si="92"/>
        <v>-0.63515903890160186</v>
      </c>
    </row>
    <row r="210" spans="1:26" s="24" customFormat="1" hidden="1" outlineLevel="2" x14ac:dyDescent="0.25">
      <c r="A210" s="29"/>
      <c r="B210" s="11" t="str">
        <f>CONCATENATE("          ", "6285", " - ", "JANITORIAL SERVICES")</f>
        <v xml:space="preserve">          6285 - JANITORIAL SERVICES</v>
      </c>
      <c r="C210" s="11"/>
      <c r="D210" s="6">
        <v>19141.91</v>
      </c>
      <c r="E210" s="2"/>
      <c r="F210" s="7">
        <f t="shared" si="85"/>
        <v>2.1368591846824672E-2</v>
      </c>
      <c r="G210" s="2"/>
      <c r="H210" s="6">
        <v>16490</v>
      </c>
      <c r="I210" s="2"/>
      <c r="J210" s="7">
        <f t="shared" si="86"/>
        <v>7.6835800171005083E-3</v>
      </c>
      <c r="K210" s="2"/>
      <c r="L210" s="6">
        <f t="shared" si="87"/>
        <v>2651.91</v>
      </c>
      <c r="M210" s="2"/>
      <c r="N210" s="7">
        <f t="shared" si="88"/>
        <v>0.16081928441479684</v>
      </c>
      <c r="O210" s="11"/>
      <c r="P210" s="6">
        <v>37377.980000000003</v>
      </c>
      <c r="Q210" s="2"/>
      <c r="R210" s="7">
        <f t="shared" si="89"/>
        <v>1.0430005923687339E-2</v>
      </c>
      <c r="S210" s="2"/>
      <c r="T210" s="6">
        <v>48909</v>
      </c>
      <c r="U210" s="2"/>
      <c r="V210" s="7">
        <f t="shared" si="90"/>
        <v>8.7180870225831777E-3</v>
      </c>
      <c r="W210" s="2"/>
      <c r="X210" s="6">
        <f t="shared" si="91"/>
        <v>-11531.019999999997</v>
      </c>
      <c r="Y210" s="2"/>
      <c r="Z210" s="7">
        <f t="shared" si="92"/>
        <v>-0.23576478766689152</v>
      </c>
    </row>
    <row r="211" spans="1:26" s="24" customFormat="1" hidden="1" outlineLevel="2" x14ac:dyDescent="0.25">
      <c r="A211" s="29"/>
      <c r="B211" s="11" t="str">
        <f>CONCATENATE("          ", "6286", " - ", "LAUNDRY EXPENSE")</f>
        <v xml:space="preserve">          6286 - LAUNDRY EXPENSE</v>
      </c>
      <c r="C211" s="11"/>
      <c r="D211" s="6">
        <v>1509.94</v>
      </c>
      <c r="E211" s="2"/>
      <c r="F211" s="7">
        <f t="shared" si="85"/>
        <v>1.6855837047188313E-3</v>
      </c>
      <c r="G211" s="2"/>
      <c r="H211" s="6">
        <v>4604</v>
      </c>
      <c r="I211" s="2"/>
      <c r="J211" s="7">
        <f t="shared" si="86"/>
        <v>2.1452518131431621E-3</v>
      </c>
      <c r="K211" s="2"/>
      <c r="L211" s="6">
        <f t="shared" si="87"/>
        <v>-3094.06</v>
      </c>
      <c r="M211" s="2"/>
      <c r="N211" s="7">
        <f t="shared" si="88"/>
        <v>-0.67203735881841875</v>
      </c>
      <c r="O211" s="11"/>
      <c r="P211" s="6">
        <v>5959.87</v>
      </c>
      <c r="Q211" s="2"/>
      <c r="R211" s="7">
        <f t="shared" si="89"/>
        <v>1.6630507963353413E-3</v>
      </c>
      <c r="S211" s="2"/>
      <c r="T211" s="6">
        <v>13788</v>
      </c>
      <c r="U211" s="2"/>
      <c r="V211" s="7">
        <f t="shared" si="90"/>
        <v>2.4577272867442974E-3</v>
      </c>
      <c r="W211" s="2"/>
      <c r="X211" s="6">
        <f t="shared" si="91"/>
        <v>-7828.13</v>
      </c>
      <c r="Y211" s="2"/>
      <c r="Z211" s="7">
        <f t="shared" si="92"/>
        <v>-0.56774949231215555</v>
      </c>
    </row>
    <row r="212" spans="1:26" s="28" customFormat="1" outlineLevel="1" collapsed="1" x14ac:dyDescent="0.25">
      <c r="A212" s="27"/>
      <c r="B212" s="14" t="str">
        <f>CONCATENATE("     ","Subscriptions &amp; Dues                              ")</f>
        <v xml:space="preserve">     Subscriptions &amp; Dues                              </v>
      </c>
      <c r="C212" s="14"/>
      <c r="D212" s="1">
        <f>SUM(OSRRefD22_21x_0)</f>
        <v>280.11</v>
      </c>
      <c r="E212" s="1"/>
      <c r="F212" s="5">
        <f t="shared" ref="F212:F214" si="93">IF(D$12=0,0,D212/D$12)</f>
        <v>3.1269378354689052E-4</v>
      </c>
      <c r="G212" s="1"/>
      <c r="H212" s="1">
        <f>SUM(OSRRefH22_21x_0)</f>
        <v>1473</v>
      </c>
      <c r="I212" s="1"/>
      <c r="J212" s="5">
        <f t="shared" ref="J212:J214" si="94">IF(H$12=0,0,H212/H$12)</f>
        <v>6.8635011311031231E-4</v>
      </c>
      <c r="K212" s="1"/>
      <c r="L212" s="1">
        <f t="shared" ref="L212:L214" si="95">+D212-H212</f>
        <v>-1192.8899999999999</v>
      </c>
      <c r="M212" s="1"/>
      <c r="N212" s="5">
        <f t="shared" ref="N212:N214" si="96">IF(H212=0,0,L212/H212)</f>
        <v>-0.80983706720977588</v>
      </c>
      <c r="O212" s="14"/>
      <c r="P212" s="1">
        <f>SUM(OSRRefP22_21x_0)</f>
        <v>924.43</v>
      </c>
      <c r="Q212" s="1"/>
      <c r="R212" s="5">
        <f t="shared" ref="R212:R214" si="97">IF(P$12=0,0,P212/P$12)</f>
        <v>2.5795429223393791E-4</v>
      </c>
      <c r="S212" s="1"/>
      <c r="T212" s="1">
        <f>SUM(OSRRefT22_21x_0)</f>
        <v>5814</v>
      </c>
      <c r="U212" s="1"/>
      <c r="V212" s="5">
        <f t="shared" ref="V212:V214" si="98">IF(T$12=0,0,T212/T$12)</f>
        <v>1.0363523676480523E-3</v>
      </c>
      <c r="W212" s="1"/>
      <c r="X212" s="1">
        <f t="shared" ref="X212:X214" si="99">+P212-T212</f>
        <v>-4889.57</v>
      </c>
      <c r="Y212" s="1"/>
      <c r="Z212" s="5">
        <f t="shared" ref="Z212:Z214" si="100">IF(T212=0,0,X212/T212)</f>
        <v>-0.84099931200550393</v>
      </c>
    </row>
    <row r="213" spans="1:26" s="24" customFormat="1" hidden="1" outlineLevel="2" x14ac:dyDescent="0.25">
      <c r="A213" s="29"/>
      <c r="B213" s="11" t="str">
        <f>CONCATENATE("          ", "6258", " - ", "MEMBERSHIP DUES")</f>
        <v xml:space="preserve">          6258 - MEMBERSHIP DUES</v>
      </c>
      <c r="C213" s="11"/>
      <c r="D213" s="6">
        <v>73.040000000000006</v>
      </c>
      <c r="E213" s="2"/>
      <c r="F213" s="7">
        <f t="shared" si="93"/>
        <v>8.1536374817981801E-5</v>
      </c>
      <c r="G213" s="2"/>
      <c r="H213" s="6">
        <v>1100</v>
      </c>
      <c r="I213" s="2"/>
      <c r="J213" s="7">
        <f t="shared" si="94"/>
        <v>5.1254930374836625E-4</v>
      </c>
      <c r="K213" s="2"/>
      <c r="L213" s="6">
        <f t="shared" si="95"/>
        <v>-1026.96</v>
      </c>
      <c r="M213" s="2"/>
      <c r="N213" s="7">
        <f t="shared" si="96"/>
        <v>-0.93359999999999999</v>
      </c>
      <c r="O213" s="11"/>
      <c r="P213" s="6">
        <v>633.04</v>
      </c>
      <c r="Q213" s="2"/>
      <c r="R213" s="7">
        <f t="shared" si="97"/>
        <v>1.7664440266517968E-4</v>
      </c>
      <c r="S213" s="2"/>
      <c r="T213" s="6">
        <v>4695</v>
      </c>
      <c r="U213" s="2"/>
      <c r="V213" s="7">
        <f t="shared" si="98"/>
        <v>8.3688929585614129E-4</v>
      </c>
      <c r="W213" s="2"/>
      <c r="X213" s="6">
        <f t="shared" si="99"/>
        <v>-4061.96</v>
      </c>
      <c r="Y213" s="2"/>
      <c r="Z213" s="7">
        <f t="shared" si="100"/>
        <v>-0.86516719914802986</v>
      </c>
    </row>
    <row r="214" spans="1:26" s="24" customFormat="1" hidden="1" outlineLevel="2" x14ac:dyDescent="0.25">
      <c r="A214" s="29"/>
      <c r="B214" s="11" t="str">
        <f>CONCATENATE("          ", "6275", " - ", "SUBSCRIPTIONS")</f>
        <v xml:space="preserve">          6275 - SUBSCRIPTIONS</v>
      </c>
      <c r="C214" s="11"/>
      <c r="D214" s="6">
        <v>207.07</v>
      </c>
      <c r="E214" s="2"/>
      <c r="F214" s="7">
        <f t="shared" si="93"/>
        <v>2.3115740872890869E-4</v>
      </c>
      <c r="G214" s="2"/>
      <c r="H214" s="6">
        <v>373</v>
      </c>
      <c r="I214" s="2"/>
      <c r="J214" s="7">
        <f t="shared" si="94"/>
        <v>1.73800809361946E-4</v>
      </c>
      <c r="K214" s="2"/>
      <c r="L214" s="6">
        <f t="shared" si="95"/>
        <v>-165.93</v>
      </c>
      <c r="M214" s="2"/>
      <c r="N214" s="7">
        <f t="shared" si="96"/>
        <v>-0.44485254691689008</v>
      </c>
      <c r="O214" s="11"/>
      <c r="P214" s="6">
        <v>291.39</v>
      </c>
      <c r="Q214" s="2"/>
      <c r="R214" s="7">
        <f t="shared" si="97"/>
        <v>8.1309889568758232E-5</v>
      </c>
      <c r="S214" s="2"/>
      <c r="T214" s="6">
        <v>1119</v>
      </c>
      <c r="U214" s="2"/>
      <c r="V214" s="7">
        <f t="shared" si="98"/>
        <v>1.99463071791911E-4</v>
      </c>
      <c r="W214" s="2"/>
      <c r="X214" s="6">
        <f t="shared" si="99"/>
        <v>-827.61</v>
      </c>
      <c r="Y214" s="2"/>
      <c r="Z214" s="7">
        <f t="shared" si="100"/>
        <v>-0.73959785522788202</v>
      </c>
    </row>
    <row r="215" spans="1:26" s="28" customFormat="1" outlineLevel="1" collapsed="1" x14ac:dyDescent="0.25">
      <c r="A215" s="27"/>
      <c r="B215" s="14" t="str">
        <f>CONCATENATE("     ","Supplies                                          ")</f>
        <v xml:space="preserve">     Supplies                                          </v>
      </c>
      <c r="C215" s="14"/>
      <c r="D215" s="1">
        <f>SUM(OSRRefD22_22x_0)</f>
        <v>23781.030000000002</v>
      </c>
      <c r="E215" s="1"/>
      <c r="F215" s="5">
        <f t="shared" ref="F215:F226" si="101">IF(D$12=0,0,D215/D$12)</f>
        <v>2.6547357278719468E-2</v>
      </c>
      <c r="G215" s="1"/>
      <c r="H215" s="1">
        <f>SUM(OSRRefH22_22x_0)</f>
        <v>78116</v>
      </c>
      <c r="I215" s="1"/>
      <c r="J215" s="5">
        <f t="shared" ref="J215:J226" si="102">IF(H$12=0,0,H215/H$12)</f>
        <v>3.639845582873398E-2</v>
      </c>
      <c r="K215" s="1"/>
      <c r="L215" s="1">
        <f t="shared" ref="L215:L226" si="103">+D215-H215</f>
        <v>-54334.97</v>
      </c>
      <c r="M215" s="1"/>
      <c r="N215" s="5">
        <f t="shared" ref="N215:N226" si="104">IF(H215=0,0,L215/H215)</f>
        <v>-0.69556774540427058</v>
      </c>
      <c r="O215" s="14"/>
      <c r="P215" s="1">
        <f>SUM(OSRRefP22_22x_0)</f>
        <v>78120.069999999992</v>
      </c>
      <c r="Q215" s="1"/>
      <c r="R215" s="5">
        <f t="shared" ref="R215:R226" si="105">IF(P$12=0,0,P215/P$12)</f>
        <v>2.1798737996512104E-2</v>
      </c>
      <c r="S215" s="1"/>
      <c r="T215" s="1">
        <f>SUM(OSRRefT22_22x_0)</f>
        <v>191904</v>
      </c>
      <c r="U215" s="1"/>
      <c r="V215" s="5">
        <f t="shared" ref="V215:V226" si="106">IF(T$12=0,0,T215/T$12)</f>
        <v>3.4207114681997219E-2</v>
      </c>
      <c r="W215" s="1"/>
      <c r="X215" s="1">
        <f t="shared" ref="X215:X226" si="107">+P215-T215</f>
        <v>-113783.93000000001</v>
      </c>
      <c r="Y215" s="1"/>
      <c r="Z215" s="5">
        <f t="shared" ref="Z215:Z226" si="108">IF(T215=0,0,X215/T215)</f>
        <v>-0.59292109596464904</v>
      </c>
    </row>
    <row r="216" spans="1:26" s="24" customFormat="1" hidden="1" outlineLevel="2" x14ac:dyDescent="0.25">
      <c r="A216" s="29"/>
      <c r="B216" s="11" t="str">
        <f>CONCATENATE("          ", "6234", " - ", "EXPENDABLE SUPPLIES &amp; EQUIPMEN")</f>
        <v xml:space="preserve">          6234 - EXPENDABLE SUPPLIES &amp; EQUIPMEN</v>
      </c>
      <c r="C216" s="11"/>
      <c r="D216" s="6">
        <v>316.67</v>
      </c>
      <c r="E216" s="2"/>
      <c r="F216" s="7">
        <f t="shared" si="101"/>
        <v>3.535066239541388E-4</v>
      </c>
      <c r="G216" s="2"/>
      <c r="H216" s="6">
        <v>7250</v>
      </c>
      <c r="I216" s="2"/>
      <c r="J216" s="7">
        <f t="shared" si="102"/>
        <v>3.378165865614232E-3</v>
      </c>
      <c r="K216" s="2"/>
      <c r="L216" s="6">
        <f t="shared" si="103"/>
        <v>-6933.33</v>
      </c>
      <c r="M216" s="2"/>
      <c r="N216" s="7">
        <f t="shared" si="104"/>
        <v>-0.95632137931034478</v>
      </c>
      <c r="O216" s="11"/>
      <c r="P216" s="6">
        <v>572.45000000000005</v>
      </c>
      <c r="Q216" s="2"/>
      <c r="R216" s="7">
        <f t="shared" si="105"/>
        <v>1.5973728090749734E-4</v>
      </c>
      <c r="S216" s="2"/>
      <c r="T216" s="6">
        <v>21750</v>
      </c>
      <c r="U216" s="2"/>
      <c r="V216" s="7">
        <f t="shared" si="106"/>
        <v>3.8769631916658305E-3</v>
      </c>
      <c r="W216" s="2"/>
      <c r="X216" s="6">
        <f t="shared" si="107"/>
        <v>-21177.55</v>
      </c>
      <c r="Y216" s="2"/>
      <c r="Z216" s="7">
        <f t="shared" si="108"/>
        <v>-0.97368045977011486</v>
      </c>
    </row>
    <row r="217" spans="1:26" s="24" customFormat="1" hidden="1" outlineLevel="2" x14ac:dyDescent="0.25">
      <c r="A217" s="29"/>
      <c r="B217" s="11" t="str">
        <f>CONCATENATE("          ", "6235", " - ", "COVID-19 EXPENSES")</f>
        <v xml:space="preserve">          6235 - COVID-19 EXPENSES</v>
      </c>
      <c r="C217" s="11"/>
      <c r="D217" s="6">
        <v>6506.04</v>
      </c>
      <c r="E217" s="2"/>
      <c r="F217" s="7">
        <f t="shared" si="101"/>
        <v>7.2628548195616417E-3</v>
      </c>
      <c r="G217" s="2"/>
      <c r="H217" s="6">
        <v>43100</v>
      </c>
      <c r="I217" s="2"/>
      <c r="J217" s="7">
        <f t="shared" si="102"/>
        <v>2.0082613628685988E-2</v>
      </c>
      <c r="K217" s="2"/>
      <c r="L217" s="6">
        <f t="shared" si="103"/>
        <v>-36593.96</v>
      </c>
      <c r="M217" s="2"/>
      <c r="N217" s="7">
        <f t="shared" si="104"/>
        <v>-0.84904779582366585</v>
      </c>
      <c r="O217" s="11"/>
      <c r="P217" s="6">
        <v>28511.02</v>
      </c>
      <c r="Q217" s="2"/>
      <c r="R217" s="7">
        <f t="shared" si="105"/>
        <v>7.9557565039728786E-3</v>
      </c>
      <c r="S217" s="2"/>
      <c r="T217" s="6">
        <v>92400</v>
      </c>
      <c r="U217" s="2"/>
      <c r="V217" s="7">
        <f t="shared" si="106"/>
        <v>1.6470409145283804E-2</v>
      </c>
      <c r="W217" s="2"/>
      <c r="X217" s="6">
        <f t="shared" si="107"/>
        <v>-63888.979999999996</v>
      </c>
      <c r="Y217" s="2"/>
      <c r="Z217" s="7">
        <f t="shared" si="108"/>
        <v>-0.69143917748917749</v>
      </c>
    </row>
    <row r="218" spans="1:26" s="24" customFormat="1" hidden="1" outlineLevel="2" x14ac:dyDescent="0.25">
      <c r="A218" s="29"/>
      <c r="B218" s="11" t="str">
        <f>CONCATENATE("          ", "6237", " - ", "JANITORIAL SUPPLIES")</f>
        <v xml:space="preserve">          6237 - JANITORIAL SUPPLIES</v>
      </c>
      <c r="C218" s="11"/>
      <c r="D218" s="6">
        <v>3806.33</v>
      </c>
      <c r="E218" s="2"/>
      <c r="F218" s="7">
        <f t="shared" si="101"/>
        <v>4.2491011714256384E-3</v>
      </c>
      <c r="G218" s="2"/>
      <c r="H218" s="6">
        <v>9561</v>
      </c>
      <c r="I218" s="2"/>
      <c r="J218" s="7">
        <f t="shared" si="102"/>
        <v>4.4549853573983E-3</v>
      </c>
      <c r="K218" s="2"/>
      <c r="L218" s="6">
        <f t="shared" si="103"/>
        <v>-5754.67</v>
      </c>
      <c r="M218" s="2"/>
      <c r="N218" s="7">
        <f t="shared" si="104"/>
        <v>-0.60188996966844477</v>
      </c>
      <c r="O218" s="11"/>
      <c r="P218" s="6">
        <v>6550.59</v>
      </c>
      <c r="Q218" s="2"/>
      <c r="R218" s="7">
        <f t="shared" si="105"/>
        <v>1.8278861646254573E-3</v>
      </c>
      <c r="S218" s="2"/>
      <c r="T218" s="6">
        <v>25323</v>
      </c>
      <c r="U218" s="2"/>
      <c r="V218" s="7">
        <f t="shared" si="106"/>
        <v>4.5138546621863824E-3</v>
      </c>
      <c r="W218" s="2"/>
      <c r="X218" s="6">
        <f t="shared" si="107"/>
        <v>-18772.41</v>
      </c>
      <c r="Y218" s="2"/>
      <c r="Z218" s="7">
        <f t="shared" si="108"/>
        <v>-0.74131856415116693</v>
      </c>
    </row>
    <row r="219" spans="1:26" s="24" customFormat="1" hidden="1" outlineLevel="2" x14ac:dyDescent="0.25">
      <c r="A219" s="29"/>
      <c r="B219" s="11" t="str">
        <f>CONCATENATE("          ", "6239", " - ", "KITCHEN SUPPLIES")</f>
        <v xml:space="preserve">          6239 - KITCHEN SUPPLIES</v>
      </c>
      <c r="C219" s="11"/>
      <c r="D219" s="6">
        <v>553.01</v>
      </c>
      <c r="E219" s="2"/>
      <c r="F219" s="7">
        <f t="shared" si="101"/>
        <v>6.1733886415788765E-4</v>
      </c>
      <c r="G219" s="2"/>
      <c r="H219" s="6">
        <v>2313</v>
      </c>
      <c r="I219" s="2"/>
      <c r="J219" s="7">
        <f t="shared" si="102"/>
        <v>1.0777513996090646E-3</v>
      </c>
      <c r="K219" s="2"/>
      <c r="L219" s="6">
        <f t="shared" si="103"/>
        <v>-1759.99</v>
      </c>
      <c r="M219" s="2"/>
      <c r="N219" s="7">
        <f t="shared" si="104"/>
        <v>-0.76091223519239082</v>
      </c>
      <c r="O219" s="11"/>
      <c r="P219" s="6">
        <v>2927.32</v>
      </c>
      <c r="Q219" s="2"/>
      <c r="R219" s="7">
        <f t="shared" si="105"/>
        <v>8.1684363201351231E-4</v>
      </c>
      <c r="S219" s="2"/>
      <c r="T219" s="6">
        <v>6249</v>
      </c>
      <c r="U219" s="2"/>
      <c r="V219" s="7">
        <f t="shared" si="106"/>
        <v>1.1138916314813688E-3</v>
      </c>
      <c r="W219" s="2"/>
      <c r="X219" s="6">
        <f t="shared" si="107"/>
        <v>-3321.68</v>
      </c>
      <c r="Y219" s="2"/>
      <c r="Z219" s="7">
        <f t="shared" si="108"/>
        <v>-0.53155384861577848</v>
      </c>
    </row>
    <row r="220" spans="1:26" s="24" customFormat="1" hidden="1" outlineLevel="2" x14ac:dyDescent="0.25">
      <c r="A220" s="29"/>
      <c r="B220" s="11" t="str">
        <f>CONCATENATE("          ", "6241", " - ", "OFFICE EXPENSE")</f>
        <v xml:space="preserve">          6241 - OFFICE EXPENSE</v>
      </c>
      <c r="C220" s="11"/>
      <c r="D220" s="6">
        <v>5659.43</v>
      </c>
      <c r="E220" s="2"/>
      <c r="F220" s="7">
        <f t="shared" si="101"/>
        <v>6.3177629481945613E-3</v>
      </c>
      <c r="G220" s="2"/>
      <c r="H220" s="6">
        <v>1843</v>
      </c>
      <c r="I220" s="2"/>
      <c r="J220" s="7">
        <f t="shared" si="102"/>
        <v>8.5875306073476267E-4</v>
      </c>
      <c r="K220" s="2"/>
      <c r="L220" s="6">
        <f t="shared" si="103"/>
        <v>3816.4300000000003</v>
      </c>
      <c r="M220" s="2"/>
      <c r="N220" s="7">
        <f t="shared" si="104"/>
        <v>2.0707704829083018</v>
      </c>
      <c r="O220" s="11"/>
      <c r="P220" s="6">
        <v>15326.889999999998</v>
      </c>
      <c r="Q220" s="2"/>
      <c r="R220" s="7">
        <f t="shared" si="105"/>
        <v>4.2768376860307647E-3</v>
      </c>
      <c r="S220" s="2"/>
      <c r="T220" s="6">
        <v>9797</v>
      </c>
      <c r="U220" s="2"/>
      <c r="V220" s="7">
        <f t="shared" si="106"/>
        <v>1.7463268224712709E-3</v>
      </c>
      <c r="W220" s="2"/>
      <c r="X220" s="6">
        <f t="shared" si="107"/>
        <v>5529.8899999999976</v>
      </c>
      <c r="Y220" s="2"/>
      <c r="Z220" s="7">
        <f t="shared" si="108"/>
        <v>0.56444727977952414</v>
      </c>
    </row>
    <row r="221" spans="1:26" s="24" customFormat="1" hidden="1" outlineLevel="2" x14ac:dyDescent="0.25">
      <c r="A221" s="29"/>
      <c r="B221" s="11" t="str">
        <f>CONCATENATE("          ", "6243", " - ", "PAPER SUPPLIES")</f>
        <v xml:space="preserve">          6243 - PAPER SUPPLIES</v>
      </c>
      <c r="C221" s="11"/>
      <c r="D221" s="6"/>
      <c r="E221" s="2"/>
      <c r="F221" s="7">
        <f t="shared" si="101"/>
        <v>0</v>
      </c>
      <c r="G221" s="2"/>
      <c r="H221" s="6">
        <v>1825</v>
      </c>
      <c r="I221" s="2"/>
      <c r="J221" s="7">
        <f t="shared" si="102"/>
        <v>8.503658903097895E-4</v>
      </c>
      <c r="K221" s="2"/>
      <c r="L221" s="6">
        <f t="shared" si="103"/>
        <v>-1825</v>
      </c>
      <c r="M221" s="2"/>
      <c r="N221" s="7">
        <f t="shared" si="104"/>
        <v>-1</v>
      </c>
      <c r="O221" s="11"/>
      <c r="P221" s="6">
        <v>6784.86</v>
      </c>
      <c r="Q221" s="2"/>
      <c r="R221" s="7">
        <f t="shared" si="105"/>
        <v>1.893257206285339E-3</v>
      </c>
      <c r="S221" s="2"/>
      <c r="T221" s="6">
        <v>6178</v>
      </c>
      <c r="U221" s="2"/>
      <c r="V221" s="7">
        <f t="shared" si="106"/>
        <v>1.1012357976143219E-3</v>
      </c>
      <c r="W221" s="2"/>
      <c r="X221" s="6">
        <f t="shared" si="107"/>
        <v>606.85999999999967</v>
      </c>
      <c r="Y221" s="2"/>
      <c r="Z221" s="7">
        <f t="shared" si="108"/>
        <v>9.8229200388475185E-2</v>
      </c>
    </row>
    <row r="222" spans="1:26" s="24" customFormat="1" hidden="1" outlineLevel="2" x14ac:dyDescent="0.25">
      <c r="A222" s="29"/>
      <c r="B222" s="11" t="str">
        <f>CONCATENATE("          ", "6244", " - ", "SAFETY SUPPLY EXPENSE")</f>
        <v xml:space="preserve">          6244 - SAFETY SUPPLY EXPENSE</v>
      </c>
      <c r="C222" s="11"/>
      <c r="D222" s="6"/>
      <c r="E222" s="2"/>
      <c r="F222" s="7">
        <f t="shared" si="101"/>
        <v>0</v>
      </c>
      <c r="G222" s="2"/>
      <c r="H222" s="6">
        <v>120</v>
      </c>
      <c r="I222" s="2"/>
      <c r="J222" s="7">
        <f t="shared" si="102"/>
        <v>5.5914469499821772E-5</v>
      </c>
      <c r="K222" s="2"/>
      <c r="L222" s="6">
        <f t="shared" si="103"/>
        <v>-120</v>
      </c>
      <c r="M222" s="2"/>
      <c r="N222" s="7">
        <f t="shared" si="104"/>
        <v>-1</v>
      </c>
      <c r="O222" s="11"/>
      <c r="P222" s="6"/>
      <c r="Q222" s="2"/>
      <c r="R222" s="7">
        <f t="shared" si="105"/>
        <v>0</v>
      </c>
      <c r="S222" s="2"/>
      <c r="T222" s="6">
        <v>425</v>
      </c>
      <c r="U222" s="2"/>
      <c r="V222" s="7">
        <f t="shared" si="106"/>
        <v>7.5756752021056455E-5</v>
      </c>
      <c r="W222" s="2"/>
      <c r="X222" s="6">
        <f t="shared" si="107"/>
        <v>-425</v>
      </c>
      <c r="Y222" s="2"/>
      <c r="Z222" s="7">
        <f t="shared" si="108"/>
        <v>-1</v>
      </c>
    </row>
    <row r="223" spans="1:26" s="24" customFormat="1" hidden="1" outlineLevel="2" x14ac:dyDescent="0.25">
      <c r="A223" s="29"/>
      <c r="B223" s="11" t="str">
        <f>CONCATENATE("          ", "6245", " - ", "PRINTING")</f>
        <v xml:space="preserve">          6245 - PRINTING</v>
      </c>
      <c r="C223" s="11"/>
      <c r="D223" s="6">
        <v>356.96</v>
      </c>
      <c r="E223" s="2"/>
      <c r="F223" s="7">
        <f t="shared" si="101"/>
        <v>3.9848335644888802E-4</v>
      </c>
      <c r="G223" s="2"/>
      <c r="H223" s="6">
        <v>500</v>
      </c>
      <c r="I223" s="2"/>
      <c r="J223" s="7">
        <f t="shared" si="102"/>
        <v>2.3297695624925738E-4</v>
      </c>
      <c r="K223" s="2"/>
      <c r="L223" s="6">
        <f t="shared" si="103"/>
        <v>-143.04000000000002</v>
      </c>
      <c r="M223" s="2"/>
      <c r="N223" s="7">
        <f t="shared" si="104"/>
        <v>-0.28608000000000006</v>
      </c>
      <c r="O223" s="11"/>
      <c r="P223" s="6">
        <v>61.46</v>
      </c>
      <c r="Q223" s="2"/>
      <c r="R223" s="7">
        <f t="shared" si="105"/>
        <v>1.7149887823521333E-5</v>
      </c>
      <c r="S223" s="2"/>
      <c r="T223" s="6">
        <v>2900</v>
      </c>
      <c r="U223" s="2"/>
      <c r="V223" s="7">
        <f t="shared" si="106"/>
        <v>5.1692842555544401E-4</v>
      </c>
      <c r="W223" s="2"/>
      <c r="X223" s="6">
        <f t="shared" si="107"/>
        <v>-2838.54</v>
      </c>
      <c r="Y223" s="2"/>
      <c r="Z223" s="7">
        <f t="shared" si="108"/>
        <v>-0.97880689655172415</v>
      </c>
    </row>
    <row r="224" spans="1:26" s="24" customFormat="1" hidden="1" outlineLevel="2" x14ac:dyDescent="0.25">
      <c r="A224" s="29"/>
      <c r="B224" s="11" t="str">
        <f>CONCATENATE("          ", "6246", " - ", "REPLACEMENTS")</f>
        <v xml:space="preserve">          6246 - REPLACEMENTS</v>
      </c>
      <c r="C224" s="11"/>
      <c r="D224" s="6"/>
      <c r="E224" s="2"/>
      <c r="F224" s="7">
        <f t="shared" si="101"/>
        <v>0</v>
      </c>
      <c r="G224" s="2"/>
      <c r="H224" s="6">
        <v>0</v>
      </c>
      <c r="I224" s="2"/>
      <c r="J224" s="7">
        <f t="shared" si="102"/>
        <v>0</v>
      </c>
      <c r="K224" s="2"/>
      <c r="L224" s="6">
        <f t="shared" si="103"/>
        <v>0</v>
      </c>
      <c r="M224" s="2"/>
      <c r="N224" s="7">
        <f t="shared" si="104"/>
        <v>0</v>
      </c>
      <c r="O224" s="11"/>
      <c r="P224" s="6"/>
      <c r="Q224" s="2"/>
      <c r="R224" s="7">
        <f t="shared" si="105"/>
        <v>0</v>
      </c>
      <c r="S224" s="2"/>
      <c r="T224" s="6">
        <v>0</v>
      </c>
      <c r="U224" s="2"/>
      <c r="V224" s="7">
        <f t="shared" si="106"/>
        <v>0</v>
      </c>
      <c r="W224" s="2"/>
      <c r="X224" s="6">
        <f t="shared" si="107"/>
        <v>0</v>
      </c>
      <c r="Y224" s="2"/>
      <c r="Z224" s="7">
        <f t="shared" si="108"/>
        <v>0</v>
      </c>
    </row>
    <row r="225" spans="1:26" s="24" customFormat="1" hidden="1" outlineLevel="2" x14ac:dyDescent="0.25">
      <c r="A225" s="29"/>
      <c r="B225" s="11" t="str">
        <f>CONCATENATE("          ", "6247", " - ", "STORE SUPPLIES")</f>
        <v xml:space="preserve">          6247 - STORE SUPPLIES</v>
      </c>
      <c r="C225" s="11"/>
      <c r="D225" s="6">
        <v>6278.89</v>
      </c>
      <c r="E225" s="2"/>
      <c r="F225" s="7">
        <f t="shared" si="101"/>
        <v>7.0092816057075267E-3</v>
      </c>
      <c r="G225" s="2"/>
      <c r="H225" s="6">
        <v>9604</v>
      </c>
      <c r="I225" s="2"/>
      <c r="J225" s="7">
        <f t="shared" si="102"/>
        <v>4.4750213756357361E-3</v>
      </c>
      <c r="K225" s="2"/>
      <c r="L225" s="6">
        <f t="shared" si="103"/>
        <v>-3325.1099999999997</v>
      </c>
      <c r="M225" s="2"/>
      <c r="N225" s="7">
        <f t="shared" si="104"/>
        <v>-0.34622136609745935</v>
      </c>
      <c r="O225" s="11"/>
      <c r="P225" s="6">
        <v>13570.8</v>
      </c>
      <c r="Q225" s="2"/>
      <c r="R225" s="7">
        <f t="shared" si="105"/>
        <v>3.7868157773420642E-3</v>
      </c>
      <c r="S225" s="2"/>
      <c r="T225" s="6">
        <v>17832</v>
      </c>
      <c r="U225" s="2"/>
      <c r="V225" s="7">
        <f t="shared" si="106"/>
        <v>3.1785750636223031E-3</v>
      </c>
      <c r="W225" s="2"/>
      <c r="X225" s="6">
        <f t="shared" si="107"/>
        <v>-4261.2000000000007</v>
      </c>
      <c r="Y225" s="2"/>
      <c r="Z225" s="7">
        <f t="shared" si="108"/>
        <v>-0.23896366083445494</v>
      </c>
    </row>
    <row r="226" spans="1:26" s="24" customFormat="1" hidden="1" outlineLevel="2" x14ac:dyDescent="0.25">
      <c r="A226" s="29"/>
      <c r="B226" s="11" t="str">
        <f>CONCATENATE("          ", "6248", " - ", "UNIFORMS")</f>
        <v xml:space="preserve">          6248 - UNIFORMS</v>
      </c>
      <c r="C226" s="11"/>
      <c r="D226" s="6">
        <v>303.7</v>
      </c>
      <c r="E226" s="2"/>
      <c r="F226" s="7">
        <f t="shared" si="101"/>
        <v>3.3902788926918226E-4</v>
      </c>
      <c r="G226" s="2"/>
      <c r="H226" s="6">
        <v>2000</v>
      </c>
      <c r="I226" s="2"/>
      <c r="J226" s="7">
        <f t="shared" si="102"/>
        <v>9.3190782499702951E-4</v>
      </c>
      <c r="K226" s="2"/>
      <c r="L226" s="6">
        <f t="shared" si="103"/>
        <v>-1696.3</v>
      </c>
      <c r="M226" s="2"/>
      <c r="N226" s="7">
        <f t="shared" si="104"/>
        <v>-0.84814999999999996</v>
      </c>
      <c r="O226" s="11"/>
      <c r="P226" s="6">
        <v>3814.68</v>
      </c>
      <c r="Q226" s="2"/>
      <c r="R226" s="7">
        <f t="shared" si="105"/>
        <v>1.0644538575110699E-3</v>
      </c>
      <c r="S226" s="2"/>
      <c r="T226" s="6">
        <v>9050</v>
      </c>
      <c r="U226" s="2"/>
      <c r="V226" s="7">
        <f t="shared" si="106"/>
        <v>1.6131731900954375E-3</v>
      </c>
      <c r="W226" s="2"/>
      <c r="X226" s="6">
        <f t="shared" si="107"/>
        <v>-5235.32</v>
      </c>
      <c r="Y226" s="2"/>
      <c r="Z226" s="7">
        <f t="shared" si="108"/>
        <v>-0.57848839779005523</v>
      </c>
    </row>
    <row r="227" spans="1:26" s="28" customFormat="1" outlineLevel="1" collapsed="1" x14ac:dyDescent="0.25">
      <c r="A227" s="27"/>
      <c r="B227" s="14" t="str">
        <f>CONCATENATE("     ","Telephone/Data Lines                              ")</f>
        <v xml:space="preserve">     Telephone/Data Lines                              </v>
      </c>
      <c r="C227" s="14"/>
      <c r="D227" s="1">
        <f>SUM(OSRRefD22_23x_0)</f>
        <v>8053.04</v>
      </c>
      <c r="E227" s="1"/>
      <c r="F227" s="5">
        <f t="shared" ref="F227:F229" si="109">IF(D$12=0,0,D227/D$12)</f>
        <v>8.989809527165939E-3</v>
      </c>
      <c r="G227" s="1"/>
      <c r="H227" s="1">
        <f>SUM(OSRRefH22_23x_0)</f>
        <v>5755</v>
      </c>
      <c r="I227" s="1"/>
      <c r="J227" s="5">
        <f t="shared" ref="J227:J229" si="110">IF(H$12=0,0,H227/H$12)</f>
        <v>2.6815647664289524E-3</v>
      </c>
      <c r="K227" s="1"/>
      <c r="L227" s="1">
        <f t="shared" ref="L227:L229" si="111">+D227-H227</f>
        <v>2298.04</v>
      </c>
      <c r="M227" s="1"/>
      <c r="N227" s="5">
        <f t="shared" ref="N227:N229" si="112">IF(H227=0,0,L227/H227)</f>
        <v>0.39931190269331018</v>
      </c>
      <c r="O227" s="14"/>
      <c r="P227" s="1">
        <f>SUM(OSRRefP22_23x_0)</f>
        <v>17902.070000000003</v>
      </c>
      <c r="Q227" s="1"/>
      <c r="R227" s="5">
        <f t="shared" ref="R227:R229" si="113">IF(P$12=0,0,P227/P$12)</f>
        <v>4.9954196600850405E-3</v>
      </c>
      <c r="S227" s="1"/>
      <c r="T227" s="1">
        <f>SUM(OSRRefT22_23x_0)</f>
        <v>15314</v>
      </c>
      <c r="U227" s="1"/>
      <c r="V227" s="5">
        <f t="shared" ref="V227:V229" si="114">IF(T$12=0,0,T227/T$12)</f>
        <v>2.7297385892951966E-3</v>
      </c>
      <c r="W227" s="1"/>
      <c r="X227" s="1">
        <f t="shared" ref="X227:X229" si="115">+P227-T227</f>
        <v>2588.0700000000033</v>
      </c>
      <c r="Y227" s="1"/>
      <c r="Z227" s="5">
        <f t="shared" ref="Z227:Z229" si="116">IF(T227=0,0,X227/T227)</f>
        <v>0.16900026119890318</v>
      </c>
    </row>
    <row r="228" spans="1:26" s="24" customFormat="1" hidden="1" outlineLevel="2" x14ac:dyDescent="0.25">
      <c r="A228" s="29"/>
      <c r="B228" s="11" t="str">
        <f>CONCATENATE("          ", "6303", " - ", "DATA PHONE LINES")</f>
        <v xml:space="preserve">          6303 - DATA PHONE LINES</v>
      </c>
      <c r="C228" s="11"/>
      <c r="D228" s="6">
        <v>885</v>
      </c>
      <c r="E228" s="2"/>
      <c r="F228" s="7">
        <f t="shared" si="109"/>
        <v>9.8794758644460412E-4</v>
      </c>
      <c r="G228" s="2"/>
      <c r="H228" s="6">
        <v>1565</v>
      </c>
      <c r="I228" s="2"/>
      <c r="J228" s="7">
        <f t="shared" si="110"/>
        <v>7.2921787306017558E-4</v>
      </c>
      <c r="K228" s="2"/>
      <c r="L228" s="6">
        <f t="shared" si="111"/>
        <v>-680</v>
      </c>
      <c r="M228" s="2"/>
      <c r="N228" s="7">
        <f t="shared" si="112"/>
        <v>-0.43450479233226835</v>
      </c>
      <c r="O228" s="11"/>
      <c r="P228" s="6">
        <v>1180</v>
      </c>
      <c r="Q228" s="2"/>
      <c r="R228" s="7">
        <f t="shared" si="113"/>
        <v>3.2926891688504995E-4</v>
      </c>
      <c r="S228" s="2"/>
      <c r="T228" s="6">
        <v>4534</v>
      </c>
      <c r="U228" s="2"/>
      <c r="V228" s="7">
        <f t="shared" si="114"/>
        <v>8.0819085567875287E-4</v>
      </c>
      <c r="W228" s="2"/>
      <c r="X228" s="6">
        <f t="shared" si="115"/>
        <v>-3354</v>
      </c>
      <c r="Y228" s="2"/>
      <c r="Z228" s="7">
        <f t="shared" si="116"/>
        <v>-0.73974415527128368</v>
      </c>
    </row>
    <row r="229" spans="1:26" s="24" customFormat="1" hidden="1" outlineLevel="2" x14ac:dyDescent="0.25">
      <c r="A229" s="29"/>
      <c r="B229" s="11" t="str">
        <f>CONCATENATE("          ", "6309", " - ", "TELEPHONE")</f>
        <v xml:space="preserve">          6309 - TELEPHONE</v>
      </c>
      <c r="C229" s="11"/>
      <c r="D229" s="6">
        <v>7168.04</v>
      </c>
      <c r="E229" s="2"/>
      <c r="F229" s="7">
        <f t="shared" si="109"/>
        <v>8.0018619407213349E-3</v>
      </c>
      <c r="G229" s="2"/>
      <c r="H229" s="6">
        <v>4190</v>
      </c>
      <c r="I229" s="2"/>
      <c r="J229" s="7">
        <f t="shared" si="110"/>
        <v>1.9523468933687769E-3</v>
      </c>
      <c r="K229" s="2"/>
      <c r="L229" s="6">
        <f t="shared" si="111"/>
        <v>2978.04</v>
      </c>
      <c r="M229" s="2"/>
      <c r="N229" s="7">
        <f t="shared" si="112"/>
        <v>0.71074940334128878</v>
      </c>
      <c r="O229" s="11"/>
      <c r="P229" s="6">
        <v>16722.070000000003</v>
      </c>
      <c r="Q229" s="2"/>
      <c r="R229" s="7">
        <f t="shared" si="113"/>
        <v>4.6661507431999903E-3</v>
      </c>
      <c r="S229" s="2"/>
      <c r="T229" s="6">
        <v>10780</v>
      </c>
      <c r="U229" s="2"/>
      <c r="V229" s="7">
        <f t="shared" si="114"/>
        <v>1.9215477336164436E-3</v>
      </c>
      <c r="W229" s="2"/>
      <c r="X229" s="6">
        <f t="shared" si="115"/>
        <v>5942.0700000000033</v>
      </c>
      <c r="Y229" s="2"/>
      <c r="Z229" s="7">
        <f t="shared" si="116"/>
        <v>0.55121243042671642</v>
      </c>
    </row>
    <row r="230" spans="1:26" s="28" customFormat="1" outlineLevel="1" collapsed="1" x14ac:dyDescent="0.25">
      <c r="A230" s="27"/>
      <c r="B230" s="14" t="str">
        <f>CONCATENATE("     ","Training                                          ")</f>
        <v xml:space="preserve">     Training                                          </v>
      </c>
      <c r="C230" s="14"/>
      <c r="D230" s="1">
        <f>SUM(OSRRefD22_24x_0)</f>
        <v>0</v>
      </c>
      <c r="E230" s="1"/>
      <c r="F230" s="5">
        <f t="shared" ref="F230:F235" si="117">IF(D$12=0,0,D230/D$12)</f>
        <v>0</v>
      </c>
      <c r="G230" s="1"/>
      <c r="H230" s="1">
        <f>SUM(OSRRefH22_24x_0)</f>
        <v>750</v>
      </c>
      <c r="I230" s="1"/>
      <c r="J230" s="5">
        <f t="shared" ref="J230:J235" si="118">IF(H$12=0,0,H230/H$12)</f>
        <v>3.4946543437388607E-4</v>
      </c>
      <c r="K230" s="1"/>
      <c r="L230" s="1">
        <f t="shared" ref="L230:L235" si="119">+D230-H230</f>
        <v>-750</v>
      </c>
      <c r="M230" s="1"/>
      <c r="N230" s="5">
        <f t="shared" ref="N230:N235" si="120">IF(H230=0,0,L230/H230)</f>
        <v>-1</v>
      </c>
      <c r="O230" s="14"/>
      <c r="P230" s="1">
        <f>SUM(OSRRefP22_24x_0)</f>
        <v>481.63</v>
      </c>
      <c r="Q230" s="1"/>
      <c r="R230" s="5">
        <f t="shared" ref="R230:R235" si="121">IF(P$12=0,0,P230/P$12)</f>
        <v>1.3439473596554797E-4</v>
      </c>
      <c r="S230" s="1"/>
      <c r="T230" s="1">
        <f>SUM(OSRRefT22_24x_0)</f>
        <v>2080</v>
      </c>
      <c r="U230" s="1"/>
      <c r="V230" s="5">
        <f t="shared" ref="V230:V235" si="122">IF(T$12=0,0,T230/T$12)</f>
        <v>3.707624569501116E-4</v>
      </c>
      <c r="W230" s="1"/>
      <c r="X230" s="1">
        <f t="shared" ref="X230:X235" si="123">+P230-T230</f>
        <v>-1598.37</v>
      </c>
      <c r="Y230" s="1"/>
      <c r="Z230" s="5">
        <f t="shared" ref="Z230:Z235" si="124">IF(T230=0,0,X230/T230)</f>
        <v>-0.7684471153846153</v>
      </c>
    </row>
    <row r="231" spans="1:26" s="24" customFormat="1" hidden="1" outlineLevel="2" x14ac:dyDescent="0.25">
      <c r="A231" s="29"/>
      <c r="B231" s="11" t="str">
        <f>CONCATENATE("          ", "6376", " - ", "TRAINING")</f>
        <v xml:space="preserve">          6376 - TRAINING</v>
      </c>
      <c r="C231" s="11"/>
      <c r="D231" s="6"/>
      <c r="E231" s="2"/>
      <c r="F231" s="7">
        <f t="shared" si="117"/>
        <v>0</v>
      </c>
      <c r="G231" s="2"/>
      <c r="H231" s="6">
        <v>750</v>
      </c>
      <c r="I231" s="2"/>
      <c r="J231" s="7">
        <f t="shared" si="118"/>
        <v>3.4946543437388607E-4</v>
      </c>
      <c r="K231" s="2"/>
      <c r="L231" s="6">
        <f t="shared" si="119"/>
        <v>-750</v>
      </c>
      <c r="M231" s="2"/>
      <c r="N231" s="7">
        <f t="shared" si="120"/>
        <v>-1</v>
      </c>
      <c r="O231" s="11"/>
      <c r="P231" s="6">
        <v>481.63</v>
      </c>
      <c r="Q231" s="2"/>
      <c r="R231" s="7">
        <f t="shared" si="121"/>
        <v>1.3439473596554797E-4</v>
      </c>
      <c r="S231" s="2"/>
      <c r="T231" s="6">
        <v>2080</v>
      </c>
      <c r="U231" s="2"/>
      <c r="V231" s="7">
        <f t="shared" si="122"/>
        <v>3.707624569501116E-4</v>
      </c>
      <c r="W231" s="2"/>
      <c r="X231" s="6">
        <f t="shared" si="123"/>
        <v>-1598.37</v>
      </c>
      <c r="Y231" s="2"/>
      <c r="Z231" s="7">
        <f t="shared" si="124"/>
        <v>-0.7684471153846153</v>
      </c>
    </row>
    <row r="232" spans="1:26" s="28" customFormat="1" outlineLevel="1" collapsed="1" x14ac:dyDescent="0.25">
      <c r="A232" s="27"/>
      <c r="B232" s="14" t="str">
        <f>CONCATENATE("     ","Travel                                            ")</f>
        <v xml:space="preserve">     Travel                                            </v>
      </c>
      <c r="C232" s="14"/>
      <c r="D232" s="1">
        <f>SUM(OSRRefD22_25x_0)</f>
        <v>152.52000000000001</v>
      </c>
      <c r="E232" s="1"/>
      <c r="F232" s="5">
        <f t="shared" si="117"/>
        <v>1.7026188235540231E-4</v>
      </c>
      <c r="G232" s="1"/>
      <c r="H232" s="1">
        <f>SUM(OSRRefH22_25x_0)</f>
        <v>350</v>
      </c>
      <c r="I232" s="1"/>
      <c r="J232" s="5">
        <f t="shared" si="118"/>
        <v>1.6308386937448016E-4</v>
      </c>
      <c r="K232" s="1"/>
      <c r="L232" s="1">
        <f t="shared" si="119"/>
        <v>-197.48</v>
      </c>
      <c r="M232" s="1"/>
      <c r="N232" s="5">
        <f t="shared" si="120"/>
        <v>-0.56422857142857141</v>
      </c>
      <c r="O232" s="14"/>
      <c r="P232" s="1">
        <f>SUM(OSRRefP22_25x_0)</f>
        <v>633.18000000000006</v>
      </c>
      <c r="Q232" s="1"/>
      <c r="R232" s="5">
        <f t="shared" si="121"/>
        <v>1.7668346846887794E-4</v>
      </c>
      <c r="S232" s="1"/>
      <c r="T232" s="1">
        <f>SUM(OSRRefT22_25x_0)</f>
        <v>1050</v>
      </c>
      <c r="U232" s="1"/>
      <c r="V232" s="5">
        <f t="shared" si="122"/>
        <v>1.8716374028731594E-4</v>
      </c>
      <c r="W232" s="1"/>
      <c r="X232" s="1">
        <f t="shared" si="123"/>
        <v>-416.81999999999994</v>
      </c>
      <c r="Y232" s="1"/>
      <c r="Z232" s="5">
        <f t="shared" si="124"/>
        <v>-0.39697142857142853</v>
      </c>
    </row>
    <row r="233" spans="1:26" s="24" customFormat="1" hidden="1" outlineLevel="2" x14ac:dyDescent="0.25">
      <c r="A233" s="29"/>
      <c r="B233" s="11" t="str">
        <f>CONCATENATE("          ", "6292", " - ", "TRAVEL/CONFERENCE")</f>
        <v xml:space="preserve">          6292 - TRAVEL/CONFERENCE</v>
      </c>
      <c r="C233" s="11"/>
      <c r="D233" s="6"/>
      <c r="E233" s="2"/>
      <c r="F233" s="7">
        <f t="shared" si="117"/>
        <v>0</v>
      </c>
      <c r="G233" s="2"/>
      <c r="H233" s="6">
        <v>300</v>
      </c>
      <c r="I233" s="2"/>
      <c r="J233" s="7">
        <f t="shared" si="118"/>
        <v>1.3978617374955444E-4</v>
      </c>
      <c r="K233" s="2"/>
      <c r="L233" s="6">
        <f t="shared" si="119"/>
        <v>-300</v>
      </c>
      <c r="M233" s="2"/>
      <c r="N233" s="7">
        <f t="shared" si="120"/>
        <v>-1</v>
      </c>
      <c r="O233" s="11"/>
      <c r="P233" s="6">
        <v>0.16</v>
      </c>
      <c r="Q233" s="2"/>
      <c r="R233" s="7">
        <f t="shared" si="121"/>
        <v>4.4646632797972876E-8</v>
      </c>
      <c r="S233" s="2"/>
      <c r="T233" s="6">
        <v>900</v>
      </c>
      <c r="U233" s="2"/>
      <c r="V233" s="7">
        <f t="shared" si="122"/>
        <v>1.6042606310341366E-4</v>
      </c>
      <c r="W233" s="2"/>
      <c r="X233" s="6">
        <f t="shared" si="123"/>
        <v>-899.84</v>
      </c>
      <c r="Y233" s="2"/>
      <c r="Z233" s="7">
        <f t="shared" si="124"/>
        <v>-0.99982222222222228</v>
      </c>
    </row>
    <row r="234" spans="1:26" s="24" customFormat="1" hidden="1" outlineLevel="2" x14ac:dyDescent="0.25">
      <c r="A234" s="29"/>
      <c r="B234" s="11" t="str">
        <f>CONCATENATE("          ", "6294", " - ", "TRAVEL OPERATIONAL")</f>
        <v xml:space="preserve">          6294 - TRAVEL OPERATIONAL</v>
      </c>
      <c r="C234" s="11"/>
      <c r="D234" s="6"/>
      <c r="E234" s="2"/>
      <c r="F234" s="7">
        <f t="shared" si="117"/>
        <v>0</v>
      </c>
      <c r="G234" s="2"/>
      <c r="H234" s="6">
        <v>25</v>
      </c>
      <c r="I234" s="2"/>
      <c r="J234" s="7">
        <f t="shared" si="118"/>
        <v>1.1648847812462869E-5</v>
      </c>
      <c r="K234" s="2"/>
      <c r="L234" s="6">
        <f t="shared" si="119"/>
        <v>-25</v>
      </c>
      <c r="M234" s="2"/>
      <c r="N234" s="7">
        <f t="shared" si="120"/>
        <v>-1</v>
      </c>
      <c r="O234" s="11"/>
      <c r="P234" s="6">
        <v>240.92</v>
      </c>
      <c r="Q234" s="2"/>
      <c r="R234" s="7">
        <f t="shared" si="121"/>
        <v>6.7226667335547658E-5</v>
      </c>
      <c r="S234" s="2"/>
      <c r="T234" s="6">
        <v>75</v>
      </c>
      <c r="U234" s="2"/>
      <c r="V234" s="7">
        <f t="shared" si="122"/>
        <v>1.3368838591951139E-5</v>
      </c>
      <c r="W234" s="2"/>
      <c r="X234" s="6">
        <f t="shared" si="123"/>
        <v>165.92</v>
      </c>
      <c r="Y234" s="2"/>
      <c r="Z234" s="7">
        <f t="shared" si="124"/>
        <v>2.2122666666666664</v>
      </c>
    </row>
    <row r="235" spans="1:26" s="24" customFormat="1" hidden="1" outlineLevel="2" x14ac:dyDescent="0.25">
      <c r="A235" s="29"/>
      <c r="B235" s="11" t="str">
        <f>CONCATENATE("          ", "6298", " - ", "VEHICLE MILEAGE")</f>
        <v xml:space="preserve">          6298 - VEHICLE MILEAGE</v>
      </c>
      <c r="C235" s="11"/>
      <c r="D235" s="6">
        <v>152.52000000000001</v>
      </c>
      <c r="E235" s="2"/>
      <c r="F235" s="7">
        <f t="shared" si="117"/>
        <v>1.7026188235540231E-4</v>
      </c>
      <c r="G235" s="2"/>
      <c r="H235" s="6">
        <v>25</v>
      </c>
      <c r="I235" s="2"/>
      <c r="J235" s="7">
        <f t="shared" si="118"/>
        <v>1.1648847812462869E-5</v>
      </c>
      <c r="K235" s="2"/>
      <c r="L235" s="6">
        <f t="shared" si="119"/>
        <v>127.52000000000001</v>
      </c>
      <c r="M235" s="2"/>
      <c r="N235" s="7">
        <f t="shared" si="120"/>
        <v>5.1008000000000004</v>
      </c>
      <c r="O235" s="11"/>
      <c r="P235" s="6">
        <v>392.1</v>
      </c>
      <c r="Q235" s="2"/>
      <c r="R235" s="7">
        <f t="shared" si="121"/>
        <v>1.0941215450053228E-4</v>
      </c>
      <c r="S235" s="2"/>
      <c r="T235" s="6">
        <v>75</v>
      </c>
      <c r="U235" s="2"/>
      <c r="V235" s="7">
        <f t="shared" si="122"/>
        <v>1.3368838591951139E-5</v>
      </c>
      <c r="W235" s="2"/>
      <c r="X235" s="6">
        <f t="shared" si="123"/>
        <v>317.10000000000002</v>
      </c>
      <c r="Y235" s="2"/>
      <c r="Z235" s="7">
        <f t="shared" si="124"/>
        <v>4.2280000000000006</v>
      </c>
    </row>
    <row r="236" spans="1:26" s="28" customFormat="1" outlineLevel="1" collapsed="1" x14ac:dyDescent="0.25">
      <c r="A236" s="27"/>
      <c r="B236" s="14" t="str">
        <f>CONCATENATE("     ","Utilities                                         ")</f>
        <v xml:space="preserve">     Utilities                                         </v>
      </c>
      <c r="C236" s="14"/>
      <c r="D236" s="1">
        <f>SUM(OSRRefD22_26x_0)</f>
        <v>8511.01</v>
      </c>
      <c r="E236" s="1"/>
      <c r="F236" s="5">
        <f t="shared" ref="F236:F237" si="125">IF(D$12=0,0,D236/D$12)</f>
        <v>9.5010528674642838E-3</v>
      </c>
      <c r="G236" s="1"/>
      <c r="H236" s="1">
        <f>SUM(OSRRefH22_26x_0)</f>
        <v>10226</v>
      </c>
      <c r="I236" s="1"/>
      <c r="J236" s="5">
        <f t="shared" ref="J236:J237" si="126">IF(H$12=0,0,H236/H$12)</f>
        <v>4.7648447092098123E-3</v>
      </c>
      <c r="K236" s="1"/>
      <c r="L236" s="1">
        <f t="shared" ref="L236:L237" si="127">+D236-H236</f>
        <v>-1714.9899999999998</v>
      </c>
      <c r="M236" s="1"/>
      <c r="N236" s="5">
        <f t="shared" ref="N236:N237" si="128">IF(H236=0,0,L236/H236)</f>
        <v>-0.16770878153725796</v>
      </c>
      <c r="O236" s="14"/>
      <c r="P236" s="1">
        <f>SUM(OSRRefP22_26x_0)</f>
        <v>25532.38</v>
      </c>
      <c r="Q236" s="1"/>
      <c r="R236" s="5">
        <f t="shared" ref="R236:R237" si="129">IF(P$12=0,0,P236/P$12)</f>
        <v>7.1245924644894173E-3</v>
      </c>
      <c r="S236" s="1"/>
      <c r="T236" s="1">
        <f>SUM(OSRRefT22_26x_0)</f>
        <v>29907</v>
      </c>
      <c r="U236" s="1"/>
      <c r="V236" s="5">
        <f t="shared" ref="V236:V237" si="130">IF(T$12=0,0,T236/T$12)</f>
        <v>5.3309580769264359E-3</v>
      </c>
      <c r="W236" s="1"/>
      <c r="X236" s="1">
        <f t="shared" ref="X236:X237" si="131">+P236-T236</f>
        <v>-4374.619999999999</v>
      </c>
      <c r="Y236" s="1"/>
      <c r="Z236" s="5">
        <f t="shared" ref="Z236:Z237" si="132">IF(T236=0,0,X236/T236)</f>
        <v>-0.14627411642759217</v>
      </c>
    </row>
    <row r="237" spans="1:26" s="24" customFormat="1" hidden="1" outlineLevel="2" x14ac:dyDescent="0.25">
      <c r="A237" s="29"/>
      <c r="B237" s="11" t="str">
        <f>CONCATENATE("          ", "6274", " - ", "UTILITIES")</f>
        <v xml:space="preserve">          6274 - UTILITIES</v>
      </c>
      <c r="C237" s="11"/>
      <c r="D237" s="6">
        <v>8511.01</v>
      </c>
      <c r="E237" s="2"/>
      <c r="F237" s="7">
        <f t="shared" si="125"/>
        <v>9.5010528674642838E-3</v>
      </c>
      <c r="G237" s="2"/>
      <c r="H237" s="6">
        <v>10226</v>
      </c>
      <c r="I237" s="2"/>
      <c r="J237" s="7">
        <f t="shared" si="126"/>
        <v>4.7648447092098123E-3</v>
      </c>
      <c r="K237" s="2"/>
      <c r="L237" s="6">
        <f t="shared" si="127"/>
        <v>-1714.9899999999998</v>
      </c>
      <c r="M237" s="2"/>
      <c r="N237" s="7">
        <f t="shared" si="128"/>
        <v>-0.16770878153725796</v>
      </c>
      <c r="O237" s="11"/>
      <c r="P237" s="6">
        <v>25532.38</v>
      </c>
      <c r="Q237" s="2"/>
      <c r="R237" s="7">
        <f t="shared" si="129"/>
        <v>7.1245924644894173E-3</v>
      </c>
      <c r="S237" s="2"/>
      <c r="T237" s="6">
        <v>29907</v>
      </c>
      <c r="U237" s="2"/>
      <c r="V237" s="7">
        <f t="shared" si="130"/>
        <v>5.3309580769264359E-3</v>
      </c>
      <c r="W237" s="2"/>
      <c r="X237" s="6">
        <f t="shared" si="131"/>
        <v>-4374.619999999999</v>
      </c>
      <c r="Y237" s="2"/>
      <c r="Z237" s="7">
        <f t="shared" si="132"/>
        <v>-0.14627411642759217</v>
      </c>
    </row>
    <row r="238" spans="1:26" s="61" customFormat="1" x14ac:dyDescent="0.25">
      <c r="A238" s="36"/>
      <c r="B238" s="36"/>
      <c r="C238" s="36"/>
      <c r="D238" s="1"/>
      <c r="E238" s="1"/>
      <c r="F238" s="5"/>
      <c r="G238" s="1"/>
      <c r="H238" s="1"/>
      <c r="I238" s="1"/>
      <c r="J238" s="5"/>
      <c r="K238" s="1"/>
      <c r="L238" s="1"/>
      <c r="M238" s="1"/>
      <c r="N238" s="5"/>
      <c r="O238" s="36"/>
      <c r="P238" s="1"/>
      <c r="Q238" s="1"/>
      <c r="R238" s="5"/>
      <c r="S238" s="1"/>
      <c r="T238" s="1"/>
      <c r="U238" s="1"/>
      <c r="V238" s="5"/>
      <c r="W238" s="1"/>
      <c r="X238" s="1"/>
      <c r="Y238" s="1"/>
      <c r="Z238" s="5"/>
    </row>
    <row r="239" spans="1:26" s="23" customFormat="1" collapsed="1" x14ac:dyDescent="0.25">
      <c r="A239" s="10"/>
      <c r="B239" s="25" t="s">
        <v>0</v>
      </c>
      <c r="C239" s="10"/>
      <c r="D239" s="4">
        <f>SUM(OSRRefD25x_0)</f>
        <v>168011.96</v>
      </c>
      <c r="E239" s="4"/>
      <c r="F239" s="12">
        <f t="shared" ref="F239:F246" si="133">IF(D$12=0,0,D239/D$12)</f>
        <v>0.18755594392748856</v>
      </c>
      <c r="G239" s="4"/>
      <c r="H239" s="4">
        <f>SUM(OSRRefH25x_0)</f>
        <v>137412</v>
      </c>
      <c r="I239" s="4"/>
      <c r="J239" s="12">
        <f t="shared" ref="J239:J246" si="134">IF(H$12=0,0,H239/H$12)</f>
        <v>6.4027659024245911E-2</v>
      </c>
      <c r="K239" s="4"/>
      <c r="L239" s="4">
        <f t="shared" ref="L239:L246" si="135">+D239-H239</f>
        <v>30599.959999999992</v>
      </c>
      <c r="M239" s="4"/>
      <c r="N239" s="12">
        <f t="shared" ref="N239:N246" si="136">IF(H239=0,0,L239/H239)</f>
        <v>0.22268768375396611</v>
      </c>
      <c r="O239" s="10"/>
      <c r="P239" s="4">
        <f>SUM(OSRRefP25x_0)</f>
        <v>425542.84</v>
      </c>
      <c r="Q239" s="4"/>
      <c r="R239" s="12">
        <f t="shared" ref="R239:R246" si="137">IF(P$12=0,0,P239/P$12)</f>
        <v>0.11874409323304079</v>
      </c>
      <c r="S239" s="4"/>
      <c r="T239" s="4">
        <f>SUM(OSRRefT25x_0)</f>
        <v>219802</v>
      </c>
      <c r="U239" s="4"/>
      <c r="V239" s="12">
        <f t="shared" ref="V239:V246" si="138">IF(T$12=0,0,T239/T$12)</f>
        <v>3.9179966135840592E-2</v>
      </c>
      <c r="W239" s="4"/>
      <c r="X239" s="4">
        <f t="shared" ref="X239:X246" si="139">+P239-T239</f>
        <v>205740.84000000003</v>
      </c>
      <c r="Y239" s="4"/>
      <c r="Z239" s="12">
        <f t="shared" ref="Z239:Z246" si="140">IF(T239=0,0,X239/T239)</f>
        <v>0.93602806161909369</v>
      </c>
    </row>
    <row r="240" spans="1:26" s="24" customFormat="1" hidden="1" outlineLevel="1" x14ac:dyDescent="0.25">
      <c r="A240" s="51"/>
      <c r="B240" s="11" t="str">
        <f>CONCATENATE("          ", "4187", " - ", "NON-TAXABLE SALES-COMPUTER REP")</f>
        <v xml:space="preserve">          4187 - NON-TAXABLE SALES-COMPUTER REP</v>
      </c>
      <c r="C240" s="11"/>
      <c r="D240" s="2">
        <f>--125.14</f>
        <v>125.14</v>
      </c>
      <c r="E240" s="2"/>
      <c r="F240" s="22">
        <f t="shared" si="133"/>
        <v>1.3969690504822348E-4</v>
      </c>
      <c r="G240" s="2"/>
      <c r="H240" s="2"/>
      <c r="I240" s="2"/>
      <c r="J240" s="22">
        <f t="shared" si="134"/>
        <v>0</v>
      </c>
      <c r="K240" s="2"/>
      <c r="L240" s="2">
        <f t="shared" si="135"/>
        <v>125.14</v>
      </c>
      <c r="M240" s="2"/>
      <c r="N240" s="22">
        <f t="shared" si="136"/>
        <v>0</v>
      </c>
      <c r="O240" s="11"/>
      <c r="P240" s="2">
        <f>--145.13</f>
        <v>145.13</v>
      </c>
      <c r="Q240" s="2"/>
      <c r="R240" s="22">
        <f t="shared" si="137"/>
        <v>4.0497286362311273E-5</v>
      </c>
      <c r="S240" s="2"/>
      <c r="T240" s="2"/>
      <c r="U240" s="2"/>
      <c r="V240" s="22">
        <f t="shared" si="138"/>
        <v>0</v>
      </c>
      <c r="W240" s="2"/>
      <c r="X240" s="2">
        <f t="shared" si="139"/>
        <v>145.13</v>
      </c>
      <c r="Y240" s="2"/>
      <c r="Z240" s="22">
        <f t="shared" si="140"/>
        <v>0</v>
      </c>
    </row>
    <row r="241" spans="1:26" s="24" customFormat="1" hidden="1" outlineLevel="1" x14ac:dyDescent="0.25">
      <c r="A241" s="51"/>
      <c r="B241" s="11" t="str">
        <f>CONCATENATE("          ", "9150", " - ", "MISC. INCOME")</f>
        <v xml:space="preserve">          9150 - MISC. INCOME</v>
      </c>
      <c r="C241" s="11"/>
      <c r="D241" s="2">
        <f>--19434.2</f>
        <v>19434.2</v>
      </c>
      <c r="E241" s="2"/>
      <c r="F241" s="22">
        <f t="shared" si="133"/>
        <v>2.1694882468340934E-2</v>
      </c>
      <c r="G241" s="2"/>
      <c r="H241" s="2">
        <v>27979</v>
      </c>
      <c r="I241" s="2"/>
      <c r="J241" s="22">
        <f t="shared" si="134"/>
        <v>1.3036924517795945E-2</v>
      </c>
      <c r="K241" s="2"/>
      <c r="L241" s="2">
        <f t="shared" si="135"/>
        <v>-8544.7999999999993</v>
      </c>
      <c r="M241" s="2"/>
      <c r="N241" s="22">
        <f t="shared" si="136"/>
        <v>-0.3054004789306265</v>
      </c>
      <c r="O241" s="11"/>
      <c r="P241" s="2">
        <f>--112544.24</f>
        <v>112544.24</v>
      </c>
      <c r="Q241" s="2"/>
      <c r="R241" s="22">
        <f t="shared" si="137"/>
        <v>3.1404508480043322E-2</v>
      </c>
      <c r="S241" s="2"/>
      <c r="T241" s="2">
        <v>79819</v>
      </c>
      <c r="U241" s="2"/>
      <c r="V241" s="22">
        <f t="shared" si="138"/>
        <v>1.4227831034279307E-2</v>
      </c>
      <c r="W241" s="2"/>
      <c r="X241" s="2">
        <f t="shared" si="139"/>
        <v>32725.240000000005</v>
      </c>
      <c r="Y241" s="2"/>
      <c r="Z241" s="22">
        <f t="shared" si="140"/>
        <v>0.4099931094100403</v>
      </c>
    </row>
    <row r="242" spans="1:26" s="24" customFormat="1" hidden="1" outlineLevel="1" x14ac:dyDescent="0.25">
      <c r="A242" s="51"/>
      <c r="B242" s="11" t="str">
        <f>CONCATENATE("          ", "9151", " - ", "MISC. INCOME")</f>
        <v xml:space="preserve">          9151 - MISC. INCOME</v>
      </c>
      <c r="C242" s="11"/>
      <c r="D242" s="2">
        <f>--147285.39</f>
        <v>147285.39000000001</v>
      </c>
      <c r="E242" s="2"/>
      <c r="F242" s="22">
        <f t="shared" si="133"/>
        <v>0.16441835657520029</v>
      </c>
      <c r="G242" s="2"/>
      <c r="H242" s="2">
        <v>109433</v>
      </c>
      <c r="I242" s="2"/>
      <c r="J242" s="22">
        <f t="shared" si="134"/>
        <v>5.0990734506449968E-2</v>
      </c>
      <c r="K242" s="2"/>
      <c r="L242" s="2">
        <f t="shared" si="135"/>
        <v>37852.390000000014</v>
      </c>
      <c r="M242" s="2"/>
      <c r="N242" s="22">
        <f t="shared" si="136"/>
        <v>0.34589557080588135</v>
      </c>
      <c r="O242" s="11"/>
      <c r="P242" s="2">
        <f>--147285.39</f>
        <v>147285.39000000001</v>
      </c>
      <c r="Q242" s="2"/>
      <c r="R242" s="22">
        <f t="shared" si="137"/>
        <v>4.1098729523976418E-2</v>
      </c>
      <c r="S242" s="2"/>
      <c r="T242" s="2">
        <v>139983</v>
      </c>
      <c r="U242" s="2"/>
      <c r="V242" s="22">
        <f t="shared" si="138"/>
        <v>2.4952135101561284E-2</v>
      </c>
      <c r="W242" s="2"/>
      <c r="X242" s="2">
        <f t="shared" si="139"/>
        <v>7302.390000000014</v>
      </c>
      <c r="Y242" s="2"/>
      <c r="Z242" s="22">
        <f t="shared" si="140"/>
        <v>5.2166263046227145E-2</v>
      </c>
    </row>
    <row r="243" spans="1:26" s="24" customFormat="1" hidden="1" outlineLevel="1" x14ac:dyDescent="0.25">
      <c r="A243" s="51"/>
      <c r="B243" s="11" t="str">
        <f>CONCATENATE("          ", "9152", " - ", "MISC. INCOME")</f>
        <v xml:space="preserve">          9152 - MISC. INCOME</v>
      </c>
      <c r="C243" s="11"/>
      <c r="D243" s="2">
        <f>--542.55</f>
        <v>542.54999999999995</v>
      </c>
      <c r="E243" s="2"/>
      <c r="F243" s="22">
        <f t="shared" si="133"/>
        <v>6.0566210511358188E-4</v>
      </c>
      <c r="G243" s="2"/>
      <c r="H243" s="2"/>
      <c r="I243" s="2"/>
      <c r="J243" s="22">
        <f t="shared" si="134"/>
        <v>0</v>
      </c>
      <c r="K243" s="2"/>
      <c r="L243" s="2">
        <f t="shared" si="135"/>
        <v>542.54999999999995</v>
      </c>
      <c r="M243" s="2"/>
      <c r="N243" s="22">
        <f t="shared" si="136"/>
        <v>0</v>
      </c>
      <c r="O243" s="11"/>
      <c r="P243" s="2">
        <f>--2088.94</f>
        <v>2088.94</v>
      </c>
      <c r="Q243" s="2"/>
      <c r="R243" s="22">
        <f t="shared" si="137"/>
        <v>5.8290085698123415E-4</v>
      </c>
      <c r="S243" s="2"/>
      <c r="T243" s="2"/>
      <c r="U243" s="2"/>
      <c r="V243" s="22">
        <f t="shared" si="138"/>
        <v>0</v>
      </c>
      <c r="W243" s="2"/>
      <c r="X243" s="2">
        <f t="shared" si="139"/>
        <v>2088.94</v>
      </c>
      <c r="Y243" s="2"/>
      <c r="Z243" s="22">
        <f t="shared" si="140"/>
        <v>0</v>
      </c>
    </row>
    <row r="244" spans="1:26" s="24" customFormat="1" hidden="1" outlineLevel="1" x14ac:dyDescent="0.25">
      <c r="A244" s="51"/>
      <c r="B244" s="11" t="str">
        <f>CONCATENATE("          ", "9160", " - ", "MISC. INCOME")</f>
        <v xml:space="preserve">          9160 - MISC. INCOME</v>
      </c>
      <c r="C244" s="11"/>
      <c r="D244" s="2">
        <f t="shared" ref="D244:D245" si="141">0</f>
        <v>0</v>
      </c>
      <c r="E244" s="2"/>
      <c r="F244" s="22">
        <f t="shared" si="133"/>
        <v>0</v>
      </c>
      <c r="G244" s="2"/>
      <c r="H244" s="2"/>
      <c r="I244" s="2"/>
      <c r="J244" s="22">
        <f t="shared" si="134"/>
        <v>0</v>
      </c>
      <c r="K244" s="2"/>
      <c r="L244" s="2">
        <f t="shared" si="135"/>
        <v>0</v>
      </c>
      <c r="M244" s="2"/>
      <c r="N244" s="22">
        <f t="shared" si="136"/>
        <v>0</v>
      </c>
      <c r="O244" s="11"/>
      <c r="P244" s="2">
        <f>--1990.06</f>
        <v>1990.06</v>
      </c>
      <c r="Q244" s="2"/>
      <c r="R244" s="22">
        <f t="shared" si="137"/>
        <v>5.5530923791208687E-4</v>
      </c>
      <c r="S244" s="2"/>
      <c r="T244" s="2">
        <v>0</v>
      </c>
      <c r="U244" s="2"/>
      <c r="V244" s="22">
        <f t="shared" si="138"/>
        <v>0</v>
      </c>
      <c r="W244" s="2"/>
      <c r="X244" s="2">
        <f t="shared" si="139"/>
        <v>1990.06</v>
      </c>
      <c r="Y244" s="2"/>
      <c r="Z244" s="22">
        <f t="shared" si="140"/>
        <v>0</v>
      </c>
    </row>
    <row r="245" spans="1:26" s="24" customFormat="1" hidden="1" outlineLevel="1" x14ac:dyDescent="0.25">
      <c r="A245" s="51"/>
      <c r="B245" s="11" t="str">
        <f>CONCATENATE("          ", "9163", " - ", "MISC. INCOME")</f>
        <v xml:space="preserve">          9163 - MISC. INCOME</v>
      </c>
      <c r="C245" s="11"/>
      <c r="D245" s="2">
        <f t="shared" si="141"/>
        <v>0</v>
      </c>
      <c r="E245" s="2"/>
      <c r="F245" s="22">
        <f t="shared" si="133"/>
        <v>0</v>
      </c>
      <c r="G245" s="2"/>
      <c r="H245" s="2"/>
      <c r="I245" s="2"/>
      <c r="J245" s="22">
        <f t="shared" si="134"/>
        <v>0</v>
      </c>
      <c r="K245" s="2"/>
      <c r="L245" s="2">
        <f t="shared" si="135"/>
        <v>0</v>
      </c>
      <c r="M245" s="2"/>
      <c r="N245" s="22">
        <f t="shared" si="136"/>
        <v>0</v>
      </c>
      <c r="O245" s="11"/>
      <c r="P245" s="2">
        <f>--160663.9</f>
        <v>160663.9</v>
      </c>
      <c r="Q245" s="2"/>
      <c r="R245" s="22">
        <f t="shared" si="137"/>
        <v>4.4831888419938966E-2</v>
      </c>
      <c r="S245" s="2"/>
      <c r="T245" s="2"/>
      <c r="U245" s="2"/>
      <c r="V245" s="22">
        <f t="shared" si="138"/>
        <v>0</v>
      </c>
      <c r="W245" s="2"/>
      <c r="X245" s="2">
        <f t="shared" si="139"/>
        <v>160663.9</v>
      </c>
      <c r="Y245" s="2"/>
      <c r="Z245" s="22">
        <f t="shared" si="140"/>
        <v>0</v>
      </c>
    </row>
    <row r="246" spans="1:26" s="24" customFormat="1" hidden="1" outlineLevel="1" x14ac:dyDescent="0.25">
      <c r="A246" s="51"/>
      <c r="B246" s="11" t="str">
        <f>CONCATENATE("          ", "9165", " - ", "OTHER INCOME")</f>
        <v xml:space="preserve">          9165 - OTHER INCOME</v>
      </c>
      <c r="C246" s="11"/>
      <c r="D246" s="2">
        <f>--624.68</f>
        <v>624.67999999999995</v>
      </c>
      <c r="E246" s="2"/>
      <c r="F246" s="22">
        <f t="shared" si="133"/>
        <v>6.9734587378555404E-4</v>
      </c>
      <c r="G246" s="2"/>
      <c r="H246" s="2"/>
      <c r="I246" s="2"/>
      <c r="J246" s="22">
        <f t="shared" si="134"/>
        <v>0</v>
      </c>
      <c r="K246" s="2"/>
      <c r="L246" s="2">
        <f t="shared" si="135"/>
        <v>624.67999999999995</v>
      </c>
      <c r="M246" s="2"/>
      <c r="N246" s="22">
        <f t="shared" si="136"/>
        <v>0</v>
      </c>
      <c r="O246" s="11"/>
      <c r="P246" s="2">
        <f>--825.18</f>
        <v>825.18</v>
      </c>
      <c r="Q246" s="2"/>
      <c r="R246" s="22">
        <f t="shared" si="137"/>
        <v>2.3025942782644535E-4</v>
      </c>
      <c r="S246" s="2"/>
      <c r="T246" s="2"/>
      <c r="U246" s="2"/>
      <c r="V246" s="22">
        <f t="shared" si="138"/>
        <v>0</v>
      </c>
      <c r="W246" s="2"/>
      <c r="X246" s="2">
        <f t="shared" si="139"/>
        <v>825.18</v>
      </c>
      <c r="Y246" s="2"/>
      <c r="Z246" s="22">
        <f t="shared" si="140"/>
        <v>0</v>
      </c>
    </row>
    <row r="247" spans="1:26" x14ac:dyDescent="0.25">
      <c r="A247" s="9"/>
      <c r="B247" s="10"/>
      <c r="C247" s="10"/>
      <c r="D247" s="3"/>
      <c r="E247" s="3"/>
      <c r="F247" s="8"/>
      <c r="G247" s="3"/>
      <c r="H247" s="3"/>
      <c r="I247" s="3"/>
      <c r="J247" s="8"/>
      <c r="K247" s="3"/>
      <c r="L247" s="3"/>
      <c r="M247" s="3"/>
      <c r="N247" s="8"/>
      <c r="O247" s="10"/>
      <c r="P247" s="3"/>
      <c r="Q247" s="3"/>
      <c r="R247" s="8"/>
      <c r="S247" s="3"/>
      <c r="T247" s="3"/>
      <c r="U247" s="3"/>
      <c r="V247" s="8"/>
      <c r="W247" s="3"/>
      <c r="X247" s="3"/>
      <c r="Y247" s="3"/>
      <c r="Z247" s="8"/>
    </row>
    <row r="248" spans="1:26" s="23" customFormat="1" x14ac:dyDescent="0.25">
      <c r="A248" s="10"/>
      <c r="B248" s="26" t="s">
        <v>3</v>
      </c>
      <c r="C248" s="26"/>
      <c r="D248" s="20">
        <f>+D132-D134+D239</f>
        <v>-164659.3299999997</v>
      </c>
      <c r="E248" s="13"/>
      <c r="F248" s="21">
        <f>IF(D$12=0,0,D248/D$12)</f>
        <v>-0.18381331938879697</v>
      </c>
      <c r="G248" s="13"/>
      <c r="H248" s="20">
        <f>+H132-H134+H239</f>
        <v>102890.27813401737</v>
      </c>
      <c r="I248" s="13"/>
      <c r="J248" s="21">
        <f>IF(H$12=0,0,H248/H$12)</f>
        <v>4.7942127654605773E-2</v>
      </c>
      <c r="K248" s="16"/>
      <c r="L248" s="20">
        <f>+D248-H248</f>
        <v>-267549.60813401709</v>
      </c>
      <c r="M248" s="16"/>
      <c r="N248" s="21">
        <f>IF(H248=0,0,L248/H248)</f>
        <v>-2.6003390503573769</v>
      </c>
      <c r="O248" s="25"/>
      <c r="P248" s="20">
        <f>+P132-P134+P239</f>
        <v>-473122.69000000024</v>
      </c>
      <c r="Q248" s="13"/>
      <c r="R248" s="21">
        <f>IF(P$12=0,0,P248/P$12)</f>
        <v>-0.13202084380511978</v>
      </c>
      <c r="S248" s="13"/>
      <c r="T248" s="20">
        <f>+T132-T134+T239</f>
        <v>-450907.35936863534</v>
      </c>
      <c r="U248" s="13"/>
      <c r="V248" s="21">
        <f>IF(T$12=0,0,T248/T$12)</f>
        <v>-8.037476943096257E-2</v>
      </c>
      <c r="W248" s="16"/>
      <c r="X248" s="20">
        <f>+P248-T248</f>
        <v>-22215.330631364894</v>
      </c>
      <c r="Y248" s="16"/>
      <c r="Z248" s="21">
        <f>IF(T248=0,0,X248/T248)</f>
        <v>4.9268059546579604E-2</v>
      </c>
    </row>
    <row r="249" spans="1:26" x14ac:dyDescent="0.25">
      <c r="A249" s="9"/>
      <c r="B249" s="10"/>
      <c r="C249" s="9"/>
      <c r="D249" s="3"/>
      <c r="E249" s="3"/>
      <c r="F249" s="8"/>
      <c r="G249" s="3"/>
      <c r="H249" s="3"/>
      <c r="I249" s="3"/>
      <c r="J249" s="8"/>
      <c r="K249" s="3"/>
      <c r="L249" s="3"/>
      <c r="M249" s="3"/>
      <c r="N249" s="8"/>
      <c r="P249" s="3"/>
      <c r="Q249" s="3"/>
      <c r="R249" s="8"/>
      <c r="S249" s="3"/>
      <c r="T249" s="3"/>
      <c r="U249" s="3"/>
      <c r="V249" s="8"/>
      <c r="W249" s="3"/>
      <c r="X249" s="3"/>
      <c r="Y249" s="3"/>
      <c r="Z249" s="8"/>
    </row>
    <row r="250" spans="1:26" s="23" customFormat="1" x14ac:dyDescent="0.25">
      <c r="A250" s="52"/>
      <c r="B250" s="10" t="s">
        <v>14</v>
      </c>
      <c r="C250" s="10"/>
      <c r="D250" s="4">
        <v>210081.47999999998</v>
      </c>
      <c r="E250" s="4"/>
      <c r="F250" s="12">
        <f>IF(D$12=0,0,D250/D$12)</f>
        <v>0.23451919900871229</v>
      </c>
      <c r="G250" s="4"/>
      <c r="H250" s="4">
        <v>245116.00000000003</v>
      </c>
      <c r="I250" s="4"/>
      <c r="J250" s="12">
        <f>IF(H$12=0,0,H250/H$12)</f>
        <v>0.11421275921598596</v>
      </c>
      <c r="K250" s="4"/>
      <c r="L250" s="4">
        <f>+D250-H250</f>
        <v>-35034.520000000048</v>
      </c>
      <c r="M250" s="4"/>
      <c r="N250" s="12">
        <f>IF(H250=0,0,L250/H250)</f>
        <v>-0.14293036766265785</v>
      </c>
      <c r="O250" s="10"/>
      <c r="P250" s="4">
        <v>663897.74</v>
      </c>
      <c r="Q250" s="4"/>
      <c r="R250" s="12">
        <f>IF(P$12=0,0,P250/P$12)</f>
        <v>0.18525499133240045</v>
      </c>
      <c r="S250" s="4"/>
      <c r="T250" s="4">
        <v>813161</v>
      </c>
      <c r="U250" s="4"/>
      <c r="V250" s="12">
        <f>IF(T$12=0,0,T250/T$12)</f>
        <v>0.14494690877692773</v>
      </c>
      <c r="W250" s="4"/>
      <c r="X250" s="4">
        <f>+P250-T250</f>
        <v>-149263.26</v>
      </c>
      <c r="Y250" s="4"/>
      <c r="Z250" s="12">
        <f>IF(T250=0,0,X250/T250)</f>
        <v>-0.18355929514573377</v>
      </c>
    </row>
    <row r="251" spans="1:26" x14ac:dyDescent="0.25">
      <c r="A251" s="9"/>
      <c r="B251" s="10"/>
      <c r="C251" s="10"/>
      <c r="D251" s="3"/>
      <c r="E251" s="3"/>
      <c r="F251" s="8"/>
      <c r="G251" s="3"/>
      <c r="H251" s="3"/>
      <c r="I251" s="3"/>
      <c r="J251" s="8"/>
      <c r="K251" s="3"/>
      <c r="L251" s="3"/>
      <c r="M251" s="3"/>
      <c r="N251" s="8"/>
      <c r="O251" s="10"/>
      <c r="P251" s="3"/>
      <c r="Q251" s="3"/>
      <c r="R251" s="8"/>
      <c r="S251" s="3"/>
      <c r="T251" s="3"/>
      <c r="U251" s="3"/>
      <c r="V251" s="8"/>
      <c r="W251" s="3"/>
      <c r="X251" s="3"/>
      <c r="Y251" s="3"/>
      <c r="Z251" s="8"/>
    </row>
    <row r="252" spans="1:26" s="23" customFormat="1" ht="15.75" thickBot="1" x14ac:dyDescent="0.3">
      <c r="A252" s="10"/>
      <c r="B252" s="26" t="s">
        <v>4</v>
      </c>
      <c r="C252" s="26"/>
      <c r="D252" s="33">
        <f>+D248-D250</f>
        <v>-374740.80999999971</v>
      </c>
      <c r="E252" s="13"/>
      <c r="F252" s="34">
        <f>IF(D$12=0,0,D252/D$12)</f>
        <v>-0.41833251839750929</v>
      </c>
      <c r="G252" s="13"/>
      <c r="H252" s="33">
        <f>+H248-H250</f>
        <v>-142225.72186598266</v>
      </c>
      <c r="I252" s="13"/>
      <c r="J252" s="34">
        <f>IF(H$12=0,0,H252/H$12)</f>
        <v>-6.6270631561380189E-2</v>
      </c>
      <c r="K252" s="16"/>
      <c r="L252" s="33">
        <f>D252-H252</f>
        <v>-232515.08813401705</v>
      </c>
      <c r="M252" s="16"/>
      <c r="N252" s="34">
        <f>IF(H252=0,0,L252/H252)</f>
        <v>1.6348314853561636</v>
      </c>
      <c r="O252" s="25"/>
      <c r="P252" s="33">
        <f>+P248-P250</f>
        <v>-1137020.4300000002</v>
      </c>
      <c r="Q252" s="13"/>
      <c r="R252" s="34">
        <f>IF(P$12=0,0,P252/P$12)</f>
        <v>-0.31727583513752022</v>
      </c>
      <c r="S252" s="13"/>
      <c r="T252" s="33">
        <f>+T248-T250</f>
        <v>-1264068.3593686353</v>
      </c>
      <c r="U252" s="13"/>
      <c r="V252" s="34">
        <f>IF(T$12=0,0,T252/T$12)</f>
        <v>-0.22532167820789031</v>
      </c>
      <c r="W252" s="16"/>
      <c r="X252" s="33">
        <f>P252-T252</f>
        <v>127047.92936863517</v>
      </c>
      <c r="Y252" s="16"/>
      <c r="Z252" s="34">
        <f>IF(T252=0,0,X252/T252)</f>
        <v>-0.10050716674222575</v>
      </c>
    </row>
    <row r="253" spans="1:26" ht="15.75" thickTop="1" x14ac:dyDescent="0.25">
      <c r="A253" s="9"/>
      <c r="B253" s="9"/>
      <c r="C253" s="9"/>
      <c r="D253" s="3"/>
      <c r="E253" s="3"/>
      <c r="F253" s="8"/>
      <c r="G253" s="3"/>
      <c r="H253" s="3"/>
      <c r="I253" s="3"/>
      <c r="J253" s="8"/>
      <c r="K253" s="3"/>
      <c r="L253" s="3"/>
      <c r="M253" s="3"/>
      <c r="N253" s="8"/>
      <c r="P253" s="3"/>
      <c r="Q253" s="3"/>
      <c r="R253" s="8"/>
      <c r="S253" s="3"/>
      <c r="T253" s="3"/>
      <c r="U253" s="3"/>
      <c r="V253" s="8"/>
      <c r="W253" s="3"/>
      <c r="X253" s="3"/>
      <c r="Y253" s="3"/>
      <c r="Z253" s="8"/>
    </row>
    <row r="254" spans="1:26" s="23" customFormat="1" x14ac:dyDescent="0.25">
      <c r="A254" s="52"/>
      <c r="B254" s="10" t="s">
        <v>2</v>
      </c>
      <c r="C254" s="10"/>
      <c r="D254" s="4">
        <f>-231583.65</f>
        <v>-231583.65</v>
      </c>
      <c r="E254" s="4"/>
      <c r="F254" s="12">
        <f t="shared" ref="F254:F255" si="142">IF(D$12=0,0,D254/D$12)</f>
        <v>-0.25852260799721127</v>
      </c>
      <c r="G254" s="4"/>
      <c r="H254" s="4">
        <f t="shared" ref="H254:H255" si="143">--15000</f>
        <v>15000</v>
      </c>
      <c r="I254" s="4"/>
      <c r="J254" s="12">
        <f t="shared" ref="J254:J255" si="144">IF(H$12=0,0,H254/H$12)</f>
        <v>6.989308687477722E-3</v>
      </c>
      <c r="K254" s="4"/>
      <c r="L254" s="4">
        <f t="shared" ref="L254:L255" si="145">+D254-H254</f>
        <v>-246583.65</v>
      </c>
      <c r="M254" s="4"/>
      <c r="N254" s="12">
        <f t="shared" ref="N254:N255" si="146">IF(H254=0,0,L254/H254)</f>
        <v>-16.43891</v>
      </c>
      <c r="O254" s="10"/>
      <c r="P254" s="4">
        <f>--719759.06</f>
        <v>719759.06</v>
      </c>
      <c r="Q254" s="4"/>
      <c r="R254" s="12">
        <f t="shared" ref="R254:R255" si="147">IF(P$12=0,0,P254/P$12)</f>
        <v>0.2008426153427133</v>
      </c>
      <c r="S254" s="4"/>
      <c r="T254" s="4">
        <f t="shared" ref="T254:T255" si="148">--45000</f>
        <v>45000</v>
      </c>
      <c r="U254" s="4"/>
      <c r="V254" s="12">
        <f t="shared" ref="V254:V255" si="149">IF(T$12=0,0,T254/T$12)</f>
        <v>8.0213031551706841E-3</v>
      </c>
      <c r="W254" s="4"/>
      <c r="X254" s="4">
        <f t="shared" ref="X254:X255" si="150">+P254-T254</f>
        <v>674759.06</v>
      </c>
      <c r="Y254" s="4"/>
      <c r="Z254" s="12">
        <f t="shared" ref="Z254:Z255" si="151">IF(T254=0,0,X254/T254)</f>
        <v>14.994645777777778</v>
      </c>
    </row>
    <row r="255" spans="1:26" s="23" customFormat="1" x14ac:dyDescent="0.25">
      <c r="A255" s="52"/>
      <c r="B255" s="10" t="s">
        <v>1</v>
      </c>
      <c r="C255" s="10"/>
      <c r="D255" s="4">
        <f>--23302.32</f>
        <v>23302.32</v>
      </c>
      <c r="E255" s="4"/>
      <c r="F255" s="12">
        <f t="shared" si="142"/>
        <v>2.6012961358824666E-2</v>
      </c>
      <c r="G255" s="4"/>
      <c r="H255" s="4">
        <f t="shared" si="143"/>
        <v>15000</v>
      </c>
      <c r="I255" s="4"/>
      <c r="J255" s="12">
        <f t="shared" si="144"/>
        <v>6.989308687477722E-3</v>
      </c>
      <c r="K255" s="4"/>
      <c r="L255" s="4">
        <f t="shared" si="145"/>
        <v>8302.32</v>
      </c>
      <c r="M255" s="4"/>
      <c r="N255" s="12">
        <f t="shared" si="146"/>
        <v>0.55348799999999998</v>
      </c>
      <c r="O255" s="10"/>
      <c r="P255" s="4">
        <f>-33260.96</f>
        <v>-33260.959999999999</v>
      </c>
      <c r="Q255" s="4"/>
      <c r="R255" s="12">
        <f t="shared" si="147"/>
        <v>-9.2811866726754001E-3</v>
      </c>
      <c r="S255" s="4"/>
      <c r="T255" s="4">
        <f t="shared" si="148"/>
        <v>45000</v>
      </c>
      <c r="U255" s="4"/>
      <c r="V255" s="12">
        <f t="shared" si="149"/>
        <v>8.0213031551706841E-3</v>
      </c>
      <c r="W255" s="4"/>
      <c r="X255" s="4">
        <f t="shared" si="150"/>
        <v>-78260.959999999992</v>
      </c>
      <c r="Y255" s="4"/>
      <c r="Z255" s="12">
        <f t="shared" si="151"/>
        <v>-1.7391324444444443</v>
      </c>
    </row>
    <row r="256" spans="1:26" x14ac:dyDescent="0.25">
      <c r="A256" s="9"/>
      <c r="B256" s="9"/>
      <c r="C256" s="9"/>
      <c r="D256" s="3"/>
      <c r="E256" s="3"/>
      <c r="F256" s="8"/>
      <c r="G256" s="3"/>
      <c r="H256" s="3"/>
      <c r="I256" s="3"/>
      <c r="J256" s="8"/>
      <c r="K256" s="3"/>
      <c r="L256" s="3"/>
      <c r="M256" s="3"/>
      <c r="N256" s="8"/>
      <c r="P256" s="3"/>
      <c r="Q256" s="3"/>
      <c r="R256" s="8"/>
      <c r="S256" s="3"/>
      <c r="T256" s="3"/>
      <c r="U256" s="3"/>
      <c r="V256" s="8"/>
      <c r="W256" s="3"/>
      <c r="X256" s="3"/>
      <c r="Y256" s="3"/>
      <c r="Z256" s="8"/>
    </row>
    <row r="257" spans="1:26" s="23" customFormat="1" ht="15.75" thickBot="1" x14ac:dyDescent="0.3">
      <c r="A257" s="10"/>
      <c r="B257" s="26" t="s">
        <v>5</v>
      </c>
      <c r="C257" s="26"/>
      <c r="D257" s="31">
        <f>SUM(D252:D256)</f>
        <v>-583022.13999999978</v>
      </c>
      <c r="E257" s="13"/>
      <c r="F257" s="32">
        <f>IF(D$12=0,0,D257/D$12)</f>
        <v>-0.65084216503589598</v>
      </c>
      <c r="G257" s="13"/>
      <c r="H257" s="31">
        <f>SUM(H252:H256)</f>
        <v>-112225.72186598266</v>
      </c>
      <c r="I257" s="13"/>
      <c r="J257" s="32">
        <f>IF(H$12=0,0,H257/H$12)</f>
        <v>-5.2292014186424741E-2</v>
      </c>
      <c r="K257" s="16"/>
      <c r="L257" s="31">
        <f>+D257-H257</f>
        <v>-470796.41813401715</v>
      </c>
      <c r="M257" s="16"/>
      <c r="N257" s="32">
        <f>IF(H257=0,0,L257/H257)</f>
        <v>4.195084783649075</v>
      </c>
      <c r="O257" s="25"/>
      <c r="P257" s="31">
        <f>SUM(P252:P256)</f>
        <v>-450522.33000000013</v>
      </c>
      <c r="Q257" s="13"/>
      <c r="R257" s="32">
        <f>IF(P$12=0,0,P257/P$12)</f>
        <v>-0.12571440646748228</v>
      </c>
      <c r="S257" s="13"/>
      <c r="T257" s="31">
        <f>SUM(T252:T256)</f>
        <v>-1174068.3593686353</v>
      </c>
      <c r="U257" s="13"/>
      <c r="V257" s="32">
        <f>IF(T$12=0,0,T257/T$12)</f>
        <v>-0.20927907189754894</v>
      </c>
      <c r="W257" s="16"/>
      <c r="X257" s="31">
        <f>+P257-T257</f>
        <v>723546.02936863527</v>
      </c>
      <c r="Y257" s="16"/>
      <c r="Z257" s="32">
        <f>IF(T257=0,0,X257/T257)</f>
        <v>-0.61627248839047832</v>
      </c>
    </row>
    <row r="258" spans="1:26" ht="15.75" thickTop="1" x14ac:dyDescent="0.25">
      <c r="A258" s="9"/>
      <c r="C258" s="9"/>
      <c r="D258" s="17"/>
      <c r="E258" s="17"/>
      <c r="G258" s="17"/>
      <c r="H258" s="17"/>
      <c r="I258" s="17"/>
      <c r="J258" s="43"/>
      <c r="K258" s="17"/>
      <c r="L258" s="17"/>
      <c r="M258" s="17"/>
      <c r="P258" s="17"/>
      <c r="Q258" s="17"/>
      <c r="R258" s="43"/>
      <c r="S258" s="17"/>
      <c r="T258" s="17"/>
      <c r="U258" s="17"/>
      <c r="V258" s="43"/>
      <c r="W258" s="17"/>
      <c r="X258" s="17"/>
    </row>
    <row r="259" spans="1:26" x14ac:dyDescent="0.25">
      <c r="A259" s="9"/>
      <c r="B259" s="55">
        <v>44123.571354131942</v>
      </c>
      <c r="D259" s="17"/>
      <c r="E259" s="17"/>
      <c r="G259" s="17"/>
      <c r="H259" s="17"/>
      <c r="I259" s="17"/>
      <c r="J259" s="43"/>
      <c r="K259" s="17"/>
      <c r="L259" s="17"/>
      <c r="M259" s="17"/>
      <c r="P259" s="17"/>
      <c r="Q259" s="17"/>
      <c r="R259" s="43"/>
      <c r="S259" s="17"/>
      <c r="T259" s="17"/>
      <c r="U259" s="17"/>
      <c r="V259" s="43"/>
      <c r="W259" s="17"/>
      <c r="X259" s="17"/>
    </row>
    <row r="260" spans="1:26" x14ac:dyDescent="0.25">
      <c r="A260" s="9"/>
      <c r="B260" s="53" t="s">
        <v>314</v>
      </c>
      <c r="D260" s="17"/>
      <c r="E260" s="17"/>
      <c r="G260" s="17"/>
      <c r="H260" s="17"/>
      <c r="I260" s="17"/>
      <c r="J260" s="43"/>
      <c r="K260" s="17"/>
      <c r="L260" s="17"/>
      <c r="M260" s="17"/>
      <c r="P260" s="17"/>
      <c r="Q260" s="17"/>
      <c r="R260" s="43"/>
      <c r="S260" s="17"/>
      <c r="T260" s="17"/>
      <c r="U260" s="17"/>
      <c r="V260" s="43"/>
      <c r="W260" s="17"/>
      <c r="X260" s="17"/>
    </row>
    <row r="261" spans="1:26" x14ac:dyDescent="0.25">
      <c r="A261" s="9"/>
      <c r="B261" s="62"/>
      <c r="D261" s="17"/>
      <c r="E261" s="17"/>
      <c r="G261" s="17"/>
      <c r="H261" s="17"/>
      <c r="I261" s="17"/>
      <c r="J261" s="43"/>
      <c r="K261" s="17"/>
      <c r="L261" s="17"/>
      <c r="M261" s="17"/>
      <c r="P261" s="17"/>
      <c r="Q261" s="17"/>
      <c r="R261" s="43"/>
      <c r="S261" s="17"/>
      <c r="T261" s="17"/>
      <c r="U261" s="17"/>
      <c r="V261" s="43"/>
      <c r="W261" s="17"/>
      <c r="X261" s="17"/>
    </row>
    <row r="262" spans="1:26" x14ac:dyDescent="0.25">
      <c r="D262" s="17"/>
      <c r="E262" s="17"/>
      <c r="G262" s="17"/>
      <c r="H262" s="17"/>
      <c r="I262" s="17"/>
      <c r="J262" s="43"/>
      <c r="K262" s="17"/>
      <c r="L262" s="17"/>
      <c r="M262" s="17"/>
      <c r="P262" s="17"/>
      <c r="Q262" s="17"/>
      <c r="R262" s="43"/>
      <c r="S262" s="17"/>
      <c r="T262" s="17"/>
      <c r="U262" s="17"/>
      <c r="V262" s="43"/>
      <c r="W262" s="17"/>
      <c r="X262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313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301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301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302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302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298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298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311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311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","100", " - ", "Corporate")</f>
        <v>Department 100 - Corporate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0">
        <f>+D16-D18+D20</f>
        <v>0</v>
      </c>
      <c r="E22" s="13"/>
      <c r="F22" s="21">
        <f>IF(D$12=0,0,D22/D$12)</f>
        <v>0</v>
      </c>
      <c r="G22" s="13"/>
      <c r="H22" s="20">
        <f>+H16-H18+H20</f>
        <v>0</v>
      </c>
      <c r="I22" s="13"/>
      <c r="J22" s="21">
        <f>IF(H$12=0,0,H22/H$12)</f>
        <v>0</v>
      </c>
      <c r="K22" s="16"/>
      <c r="L22" s="20">
        <f>+D22-H22</f>
        <v>0</v>
      </c>
      <c r="M22" s="16"/>
      <c r="N22" s="21">
        <f>IF(H22=0,0,L22/H22)</f>
        <v>0</v>
      </c>
      <c r="O22" s="25"/>
      <c r="P22" s="20">
        <f>+P16-P18+P20</f>
        <v>0</v>
      </c>
      <c r="Q22" s="13"/>
      <c r="R22" s="21">
        <f>IF(P$12=0,0,P22/P$12)</f>
        <v>0</v>
      </c>
      <c r="S22" s="13"/>
      <c r="T22" s="20">
        <f>+T16-T18+T20</f>
        <v>0</v>
      </c>
      <c r="U22" s="13"/>
      <c r="V22" s="21">
        <f>IF(T$12=0,0,T22/T$12)</f>
        <v>0</v>
      </c>
      <c r="W22" s="16"/>
      <c r="X22" s="20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3">
        <f>+D22-D24</f>
        <v>0</v>
      </c>
      <c r="E26" s="13"/>
      <c r="F26" s="34">
        <f>IF(D$12=0,0,D26/D$12)</f>
        <v>0</v>
      </c>
      <c r="G26" s="13"/>
      <c r="H26" s="33">
        <f>+H22-H24</f>
        <v>0</v>
      </c>
      <c r="I26" s="13"/>
      <c r="J26" s="34">
        <f>IF(H$12=0,0,H26/H$12)</f>
        <v>0</v>
      </c>
      <c r="K26" s="16"/>
      <c r="L26" s="33">
        <f>D26-H26</f>
        <v>0</v>
      </c>
      <c r="M26" s="16"/>
      <c r="N26" s="34">
        <f>IF(H26=0,0,L26/H26)</f>
        <v>0</v>
      </c>
      <c r="O26" s="25"/>
      <c r="P26" s="33">
        <f>+P22-P24</f>
        <v>0</v>
      </c>
      <c r="Q26" s="13"/>
      <c r="R26" s="34">
        <f>IF(P$12=0,0,P26/P$12)</f>
        <v>0</v>
      </c>
      <c r="S26" s="13"/>
      <c r="T26" s="33">
        <f>+T22-T24</f>
        <v>0</v>
      </c>
      <c r="U26" s="13"/>
      <c r="V26" s="34">
        <f>IF(T$12=0,0,T26/T$12)</f>
        <v>0</v>
      </c>
      <c r="W26" s="16"/>
      <c r="X26" s="33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-231583.65</f>
        <v>-231583.65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-246583.65</v>
      </c>
      <c r="M28" s="4"/>
      <c r="N28" s="12">
        <f t="shared" ref="N28:N29" si="4">IF(H28=0,0,L28/H28)</f>
        <v>-16.43891</v>
      </c>
      <c r="O28" s="10"/>
      <c r="P28" s="4">
        <f>--719759.06</f>
        <v>719759.06</v>
      </c>
      <c r="Q28" s="4"/>
      <c r="R28" s="12">
        <f t="shared" ref="R28:R29" si="5">IF(P$12=0,0,P28/P$12)</f>
        <v>0</v>
      </c>
      <c r="S28" s="4"/>
      <c r="T28" s="4">
        <f t="shared" ref="T28:T29" si="6">--45000</f>
        <v>45000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674759.06</v>
      </c>
      <c r="Y28" s="4"/>
      <c r="Z28" s="12">
        <f t="shared" ref="Z28:Z29" si="9">IF(T28=0,0,X28/T28)</f>
        <v>14.994645777777778</v>
      </c>
    </row>
    <row r="29" spans="1:26" s="23" customFormat="1" x14ac:dyDescent="0.25">
      <c r="A29" s="52"/>
      <c r="B29" s="10" t="s">
        <v>1</v>
      </c>
      <c r="C29" s="10"/>
      <c r="D29" s="4">
        <f>--23302.32</f>
        <v>23302.32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8302.32</v>
      </c>
      <c r="M29" s="4"/>
      <c r="N29" s="12">
        <f t="shared" si="4"/>
        <v>0.55348799999999998</v>
      </c>
      <c r="O29" s="10"/>
      <c r="P29" s="4">
        <f>-33260.96</f>
        <v>-33260.959999999999</v>
      </c>
      <c r="Q29" s="4"/>
      <c r="R29" s="12">
        <f t="shared" si="5"/>
        <v>0</v>
      </c>
      <c r="S29" s="4"/>
      <c r="T29" s="4">
        <f t="shared" si="6"/>
        <v>45000</v>
      </c>
      <c r="U29" s="4"/>
      <c r="V29" s="12">
        <f t="shared" si="7"/>
        <v>0</v>
      </c>
      <c r="W29" s="4"/>
      <c r="X29" s="4">
        <f t="shared" si="8"/>
        <v>-78260.959999999992</v>
      </c>
      <c r="Y29" s="4"/>
      <c r="Z29" s="12">
        <f t="shared" si="9"/>
        <v>-1.7391324444444443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1">
        <f>SUM(D26:D30)</f>
        <v>-208281.33</v>
      </c>
      <c r="E31" s="13"/>
      <c r="F31" s="32">
        <f>IF(D$12=0,0,D31/D$12)</f>
        <v>0</v>
      </c>
      <c r="G31" s="13"/>
      <c r="H31" s="31">
        <f>SUM(H26:H30)</f>
        <v>30000</v>
      </c>
      <c r="I31" s="13"/>
      <c r="J31" s="32">
        <f>IF(H$12=0,0,H31/H$12)</f>
        <v>0</v>
      </c>
      <c r="K31" s="16"/>
      <c r="L31" s="31">
        <f>+D31-H31</f>
        <v>-238281.33</v>
      </c>
      <c r="M31" s="16"/>
      <c r="N31" s="32">
        <f>IF(H31=0,0,L31/H31)</f>
        <v>-7.9427109999999992</v>
      </c>
      <c r="O31" s="25"/>
      <c r="P31" s="31">
        <f>SUM(P26:P30)</f>
        <v>686498.10000000009</v>
      </c>
      <c r="Q31" s="13"/>
      <c r="R31" s="32">
        <f>IF(P$12=0,0,P31/P$12)</f>
        <v>0</v>
      </c>
      <c r="S31" s="13"/>
      <c r="T31" s="31">
        <f>SUM(T26:T30)</f>
        <v>90000</v>
      </c>
      <c r="U31" s="13"/>
      <c r="V31" s="32">
        <f>IF(T$12=0,0,T31/T$12)</f>
        <v>0</v>
      </c>
      <c r="W31" s="16"/>
      <c r="X31" s="31">
        <f>+P31-T31</f>
        <v>596498.10000000009</v>
      </c>
      <c r="Y31" s="16"/>
      <c r="Z31" s="32">
        <f>IF(T31=0,0,X31/T31)</f>
        <v>6.6277566666666674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5">
        <v>44123.571698993059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3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297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300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0</v>
      </c>
      <c r="E17" s="13"/>
      <c r="F17" s="21">
        <f>IF(D$12=0,0,D17/D$12)</f>
        <v>0</v>
      </c>
      <c r="G17" s="13"/>
      <c r="H17" s="20">
        <f>H12-H15</f>
        <v>0</v>
      </c>
      <c r="I17" s="13"/>
      <c r="J17" s="21">
        <f>IF(H$12=0,0,H17/H$12)</f>
        <v>0</v>
      </c>
      <c r="K17" s="16"/>
      <c r="L17" s="20">
        <f>+D17-H17</f>
        <v>0</v>
      </c>
      <c r="M17" s="16"/>
      <c r="N17" s="21">
        <f>IF(H17=0,0,L17/H17)</f>
        <v>0</v>
      </c>
      <c r="O17" s="25"/>
      <c r="P17" s="20">
        <f>P12-P15</f>
        <v>0</v>
      </c>
      <c r="Q17" s="13"/>
      <c r="R17" s="21">
        <f>IF(P$12=0,0,P17/P$12)</f>
        <v>0</v>
      </c>
      <c r="S17" s="13"/>
      <c r="T17" s="20">
        <f>T12-T15</f>
        <v>0</v>
      </c>
      <c r="U17" s="13"/>
      <c r="V17" s="21">
        <f>IF(T$12=0,0,T17/T$12)</f>
        <v>0</v>
      </c>
      <c r="W17" s="16"/>
      <c r="X17" s="20">
        <f>+P17-T17</f>
        <v>0</v>
      </c>
      <c r="Y17" s="16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19">
        <f>SUM(OSRRefD22x_0)</f>
        <v>210081.48</v>
      </c>
      <c r="E19" s="19"/>
      <c r="F19" s="35">
        <f t="shared" ref="F19:F31" si="4">IF(D$12=0,0,D19/D$12)</f>
        <v>0</v>
      </c>
      <c r="G19" s="19"/>
      <c r="H19" s="19">
        <f>SUM(OSRRefH22x_0)</f>
        <v>245116.92686153846</v>
      </c>
      <c r="I19" s="19"/>
      <c r="J19" s="35">
        <f t="shared" ref="J19:J31" si="5">IF(H$12=0,0,H19/H$12)</f>
        <v>0</v>
      </c>
      <c r="K19" s="4"/>
      <c r="L19" s="19">
        <f t="shared" ref="L19:L31" si="6">+D19-H19</f>
        <v>-35035.446861538454</v>
      </c>
      <c r="M19" s="4"/>
      <c r="N19" s="35">
        <f t="shared" ref="N19:N31" si="7">IF(H19=0,0,L19/H19)</f>
        <v>-0.14293360850321554</v>
      </c>
      <c r="O19" s="10"/>
      <c r="P19" s="19">
        <f>SUM(OSRRefP22x_0)</f>
        <v>663897.74</v>
      </c>
      <c r="Q19" s="19"/>
      <c r="R19" s="35">
        <f t="shared" ref="R19:R31" si="8">IF(P$12=0,0,P19/P$12)</f>
        <v>0</v>
      </c>
      <c r="S19" s="19"/>
      <c r="T19" s="19">
        <f>SUM(OSRRefT22x_0)</f>
        <v>796939.7116653847</v>
      </c>
      <c r="U19" s="19"/>
      <c r="V19" s="35">
        <f t="shared" ref="V19:V31" si="9">IF(T$12=0,0,T19/T$12)</f>
        <v>0</v>
      </c>
      <c r="W19" s="4"/>
      <c r="X19" s="19">
        <f t="shared" ref="X19:X31" si="10">+P19-T19</f>
        <v>-133041.97166538471</v>
      </c>
      <c r="Y19" s="4"/>
      <c r="Z19" s="35">
        <f t="shared" ref="Z19:Z31" si="11">IF(T19=0,0,X19/T19)</f>
        <v>-0.16694107435977007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81783.600000000006</v>
      </c>
      <c r="E20" s="1"/>
      <c r="F20" s="5">
        <f t="shared" si="4"/>
        <v>0</v>
      </c>
      <c r="G20" s="1"/>
      <c r="H20" s="1">
        <f>SUM(OSRRefH22_0x_0)</f>
        <v>77170.91147692308</v>
      </c>
      <c r="I20" s="1"/>
      <c r="J20" s="5">
        <f t="shared" si="5"/>
        <v>0</v>
      </c>
      <c r="K20" s="1"/>
      <c r="L20" s="1">
        <f t="shared" si="6"/>
        <v>4612.6885230769258</v>
      </c>
      <c r="M20" s="1"/>
      <c r="N20" s="5">
        <f t="shared" si="7"/>
        <v>5.9772373227136084E-2</v>
      </c>
      <c r="O20" s="14"/>
      <c r="P20" s="1">
        <f>SUM(OSRRefP22_0x_0)</f>
        <v>246577.50999999998</v>
      </c>
      <c r="Q20" s="1"/>
      <c r="R20" s="5">
        <f t="shared" si="8"/>
        <v>0</v>
      </c>
      <c r="S20" s="1"/>
      <c r="T20" s="1">
        <f>SUM(OSRRefT22_0x_0)</f>
        <v>240245.91166538466</v>
      </c>
      <c r="U20" s="1"/>
      <c r="V20" s="5">
        <f t="shared" si="9"/>
        <v>0</v>
      </c>
      <c r="W20" s="1"/>
      <c r="X20" s="1">
        <f t="shared" si="10"/>
        <v>6331.5983346153225</v>
      </c>
      <c r="Y20" s="1"/>
      <c r="Z20" s="5">
        <f t="shared" si="11"/>
        <v>2.635465590537913E-2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6">
        <v>7199.68</v>
      </c>
      <c r="E21" s="2"/>
      <c r="F21" s="7">
        <f t="shared" si="4"/>
        <v>0</v>
      </c>
      <c r="G21" s="2"/>
      <c r="H21" s="6">
        <v>6875.69067692308</v>
      </c>
      <c r="I21" s="2"/>
      <c r="J21" s="7">
        <f t="shared" si="5"/>
        <v>0</v>
      </c>
      <c r="K21" s="2"/>
      <c r="L21" s="6">
        <f t="shared" si="6"/>
        <v>323.9893230769203</v>
      </c>
      <c r="M21" s="2"/>
      <c r="N21" s="7">
        <f t="shared" si="7"/>
        <v>4.7120985847185874E-2</v>
      </c>
      <c r="O21" s="11"/>
      <c r="P21" s="6">
        <v>21975.070000000003</v>
      </c>
      <c r="Q21" s="2"/>
      <c r="R21" s="7">
        <f t="shared" si="8"/>
        <v>0</v>
      </c>
      <c r="S21" s="2"/>
      <c r="T21" s="6">
        <v>22956.32145000001</v>
      </c>
      <c r="U21" s="2"/>
      <c r="V21" s="7">
        <f t="shared" si="9"/>
        <v>0</v>
      </c>
      <c r="W21" s="2"/>
      <c r="X21" s="6">
        <f t="shared" si="10"/>
        <v>-981.25145000000703</v>
      </c>
      <c r="Y21" s="2"/>
      <c r="Z21" s="7">
        <f t="shared" si="11"/>
        <v>-4.2744280791555414E-2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6">
        <v>596.41</v>
      </c>
      <c r="E22" s="2"/>
      <c r="F22" s="7">
        <f t="shared" si="4"/>
        <v>0</v>
      </c>
      <c r="G22" s="2"/>
      <c r="H22" s="6">
        <v>606.721753846154</v>
      </c>
      <c r="I22" s="2"/>
      <c r="J22" s="7">
        <f t="shared" si="5"/>
        <v>0</v>
      </c>
      <c r="K22" s="2"/>
      <c r="L22" s="6">
        <f t="shared" si="6"/>
        <v>-10.311753846154033</v>
      </c>
      <c r="M22" s="2"/>
      <c r="N22" s="7">
        <f t="shared" si="7"/>
        <v>-1.6995853174515938E-2</v>
      </c>
      <c r="O22" s="11"/>
      <c r="P22" s="6">
        <v>1788.7</v>
      </c>
      <c r="Q22" s="2"/>
      <c r="R22" s="7">
        <f t="shared" si="8"/>
        <v>0</v>
      </c>
      <c r="S22" s="2"/>
      <c r="T22" s="6">
        <v>1984.9631999999999</v>
      </c>
      <c r="U22" s="2"/>
      <c r="V22" s="7">
        <f t="shared" si="9"/>
        <v>0</v>
      </c>
      <c r="W22" s="2"/>
      <c r="X22" s="6">
        <f t="shared" si="10"/>
        <v>-196.26319999999987</v>
      </c>
      <c r="Y22" s="2"/>
      <c r="Z22" s="7">
        <f t="shared" si="11"/>
        <v>-9.8874981662128492E-2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6">
        <v>22694.37</v>
      </c>
      <c r="E23" s="2"/>
      <c r="F23" s="7">
        <f t="shared" si="4"/>
        <v>0</v>
      </c>
      <c r="G23" s="2"/>
      <c r="H23" s="6">
        <v>20373.557692307699</v>
      </c>
      <c r="I23" s="2"/>
      <c r="J23" s="7">
        <f t="shared" si="5"/>
        <v>0</v>
      </c>
      <c r="K23" s="2"/>
      <c r="L23" s="6">
        <f t="shared" si="6"/>
        <v>2320.8123076923002</v>
      </c>
      <c r="M23" s="2"/>
      <c r="N23" s="7">
        <f t="shared" si="7"/>
        <v>0.1139129622200718</v>
      </c>
      <c r="O23" s="11"/>
      <c r="P23" s="6">
        <v>67977.789999999994</v>
      </c>
      <c r="Q23" s="2"/>
      <c r="R23" s="7">
        <f t="shared" si="8"/>
        <v>0</v>
      </c>
      <c r="S23" s="2"/>
      <c r="T23" s="6">
        <v>64817.884615384632</v>
      </c>
      <c r="U23" s="2"/>
      <c r="V23" s="7">
        <f t="shared" si="9"/>
        <v>0</v>
      </c>
      <c r="W23" s="2"/>
      <c r="X23" s="6">
        <f t="shared" si="10"/>
        <v>3159.905384615362</v>
      </c>
      <c r="Y23" s="2"/>
      <c r="Z23" s="7">
        <f t="shared" si="11"/>
        <v>4.875051698100856E-2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>
        <v>255.2</v>
      </c>
      <c r="E24" s="2"/>
      <c r="F24" s="7">
        <f t="shared" si="4"/>
        <v>0</v>
      </c>
      <c r="G24" s="2"/>
      <c r="H24" s="6">
        <v>262.53519999999997</v>
      </c>
      <c r="I24" s="2"/>
      <c r="J24" s="7">
        <f t="shared" si="5"/>
        <v>0</v>
      </c>
      <c r="K24" s="2"/>
      <c r="L24" s="6">
        <f t="shared" si="6"/>
        <v>-7.3351999999999862</v>
      </c>
      <c r="M24" s="2"/>
      <c r="N24" s="7">
        <f t="shared" si="7"/>
        <v>-2.7939872443771298E-2</v>
      </c>
      <c r="O24" s="11"/>
      <c r="P24" s="6">
        <v>763.34</v>
      </c>
      <c r="Q24" s="2"/>
      <c r="R24" s="7">
        <f t="shared" si="8"/>
        <v>0</v>
      </c>
      <c r="S24" s="2"/>
      <c r="T24" s="6">
        <v>857.02239999999995</v>
      </c>
      <c r="U24" s="2"/>
      <c r="V24" s="7">
        <f t="shared" si="9"/>
        <v>0</v>
      </c>
      <c r="W24" s="2"/>
      <c r="X24" s="6">
        <f t="shared" si="10"/>
        <v>-93.682399999999916</v>
      </c>
      <c r="Y24" s="2"/>
      <c r="Z24" s="7">
        <f t="shared" si="11"/>
        <v>-0.10931149524213127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6">
        <v>7443.75</v>
      </c>
      <c r="E25" s="2"/>
      <c r="F25" s="7">
        <f t="shared" si="4"/>
        <v>0</v>
      </c>
      <c r="G25" s="2"/>
      <c r="H25" s="6">
        <v>5815.5846153846151</v>
      </c>
      <c r="I25" s="2"/>
      <c r="J25" s="7">
        <f t="shared" si="5"/>
        <v>0</v>
      </c>
      <c r="K25" s="2"/>
      <c r="L25" s="6">
        <f t="shared" si="6"/>
        <v>1628.1653846153849</v>
      </c>
      <c r="M25" s="2"/>
      <c r="N25" s="7">
        <f t="shared" si="7"/>
        <v>0.27996590064362875</v>
      </c>
      <c r="O25" s="11"/>
      <c r="P25" s="6">
        <v>26053.14</v>
      </c>
      <c r="Q25" s="2"/>
      <c r="R25" s="7">
        <f t="shared" si="8"/>
        <v>0</v>
      </c>
      <c r="S25" s="2"/>
      <c r="T25" s="6">
        <v>18900.650000000012</v>
      </c>
      <c r="U25" s="2"/>
      <c r="V25" s="7">
        <f t="shared" si="9"/>
        <v>0</v>
      </c>
      <c r="W25" s="2"/>
      <c r="X25" s="6">
        <f t="shared" si="10"/>
        <v>7152.489999999987</v>
      </c>
      <c r="Y25" s="2"/>
      <c r="Z25" s="7">
        <f t="shared" si="11"/>
        <v>0.37842560970125272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300</v>
      </c>
      <c r="I26" s="2"/>
      <c r="J26" s="7">
        <f t="shared" si="5"/>
        <v>0</v>
      </c>
      <c r="K26" s="2"/>
      <c r="L26" s="6">
        <f t="shared" si="6"/>
        <v>-300</v>
      </c>
      <c r="M26" s="2"/>
      <c r="N26" s="7">
        <f t="shared" si="7"/>
        <v>-1</v>
      </c>
      <c r="O26" s="11"/>
      <c r="P26" s="6"/>
      <c r="Q26" s="2"/>
      <c r="R26" s="7">
        <f t="shared" si="8"/>
        <v>0</v>
      </c>
      <c r="S26" s="2"/>
      <c r="T26" s="6">
        <v>900</v>
      </c>
      <c r="U26" s="2"/>
      <c r="V26" s="7">
        <f t="shared" si="9"/>
        <v>0</v>
      </c>
      <c r="W26" s="2"/>
      <c r="X26" s="6">
        <f t="shared" si="10"/>
        <v>-900</v>
      </c>
      <c r="Y26" s="2"/>
      <c r="Z26" s="7">
        <f t="shared" si="11"/>
        <v>-1</v>
      </c>
    </row>
    <row r="27" spans="1:26" s="24" customFormat="1" hidden="1" outlineLevel="2" x14ac:dyDescent="0.2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6">
        <v>808.78</v>
      </c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808.78</v>
      </c>
      <c r="M27" s="2"/>
      <c r="N27" s="7">
        <f t="shared" si="7"/>
        <v>0</v>
      </c>
      <c r="O27" s="11"/>
      <c r="P27" s="6">
        <v>2664.29</v>
      </c>
      <c r="Q27" s="2"/>
      <c r="R27" s="7">
        <f t="shared" si="8"/>
        <v>0</v>
      </c>
      <c r="S27" s="2"/>
      <c r="T27" s="6"/>
      <c r="U27" s="2"/>
      <c r="V27" s="7">
        <f t="shared" si="9"/>
        <v>0</v>
      </c>
      <c r="W27" s="2"/>
      <c r="X27" s="6">
        <f t="shared" si="10"/>
        <v>2664.29</v>
      </c>
      <c r="Y27" s="2"/>
      <c r="Z27" s="7">
        <f t="shared" si="11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6">
        <v>6480.55</v>
      </c>
      <c r="E28" s="2"/>
      <c r="F28" s="7">
        <f t="shared" si="4"/>
        <v>0</v>
      </c>
      <c r="G28" s="2"/>
      <c r="H28" s="6">
        <v>4702.1538461538448</v>
      </c>
      <c r="I28" s="2"/>
      <c r="J28" s="7">
        <f t="shared" si="5"/>
        <v>0</v>
      </c>
      <c r="K28" s="2"/>
      <c r="L28" s="6">
        <f t="shared" si="6"/>
        <v>1778.3961538461554</v>
      </c>
      <c r="M28" s="2"/>
      <c r="N28" s="7">
        <f t="shared" si="7"/>
        <v>0.37820884046590802</v>
      </c>
      <c r="O28" s="11"/>
      <c r="P28" s="6">
        <v>18619.09</v>
      </c>
      <c r="Q28" s="2"/>
      <c r="R28" s="7">
        <f t="shared" si="8"/>
        <v>0</v>
      </c>
      <c r="S28" s="2"/>
      <c r="T28" s="6">
        <v>15295.750000000002</v>
      </c>
      <c r="U28" s="2"/>
      <c r="V28" s="7">
        <f t="shared" si="9"/>
        <v>0</v>
      </c>
      <c r="W28" s="2"/>
      <c r="X28" s="6">
        <f t="shared" si="10"/>
        <v>3323.3399999999983</v>
      </c>
      <c r="Y28" s="2"/>
      <c r="Z28" s="7">
        <f t="shared" si="11"/>
        <v>0.21727211807201333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6">
        <v>4158.5</v>
      </c>
      <c r="E29" s="2"/>
      <c r="F29" s="7">
        <f t="shared" si="4"/>
        <v>0</v>
      </c>
      <c r="G29" s="2"/>
      <c r="H29" s="6">
        <v>3884.6676923076911</v>
      </c>
      <c r="I29" s="2"/>
      <c r="J29" s="7">
        <f t="shared" si="5"/>
        <v>0</v>
      </c>
      <c r="K29" s="2"/>
      <c r="L29" s="6">
        <f t="shared" si="6"/>
        <v>273.83230769230886</v>
      </c>
      <c r="M29" s="2"/>
      <c r="N29" s="7">
        <f t="shared" si="7"/>
        <v>7.049053596902094E-2</v>
      </c>
      <c r="O29" s="11"/>
      <c r="P29" s="6">
        <v>12475.5</v>
      </c>
      <c r="Q29" s="2"/>
      <c r="R29" s="7">
        <f t="shared" si="8"/>
        <v>0</v>
      </c>
      <c r="S29" s="2"/>
      <c r="T29" s="6">
        <v>12563.319999999996</v>
      </c>
      <c r="U29" s="2"/>
      <c r="V29" s="7">
        <f t="shared" si="9"/>
        <v>0</v>
      </c>
      <c r="W29" s="2"/>
      <c r="X29" s="6">
        <f t="shared" si="10"/>
        <v>-87.819999999996071</v>
      </c>
      <c r="Y29" s="2"/>
      <c r="Z29" s="7">
        <f t="shared" si="11"/>
        <v>-6.9901904910482336E-3</v>
      </c>
    </row>
    <row r="30" spans="1:26" s="24" customFormat="1" hidden="1" outlineLevel="2" x14ac:dyDescent="0.25">
      <c r="A30" s="29"/>
      <c r="B30" s="11" t="str">
        <f>CONCATENATE("          ", "6120", " - ", "RETIREES HEALTH INSURANCE")</f>
        <v xml:space="preserve">          6120 - RETIREES HEALTH INSURANCE</v>
      </c>
      <c r="C30" s="11"/>
      <c r="D30" s="6">
        <v>31087.670000000002</v>
      </c>
      <c r="E30" s="2"/>
      <c r="F30" s="7">
        <f t="shared" si="4"/>
        <v>0</v>
      </c>
      <c r="G30" s="2"/>
      <c r="H30" s="6">
        <v>32000</v>
      </c>
      <c r="I30" s="2"/>
      <c r="J30" s="7">
        <f t="shared" si="5"/>
        <v>0</v>
      </c>
      <c r="K30" s="2"/>
      <c r="L30" s="6">
        <f t="shared" si="6"/>
        <v>-912.32999999999811</v>
      </c>
      <c r="M30" s="2"/>
      <c r="N30" s="7">
        <f t="shared" si="7"/>
        <v>-2.851031249999994E-2</v>
      </c>
      <c r="O30" s="11"/>
      <c r="P30" s="6">
        <v>91763.010000000009</v>
      </c>
      <c r="Q30" s="2"/>
      <c r="R30" s="7">
        <f t="shared" si="8"/>
        <v>0</v>
      </c>
      <c r="S30" s="2"/>
      <c r="T30" s="6">
        <v>96000</v>
      </c>
      <c r="U30" s="2"/>
      <c r="V30" s="7">
        <f t="shared" si="9"/>
        <v>0</v>
      </c>
      <c r="W30" s="2"/>
      <c r="X30" s="6">
        <f t="shared" si="10"/>
        <v>-4236.9899999999907</v>
      </c>
      <c r="Y30" s="2"/>
      <c r="Z30" s="7">
        <f t="shared" si="11"/>
        <v>-4.4135312499999906E-2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6">
        <v>1058.69</v>
      </c>
      <c r="E31" s="2"/>
      <c r="F31" s="7">
        <f t="shared" si="4"/>
        <v>0</v>
      </c>
      <c r="G31" s="2"/>
      <c r="H31" s="6">
        <v>2350</v>
      </c>
      <c r="I31" s="2"/>
      <c r="J31" s="7">
        <f t="shared" si="5"/>
        <v>0</v>
      </c>
      <c r="K31" s="2"/>
      <c r="L31" s="6">
        <f t="shared" si="6"/>
        <v>-1291.31</v>
      </c>
      <c r="M31" s="2"/>
      <c r="N31" s="7">
        <f t="shared" si="7"/>
        <v>-0.54949361702127653</v>
      </c>
      <c r="O31" s="11"/>
      <c r="P31" s="6">
        <v>2497.58</v>
      </c>
      <c r="Q31" s="2"/>
      <c r="R31" s="7">
        <f t="shared" si="8"/>
        <v>0</v>
      </c>
      <c r="S31" s="2"/>
      <c r="T31" s="6">
        <v>5970</v>
      </c>
      <c r="U31" s="2"/>
      <c r="V31" s="7">
        <f t="shared" si="9"/>
        <v>0</v>
      </c>
      <c r="W31" s="2"/>
      <c r="X31" s="6">
        <f t="shared" si="10"/>
        <v>-3472.42</v>
      </c>
      <c r="Y31" s="2"/>
      <c r="Z31" s="7">
        <f t="shared" si="11"/>
        <v>-0.58164489112227802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94176.3</v>
      </c>
      <c r="E32" s="1"/>
      <c r="F32" s="5">
        <f t="shared" ref="F32:F42" si="12">IF(D$12=0,0,D32/D$12)</f>
        <v>0</v>
      </c>
      <c r="G32" s="1"/>
      <c r="H32" s="1">
        <f>SUM(OSRRefH22_1x_0)</f>
        <v>92877.01538461537</v>
      </c>
      <c r="I32" s="1"/>
      <c r="J32" s="5">
        <f t="shared" ref="J32:J42" si="13">IF(H$12=0,0,H32/H$12)</f>
        <v>0</v>
      </c>
      <c r="K32" s="1"/>
      <c r="L32" s="1">
        <f t="shared" ref="L32:L42" si="14">+D32-H32</f>
        <v>1299.2846153846331</v>
      </c>
      <c r="M32" s="1"/>
      <c r="N32" s="5">
        <f t="shared" ref="N32:N42" si="15">IF(H32=0,0,L32/H32)</f>
        <v>1.3989301981810382E-2</v>
      </c>
      <c r="O32" s="14"/>
      <c r="P32" s="1">
        <f>SUM(OSRRefP22_1x_0)</f>
        <v>297797.2</v>
      </c>
      <c r="Q32" s="1"/>
      <c r="R32" s="5">
        <f t="shared" ref="R32:R42" si="16">IF(P$12=0,0,P32/P$12)</f>
        <v>0</v>
      </c>
      <c r="S32" s="1"/>
      <c r="T32" s="1">
        <f>SUM(OSRRefT22_1x_0)</f>
        <v>303277.80000000005</v>
      </c>
      <c r="U32" s="1"/>
      <c r="V32" s="5">
        <f t="shared" ref="V32:V42" si="17">IF(T$12=0,0,T32/T$12)</f>
        <v>0</v>
      </c>
      <c r="W32" s="1"/>
      <c r="X32" s="1">
        <f t="shared" ref="X32:X42" si="18">+P32-T32</f>
        <v>-5480.6000000000349</v>
      </c>
      <c r="Y32" s="1"/>
      <c r="Z32" s="5">
        <f t="shared" ref="Z32:Z42" si="19">IF(T32=0,0,X32/T32)</f>
        <v>-1.8071220511359665E-2</v>
      </c>
    </row>
    <row r="33" spans="1:26" s="24" customFormat="1" hidden="1" outlineLevel="2" x14ac:dyDescent="0.25">
      <c r="A33" s="29"/>
      <c r="B33" s="11" t="str">
        <f>CONCATENATE("          ", "6001", " - ", "ADMINISTRATIVE SALARIES")</f>
        <v xml:space="preserve">          6001 - ADMINISTRATIVE SALARIES</v>
      </c>
      <c r="C33" s="11"/>
      <c r="D33" s="6">
        <v>22550.76</v>
      </c>
      <c r="E33" s="2"/>
      <c r="F33" s="7">
        <f t="shared" si="12"/>
        <v>0</v>
      </c>
      <c r="G33" s="2"/>
      <c r="H33" s="6">
        <v>27288.461538461499</v>
      </c>
      <c r="I33" s="2"/>
      <c r="J33" s="7">
        <f t="shared" si="13"/>
        <v>0</v>
      </c>
      <c r="K33" s="2"/>
      <c r="L33" s="6">
        <f t="shared" si="14"/>
        <v>-4737.7015384615006</v>
      </c>
      <c r="M33" s="2"/>
      <c r="N33" s="7">
        <f t="shared" si="15"/>
        <v>-0.17361556025369865</v>
      </c>
      <c r="O33" s="11"/>
      <c r="P33" s="6">
        <v>72105.53</v>
      </c>
      <c r="Q33" s="2"/>
      <c r="R33" s="7">
        <f t="shared" si="16"/>
        <v>0</v>
      </c>
      <c r="S33" s="2"/>
      <c r="T33" s="6">
        <v>88687.499999999942</v>
      </c>
      <c r="U33" s="2"/>
      <c r="V33" s="7">
        <f t="shared" si="17"/>
        <v>0</v>
      </c>
      <c r="W33" s="2"/>
      <c r="X33" s="6">
        <f t="shared" si="18"/>
        <v>-16581.969999999943</v>
      </c>
      <c r="Y33" s="2"/>
      <c r="Z33" s="7">
        <f t="shared" si="19"/>
        <v>-0.18697076814658159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6">
        <v>46779.08</v>
      </c>
      <c r="E34" s="2"/>
      <c r="F34" s="7">
        <f t="shared" si="12"/>
        <v>0</v>
      </c>
      <c r="G34" s="2"/>
      <c r="H34" s="6">
        <v>34146.153846153873</v>
      </c>
      <c r="I34" s="2"/>
      <c r="J34" s="7">
        <f t="shared" si="13"/>
        <v>0</v>
      </c>
      <c r="K34" s="2"/>
      <c r="L34" s="6">
        <f t="shared" si="14"/>
        <v>12632.926153846129</v>
      </c>
      <c r="M34" s="2"/>
      <c r="N34" s="7">
        <f t="shared" si="15"/>
        <v>0.36996629871592596</v>
      </c>
      <c r="O34" s="11"/>
      <c r="P34" s="6">
        <v>144563.49</v>
      </c>
      <c r="Q34" s="2"/>
      <c r="R34" s="7">
        <f t="shared" si="16"/>
        <v>0</v>
      </c>
      <c r="S34" s="2"/>
      <c r="T34" s="6">
        <v>110975.0000000001</v>
      </c>
      <c r="U34" s="2"/>
      <c r="V34" s="7">
        <f t="shared" si="17"/>
        <v>0</v>
      </c>
      <c r="W34" s="2"/>
      <c r="X34" s="6">
        <f t="shared" si="18"/>
        <v>33588.489999999889</v>
      </c>
      <c r="Y34" s="2"/>
      <c r="Z34" s="7">
        <f t="shared" si="19"/>
        <v>0.30266717729218162</v>
      </c>
    </row>
    <row r="35" spans="1:26" s="24" customFormat="1" hidden="1" outlineLevel="2" x14ac:dyDescent="0.25">
      <c r="A35" s="29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6">
        <v>17369.990000000002</v>
      </c>
      <c r="E36" s="2"/>
      <c r="F36" s="7">
        <f t="shared" si="12"/>
        <v>0</v>
      </c>
      <c r="G36" s="2"/>
      <c r="H36" s="6">
        <v>20346.400000000001</v>
      </c>
      <c r="I36" s="2"/>
      <c r="J36" s="7">
        <f t="shared" si="13"/>
        <v>0</v>
      </c>
      <c r="K36" s="2"/>
      <c r="L36" s="6">
        <f t="shared" si="14"/>
        <v>-2976.41</v>
      </c>
      <c r="M36" s="2"/>
      <c r="N36" s="7">
        <f t="shared" si="15"/>
        <v>-0.14628681240907482</v>
      </c>
      <c r="O36" s="11"/>
      <c r="P36" s="6">
        <v>53248.88</v>
      </c>
      <c r="Q36" s="2"/>
      <c r="R36" s="7">
        <f t="shared" si="16"/>
        <v>0</v>
      </c>
      <c r="S36" s="2"/>
      <c r="T36" s="6">
        <v>71373.3</v>
      </c>
      <c r="U36" s="2"/>
      <c r="V36" s="7">
        <f t="shared" si="17"/>
        <v>0</v>
      </c>
      <c r="W36" s="2"/>
      <c r="X36" s="6">
        <f t="shared" si="18"/>
        <v>-18124.420000000006</v>
      </c>
      <c r="Y36" s="2"/>
      <c r="Z36" s="7">
        <f t="shared" si="19"/>
        <v>-0.25393837751652237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6">
        <v>6074.61</v>
      </c>
      <c r="E37" s="2"/>
      <c r="F37" s="7">
        <f t="shared" si="12"/>
        <v>0</v>
      </c>
      <c r="G37" s="2"/>
      <c r="H37" s="6">
        <v>7772</v>
      </c>
      <c r="I37" s="2"/>
      <c r="J37" s="7">
        <f t="shared" si="13"/>
        <v>0</v>
      </c>
      <c r="K37" s="2"/>
      <c r="L37" s="6">
        <f t="shared" si="14"/>
        <v>-1697.3900000000003</v>
      </c>
      <c r="M37" s="2"/>
      <c r="N37" s="7">
        <f t="shared" si="15"/>
        <v>-0.2183980957282553</v>
      </c>
      <c r="O37" s="11"/>
      <c r="P37" s="6">
        <v>17714.689999999999</v>
      </c>
      <c r="Q37" s="2"/>
      <c r="R37" s="7">
        <f t="shared" si="16"/>
        <v>0</v>
      </c>
      <c r="S37" s="2"/>
      <c r="T37" s="6">
        <v>25259</v>
      </c>
      <c r="U37" s="2"/>
      <c r="V37" s="7">
        <f t="shared" si="17"/>
        <v>0</v>
      </c>
      <c r="W37" s="2"/>
      <c r="X37" s="6">
        <f t="shared" si="18"/>
        <v>-7544.3100000000013</v>
      </c>
      <c r="Y37" s="2"/>
      <c r="Z37" s="7">
        <f t="shared" si="19"/>
        <v>-0.29867809493645836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12"/>
        <v>0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0</v>
      </c>
      <c r="M38" s="2"/>
      <c r="N38" s="7">
        <f t="shared" si="15"/>
        <v>0</v>
      </c>
      <c r="O38" s="11"/>
      <c r="P38" s="6"/>
      <c r="Q38" s="2"/>
      <c r="R38" s="7">
        <f t="shared" si="16"/>
        <v>0</v>
      </c>
      <c r="S38" s="2"/>
      <c r="T38" s="6">
        <v>0</v>
      </c>
      <c r="U38" s="2"/>
      <c r="V38" s="7">
        <f t="shared" si="17"/>
        <v>0</v>
      </c>
      <c r="W38" s="2"/>
      <c r="X38" s="6">
        <f t="shared" si="18"/>
        <v>0</v>
      </c>
      <c r="Y38" s="2"/>
      <c r="Z38" s="7">
        <f t="shared" si="19"/>
        <v>0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6">
        <v>231.39</v>
      </c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231.39</v>
      </c>
      <c r="M39" s="2"/>
      <c r="N39" s="7">
        <f t="shared" si="15"/>
        <v>0</v>
      </c>
      <c r="O39" s="11"/>
      <c r="P39" s="6">
        <v>5955.28</v>
      </c>
      <c r="Q39" s="2"/>
      <c r="R39" s="7">
        <f t="shared" si="16"/>
        <v>0</v>
      </c>
      <c r="S39" s="2"/>
      <c r="T39" s="6">
        <v>2619</v>
      </c>
      <c r="U39" s="2"/>
      <c r="V39" s="7">
        <f t="shared" si="17"/>
        <v>0</v>
      </c>
      <c r="W39" s="2"/>
      <c r="X39" s="6">
        <f t="shared" si="18"/>
        <v>3336.2799999999997</v>
      </c>
      <c r="Y39" s="2"/>
      <c r="Z39" s="7">
        <f t="shared" si="19"/>
        <v>1.2738755250095455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6">
        <v>1170.47</v>
      </c>
      <c r="E40" s="2"/>
      <c r="F40" s="7">
        <f t="shared" si="12"/>
        <v>0</v>
      </c>
      <c r="G40" s="2"/>
      <c r="H40" s="6">
        <v>3324</v>
      </c>
      <c r="I40" s="2"/>
      <c r="J40" s="7">
        <f t="shared" si="13"/>
        <v>0</v>
      </c>
      <c r="K40" s="2"/>
      <c r="L40" s="6">
        <f t="shared" si="14"/>
        <v>-2153.5299999999997</v>
      </c>
      <c r="M40" s="2"/>
      <c r="N40" s="7">
        <f t="shared" si="15"/>
        <v>-0.64787304452466898</v>
      </c>
      <c r="O40" s="11"/>
      <c r="P40" s="6">
        <v>4209.33</v>
      </c>
      <c r="Q40" s="2"/>
      <c r="R40" s="7">
        <f t="shared" si="16"/>
        <v>0</v>
      </c>
      <c r="S40" s="2"/>
      <c r="T40" s="6">
        <v>4364</v>
      </c>
      <c r="U40" s="2"/>
      <c r="V40" s="7">
        <f t="shared" si="17"/>
        <v>0</v>
      </c>
      <c r="W40" s="2"/>
      <c r="X40" s="6">
        <f t="shared" si="18"/>
        <v>-154.67000000000007</v>
      </c>
      <c r="Y40" s="2"/>
      <c r="Z40" s="7">
        <f t="shared" si="19"/>
        <v>-3.5442254812099006E-2</v>
      </c>
    </row>
    <row r="41" spans="1:26" s="24" customFormat="1" hidden="1" outlineLevel="2" x14ac:dyDescent="0.25">
      <c r="A41" s="29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9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12"/>
        <v>0</v>
      </c>
      <c r="G42" s="2"/>
      <c r="H42" s="6">
        <v>0</v>
      </c>
      <c r="I42" s="2"/>
      <c r="J42" s="7">
        <f t="shared" si="13"/>
        <v>0</v>
      </c>
      <c r="K42" s="2"/>
      <c r="L42" s="6">
        <f t="shared" si="14"/>
        <v>0</v>
      </c>
      <c r="M42" s="2"/>
      <c r="N42" s="7">
        <f t="shared" si="15"/>
        <v>0</v>
      </c>
      <c r="O42" s="11"/>
      <c r="P42" s="6"/>
      <c r="Q42" s="2"/>
      <c r="R42" s="7">
        <f t="shared" si="16"/>
        <v>0</v>
      </c>
      <c r="S42" s="2"/>
      <c r="T42" s="6">
        <v>0</v>
      </c>
      <c r="U42" s="2"/>
      <c r="V42" s="7">
        <f t="shared" si="17"/>
        <v>0</v>
      </c>
      <c r="W42" s="2"/>
      <c r="X42" s="6">
        <f t="shared" si="18"/>
        <v>0</v>
      </c>
      <c r="Y42" s="2"/>
      <c r="Z42" s="7">
        <f t="shared" si="19"/>
        <v>0</v>
      </c>
    </row>
    <row r="43" spans="1:26" s="28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178.16</v>
      </c>
      <c r="E43" s="1"/>
      <c r="F43" s="5">
        <f t="shared" ref="F43:F51" si="20">IF(D$12=0,0,D43/D$12)</f>
        <v>0</v>
      </c>
      <c r="G43" s="1"/>
      <c r="H43" s="1">
        <f>SUM(OSRRefH22_2x_0)</f>
        <v>9083</v>
      </c>
      <c r="I43" s="1"/>
      <c r="J43" s="5">
        <f t="shared" ref="J43:J51" si="21">IF(H$12=0,0,H43/H$12)</f>
        <v>0</v>
      </c>
      <c r="K43" s="1"/>
      <c r="L43" s="1">
        <f t="shared" ref="L43:L51" si="22">+D43-H43</f>
        <v>-8904.84</v>
      </c>
      <c r="M43" s="1"/>
      <c r="N43" s="5">
        <f t="shared" ref="N43:N51" si="23">IF(H43=0,0,L43/H43)</f>
        <v>-0.98038533524166027</v>
      </c>
      <c r="O43" s="14"/>
      <c r="P43" s="1">
        <f>SUM(OSRRefP22_2x_0)</f>
        <v>413.22</v>
      </c>
      <c r="Q43" s="1"/>
      <c r="R43" s="5">
        <f t="shared" ref="R43:R51" si="24">IF(P$12=0,0,P43/P$12)</f>
        <v>0</v>
      </c>
      <c r="S43" s="1"/>
      <c r="T43" s="1">
        <f>SUM(OSRRefT22_2x_0)</f>
        <v>27349</v>
      </c>
      <c r="U43" s="1"/>
      <c r="V43" s="5">
        <f t="shared" ref="V43:V51" si="25">IF(T$12=0,0,T43/T$12)</f>
        <v>0</v>
      </c>
      <c r="W43" s="1"/>
      <c r="X43" s="1">
        <f t="shared" ref="X43:X51" si="26">+P43-T43</f>
        <v>-26935.78</v>
      </c>
      <c r="Y43" s="1"/>
      <c r="Z43" s="5">
        <f t="shared" ref="Z43:Z51" si="27">IF(T43=0,0,X43/T43)</f>
        <v>-0.98489085524150788</v>
      </c>
    </row>
    <row r="44" spans="1:26" s="24" customFormat="1" hidden="1" outlineLevel="2" x14ac:dyDescent="0.25">
      <c r="A44" s="29"/>
      <c r="B44" s="11" t="str">
        <f>CONCATENATE("          ", "6362", " - ", "ADVERTISING EXPENSE")</f>
        <v xml:space="preserve">          6362 - ADVERTISING EXPENSE</v>
      </c>
      <c r="C44" s="11"/>
      <c r="D44" s="6">
        <v>178.16</v>
      </c>
      <c r="E44" s="2"/>
      <c r="F44" s="7">
        <f t="shared" si="20"/>
        <v>0</v>
      </c>
      <c r="G44" s="2"/>
      <c r="H44" s="6">
        <v>9083</v>
      </c>
      <c r="I44" s="2"/>
      <c r="J44" s="7">
        <f t="shared" si="21"/>
        <v>0</v>
      </c>
      <c r="K44" s="2"/>
      <c r="L44" s="6">
        <f t="shared" si="22"/>
        <v>-8904.84</v>
      </c>
      <c r="M44" s="2"/>
      <c r="N44" s="7">
        <f t="shared" si="23"/>
        <v>-0.98038533524166027</v>
      </c>
      <c r="O44" s="11"/>
      <c r="P44" s="6">
        <v>413.22</v>
      </c>
      <c r="Q44" s="2"/>
      <c r="R44" s="7">
        <f t="shared" si="24"/>
        <v>0</v>
      </c>
      <c r="S44" s="2"/>
      <c r="T44" s="6">
        <v>27349</v>
      </c>
      <c r="U44" s="2"/>
      <c r="V44" s="7">
        <f t="shared" si="25"/>
        <v>0</v>
      </c>
      <c r="W44" s="2"/>
      <c r="X44" s="6">
        <f t="shared" si="26"/>
        <v>-26935.78</v>
      </c>
      <c r="Y44" s="2"/>
      <c r="Z44" s="7">
        <f t="shared" si="27"/>
        <v>-0.98489085524150788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7</v>
      </c>
      <c r="E45" s="1"/>
      <c r="F45" s="5">
        <f t="shared" si="20"/>
        <v>0</v>
      </c>
      <c r="G45" s="1"/>
      <c r="H45" s="1">
        <f>SUM(OSRRefH22_3x_0)</f>
        <v>2000</v>
      </c>
      <c r="I45" s="1"/>
      <c r="J45" s="5">
        <f t="shared" si="21"/>
        <v>0</v>
      </c>
      <c r="K45" s="1"/>
      <c r="L45" s="1">
        <f t="shared" si="22"/>
        <v>-1993</v>
      </c>
      <c r="M45" s="1"/>
      <c r="N45" s="5">
        <f t="shared" si="23"/>
        <v>-0.99650000000000005</v>
      </c>
      <c r="O45" s="14"/>
      <c r="P45" s="1">
        <f>SUM(OSRRefP22_3x_0)</f>
        <v>937.98</v>
      </c>
      <c r="Q45" s="1"/>
      <c r="R45" s="5">
        <f t="shared" si="24"/>
        <v>0</v>
      </c>
      <c r="S45" s="1"/>
      <c r="T45" s="1">
        <f>SUM(OSRRefT22_3x_0)</f>
        <v>18000</v>
      </c>
      <c r="U45" s="1"/>
      <c r="V45" s="5">
        <f t="shared" si="25"/>
        <v>0</v>
      </c>
      <c r="W45" s="1"/>
      <c r="X45" s="1">
        <f t="shared" si="26"/>
        <v>-17062.02</v>
      </c>
      <c r="Y45" s="1"/>
      <c r="Z45" s="5">
        <f t="shared" si="27"/>
        <v>-0.94789000000000001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6">
        <v>7</v>
      </c>
      <c r="E46" s="2"/>
      <c r="F46" s="7">
        <f t="shared" si="20"/>
        <v>0</v>
      </c>
      <c r="G46" s="2"/>
      <c r="H46" s="6">
        <v>2000</v>
      </c>
      <c r="I46" s="2"/>
      <c r="J46" s="7">
        <f t="shared" si="21"/>
        <v>0</v>
      </c>
      <c r="K46" s="2"/>
      <c r="L46" s="6">
        <f t="shared" si="22"/>
        <v>-1993</v>
      </c>
      <c r="M46" s="2"/>
      <c r="N46" s="7">
        <f t="shared" si="23"/>
        <v>-0.99650000000000005</v>
      </c>
      <c r="O46" s="11"/>
      <c r="P46" s="6">
        <v>937.98</v>
      </c>
      <c r="Q46" s="2"/>
      <c r="R46" s="7">
        <f t="shared" si="24"/>
        <v>0</v>
      </c>
      <c r="S46" s="2"/>
      <c r="T46" s="6">
        <v>18000</v>
      </c>
      <c r="U46" s="2"/>
      <c r="V46" s="7">
        <f t="shared" si="25"/>
        <v>0</v>
      </c>
      <c r="W46" s="2"/>
      <c r="X46" s="6">
        <f t="shared" si="26"/>
        <v>-17062.02</v>
      </c>
      <c r="Y46" s="2"/>
      <c r="Z46" s="7">
        <f t="shared" si="27"/>
        <v>-0.94789000000000001</v>
      </c>
    </row>
    <row r="47" spans="1:26" s="28" customFormat="1" outlineLevel="1" collapsed="1" x14ac:dyDescent="0.25">
      <c r="A47" s="27"/>
      <c r="B47" s="14" t="str">
        <f>CONCATENATE("     ","Board                                             ")</f>
        <v xml:space="preserve">     Board                                             </v>
      </c>
      <c r="C47" s="14"/>
      <c r="D47" s="1">
        <f>SUM(OSRRefD22_4x_0)</f>
        <v>833.04</v>
      </c>
      <c r="E47" s="1"/>
      <c r="F47" s="5">
        <f t="shared" si="20"/>
        <v>0</v>
      </c>
      <c r="G47" s="1"/>
      <c r="H47" s="1">
        <f>SUM(OSRRefH22_4x_0)</f>
        <v>2437</v>
      </c>
      <c r="I47" s="1"/>
      <c r="J47" s="5">
        <f t="shared" si="21"/>
        <v>0</v>
      </c>
      <c r="K47" s="1"/>
      <c r="L47" s="1">
        <f t="shared" si="22"/>
        <v>-1603.96</v>
      </c>
      <c r="M47" s="1"/>
      <c r="N47" s="5">
        <f t="shared" si="23"/>
        <v>-0.65816988100123108</v>
      </c>
      <c r="O47" s="14"/>
      <c r="P47" s="1">
        <f>SUM(OSRRefP22_4x_0)</f>
        <v>5970.84</v>
      </c>
      <c r="Q47" s="1"/>
      <c r="R47" s="5">
        <f t="shared" si="24"/>
        <v>0</v>
      </c>
      <c r="S47" s="1"/>
      <c r="T47" s="1">
        <f>SUM(OSRRefT22_4x_0)</f>
        <v>6611</v>
      </c>
      <c r="U47" s="1"/>
      <c r="V47" s="5">
        <f t="shared" si="25"/>
        <v>0</v>
      </c>
      <c r="W47" s="1"/>
      <c r="X47" s="1">
        <f t="shared" si="26"/>
        <v>-640.15999999999985</v>
      </c>
      <c r="Y47" s="1"/>
      <c r="Z47" s="5">
        <f t="shared" si="27"/>
        <v>-9.6832551807593384E-2</v>
      </c>
    </row>
    <row r="48" spans="1:26" s="24" customFormat="1" hidden="1" outlineLevel="2" x14ac:dyDescent="0.25">
      <c r="A48" s="29"/>
      <c r="B48" s="11" t="str">
        <f>CONCATENATE("          ", "6397", " - ", "BOARD EXPENSES")</f>
        <v xml:space="preserve">          6397 - BOARD EXPENSES</v>
      </c>
      <c r="C48" s="11"/>
      <c r="D48" s="6">
        <v>833.04</v>
      </c>
      <c r="E48" s="2"/>
      <c r="F48" s="7">
        <f t="shared" si="20"/>
        <v>0</v>
      </c>
      <c r="G48" s="2"/>
      <c r="H48" s="6">
        <v>2437</v>
      </c>
      <c r="I48" s="2"/>
      <c r="J48" s="7">
        <f t="shared" si="21"/>
        <v>0</v>
      </c>
      <c r="K48" s="2"/>
      <c r="L48" s="6">
        <f t="shared" si="22"/>
        <v>-1603.96</v>
      </c>
      <c r="M48" s="2"/>
      <c r="N48" s="7">
        <f t="shared" si="23"/>
        <v>-0.65816988100123108</v>
      </c>
      <c r="O48" s="11"/>
      <c r="P48" s="6">
        <v>5970.84</v>
      </c>
      <c r="Q48" s="2"/>
      <c r="R48" s="7">
        <f t="shared" si="24"/>
        <v>0</v>
      </c>
      <c r="S48" s="2"/>
      <c r="T48" s="6">
        <v>6611</v>
      </c>
      <c r="U48" s="2"/>
      <c r="V48" s="7">
        <f t="shared" si="25"/>
        <v>0</v>
      </c>
      <c r="W48" s="2"/>
      <c r="X48" s="6">
        <f t="shared" si="26"/>
        <v>-640.15999999999985</v>
      </c>
      <c r="Y48" s="2"/>
      <c r="Z48" s="7">
        <f t="shared" si="27"/>
        <v>-9.6832551807593384E-2</v>
      </c>
    </row>
    <row r="49" spans="1:26" s="28" customFormat="1" outlineLevel="1" collapsed="1" x14ac:dyDescent="0.25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7607.15</v>
      </c>
      <c r="E49" s="1"/>
      <c r="F49" s="5">
        <f t="shared" si="20"/>
        <v>0</v>
      </c>
      <c r="G49" s="1"/>
      <c r="H49" s="1">
        <f>SUM(OSRRefH22_5x_0)</f>
        <v>7607</v>
      </c>
      <c r="I49" s="1"/>
      <c r="J49" s="5">
        <f t="shared" si="21"/>
        <v>0</v>
      </c>
      <c r="K49" s="1"/>
      <c r="L49" s="1">
        <f t="shared" si="22"/>
        <v>0.1499999999996362</v>
      </c>
      <c r="M49" s="1"/>
      <c r="N49" s="5">
        <f t="shared" si="23"/>
        <v>1.9718680162959934E-5</v>
      </c>
      <c r="O49" s="14"/>
      <c r="P49" s="1">
        <f>SUM(OSRRefP22_5x_0)</f>
        <v>22821.47</v>
      </c>
      <c r="Q49" s="1"/>
      <c r="R49" s="5">
        <f t="shared" si="24"/>
        <v>0</v>
      </c>
      <c r="S49" s="1"/>
      <c r="T49" s="1">
        <f>SUM(OSRRefT22_5x_0)</f>
        <v>17559</v>
      </c>
      <c r="U49" s="1"/>
      <c r="V49" s="5">
        <f t="shared" si="25"/>
        <v>0</v>
      </c>
      <c r="W49" s="1"/>
      <c r="X49" s="1">
        <f t="shared" si="26"/>
        <v>5262.4700000000012</v>
      </c>
      <c r="Y49" s="1"/>
      <c r="Z49" s="5">
        <f t="shared" si="27"/>
        <v>0.29970214704709841</v>
      </c>
    </row>
    <row r="50" spans="1:26" s="24" customFormat="1" hidden="1" outlineLevel="2" x14ac:dyDescent="0.25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7607.15</v>
      </c>
      <c r="E50" s="2"/>
      <c r="F50" s="7">
        <f t="shared" si="20"/>
        <v>0</v>
      </c>
      <c r="G50" s="2"/>
      <c r="H50" s="6">
        <v>7607</v>
      </c>
      <c r="I50" s="2"/>
      <c r="J50" s="7">
        <f t="shared" si="21"/>
        <v>0</v>
      </c>
      <c r="K50" s="2"/>
      <c r="L50" s="6">
        <f t="shared" si="22"/>
        <v>0.1499999999996362</v>
      </c>
      <c r="M50" s="2"/>
      <c r="N50" s="7">
        <f t="shared" si="23"/>
        <v>1.9718680162959934E-5</v>
      </c>
      <c r="O50" s="11"/>
      <c r="P50" s="6">
        <v>22821.47</v>
      </c>
      <c r="Q50" s="2"/>
      <c r="R50" s="7">
        <f t="shared" si="24"/>
        <v>0</v>
      </c>
      <c r="S50" s="2"/>
      <c r="T50" s="6">
        <v>17459</v>
      </c>
      <c r="U50" s="2"/>
      <c r="V50" s="7">
        <f t="shared" si="25"/>
        <v>0</v>
      </c>
      <c r="W50" s="2"/>
      <c r="X50" s="6">
        <f t="shared" si="26"/>
        <v>5362.4700000000012</v>
      </c>
      <c r="Y50" s="2"/>
      <c r="Z50" s="7">
        <f t="shared" si="27"/>
        <v>0.30714645741451407</v>
      </c>
    </row>
    <row r="51" spans="1:26" s="24" customFormat="1" hidden="1" outlineLevel="2" x14ac:dyDescent="0.25">
      <c r="A51" s="29"/>
      <c r="B51" s="11" t="str">
        <f>CONCATENATE("          ", "6324", " - ", "FURNITURE + FIXT DEPRECIATION")</f>
        <v xml:space="preserve">          6324 - FURNITURE + FIXT DEPRECIATION</v>
      </c>
      <c r="C51" s="11"/>
      <c r="D51" s="6"/>
      <c r="E51" s="2"/>
      <c r="F51" s="7">
        <f t="shared" si="20"/>
        <v>0</v>
      </c>
      <c r="G51" s="2"/>
      <c r="H51" s="6"/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100</v>
      </c>
      <c r="U51" s="2"/>
      <c r="V51" s="7">
        <f t="shared" si="25"/>
        <v>0</v>
      </c>
      <c r="W51" s="2"/>
      <c r="X51" s="6">
        <f t="shared" si="26"/>
        <v>-100</v>
      </c>
      <c r="Y51" s="2"/>
      <c r="Z51" s="7">
        <f t="shared" si="27"/>
        <v>-1</v>
      </c>
    </row>
    <row r="52" spans="1:26" s="28" customFormat="1" outlineLevel="1" collapsed="1" x14ac:dyDescent="0.25">
      <c r="A52" s="27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ref="F52:F60" si="28">IF(D$12=0,0,D52/D$12)</f>
        <v>0</v>
      </c>
      <c r="G52" s="1"/>
      <c r="H52" s="1">
        <f>SUM(OSRRefH22_6x_0)</f>
        <v>0</v>
      </c>
      <c r="I52" s="1"/>
      <c r="J52" s="5">
        <f t="shared" ref="J52:J60" si="29">IF(H$12=0,0,H52/H$12)</f>
        <v>0</v>
      </c>
      <c r="K52" s="1"/>
      <c r="L52" s="1">
        <f t="shared" ref="L52:L60" si="30">+D52-H52</f>
        <v>0</v>
      </c>
      <c r="M52" s="1"/>
      <c r="N52" s="5">
        <f t="shared" ref="N52:N60" si="31">IF(H52=0,0,L52/H52)</f>
        <v>0</v>
      </c>
      <c r="O52" s="14"/>
      <c r="P52" s="1">
        <f>SUM(OSRRefP22_6x_0)</f>
        <v>0</v>
      </c>
      <c r="Q52" s="1"/>
      <c r="R52" s="5">
        <f t="shared" ref="R52:R60" si="32">IF(P$12=0,0,P52/P$12)</f>
        <v>0</v>
      </c>
      <c r="S52" s="1"/>
      <c r="T52" s="1">
        <f>SUM(OSRRefT22_6x_0)</f>
        <v>26500</v>
      </c>
      <c r="U52" s="1"/>
      <c r="V52" s="5">
        <f t="shared" ref="V52:V60" si="33">IF(T$12=0,0,T52/T$12)</f>
        <v>0</v>
      </c>
      <c r="W52" s="1"/>
      <c r="X52" s="1">
        <f t="shared" ref="X52:X60" si="34">+P52-T52</f>
        <v>-26500</v>
      </c>
      <c r="Y52" s="1"/>
      <c r="Z52" s="5">
        <f t="shared" ref="Z52:Z60" si="35">IF(T52=0,0,X52/T52)</f>
        <v>-1</v>
      </c>
    </row>
    <row r="53" spans="1:26" s="24" customFormat="1" hidden="1" outlineLevel="2" x14ac:dyDescent="0.25">
      <c r="A53" s="29"/>
      <c r="B53" s="11" t="str">
        <f>CONCATENATE("          ", "6399", " - ", "DONATION-ON CAMPUS")</f>
        <v xml:space="preserve">          6399 - DONATION-ON CAMPUS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/>
      <c r="Q53" s="2"/>
      <c r="R53" s="7">
        <f t="shared" si="32"/>
        <v>0</v>
      </c>
      <c r="S53" s="2"/>
      <c r="T53" s="6">
        <v>26500</v>
      </c>
      <c r="U53" s="2"/>
      <c r="V53" s="7">
        <f t="shared" si="33"/>
        <v>0</v>
      </c>
      <c r="W53" s="2"/>
      <c r="X53" s="6">
        <f t="shared" si="34"/>
        <v>-26500</v>
      </c>
      <c r="Y53" s="2"/>
      <c r="Z53" s="7">
        <f t="shared" si="35"/>
        <v>-1</v>
      </c>
    </row>
    <row r="54" spans="1:26" s="28" customFormat="1" outlineLevel="1" collapsed="1" x14ac:dyDescent="0.25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1000</v>
      </c>
      <c r="I54" s="1"/>
      <c r="J54" s="5">
        <f t="shared" si="29"/>
        <v>0</v>
      </c>
      <c r="K54" s="1"/>
      <c r="L54" s="1">
        <f t="shared" si="30"/>
        <v>-1000</v>
      </c>
      <c r="M54" s="1"/>
      <c r="N54" s="5">
        <f t="shared" si="31"/>
        <v>-1</v>
      </c>
      <c r="O54" s="14"/>
      <c r="P54" s="1">
        <f>SUM(OSRRefP22_7x_0)</f>
        <v>81.56</v>
      </c>
      <c r="Q54" s="1"/>
      <c r="R54" s="5">
        <f t="shared" si="32"/>
        <v>0</v>
      </c>
      <c r="S54" s="1"/>
      <c r="T54" s="1">
        <f>SUM(OSRRefT22_7x_0)</f>
        <v>1500</v>
      </c>
      <c r="U54" s="1"/>
      <c r="V54" s="5">
        <f t="shared" si="33"/>
        <v>0</v>
      </c>
      <c r="W54" s="1"/>
      <c r="X54" s="1">
        <f t="shared" si="34"/>
        <v>-1418.44</v>
      </c>
      <c r="Y54" s="1"/>
      <c r="Z54" s="5">
        <f t="shared" si="35"/>
        <v>-0.94562666666666673</v>
      </c>
    </row>
    <row r="55" spans="1:26" s="24" customFormat="1" hidden="1" outlineLevel="2" x14ac:dyDescent="0.25">
      <c r="A55" s="29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8"/>
        <v>0</v>
      </c>
      <c r="G55" s="2"/>
      <c r="H55" s="6">
        <v>1000</v>
      </c>
      <c r="I55" s="2"/>
      <c r="J55" s="7">
        <f t="shared" si="29"/>
        <v>0</v>
      </c>
      <c r="K55" s="2"/>
      <c r="L55" s="6">
        <f t="shared" si="30"/>
        <v>-1000</v>
      </c>
      <c r="M55" s="2"/>
      <c r="N55" s="7">
        <f t="shared" si="31"/>
        <v>-1</v>
      </c>
      <c r="O55" s="11"/>
      <c r="P55" s="6">
        <v>81.56</v>
      </c>
      <c r="Q55" s="2"/>
      <c r="R55" s="7">
        <f t="shared" si="32"/>
        <v>0</v>
      </c>
      <c r="S55" s="2"/>
      <c r="T55" s="6">
        <v>1500</v>
      </c>
      <c r="U55" s="2"/>
      <c r="V55" s="7">
        <f t="shared" si="33"/>
        <v>0</v>
      </c>
      <c r="W55" s="2"/>
      <c r="X55" s="6">
        <f t="shared" si="34"/>
        <v>-1418.44</v>
      </c>
      <c r="Y55" s="2"/>
      <c r="Z55" s="7">
        <f t="shared" si="35"/>
        <v>-0.94562666666666673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208.97</v>
      </c>
      <c r="E56" s="1"/>
      <c r="F56" s="5">
        <f t="shared" si="28"/>
        <v>0</v>
      </c>
      <c r="G56" s="1"/>
      <c r="H56" s="1">
        <f>SUM(OSRRefH22_8x_0)</f>
        <v>291</v>
      </c>
      <c r="I56" s="1"/>
      <c r="J56" s="5">
        <f t="shared" si="29"/>
        <v>0</v>
      </c>
      <c r="K56" s="1"/>
      <c r="L56" s="1">
        <f t="shared" si="30"/>
        <v>-82.03</v>
      </c>
      <c r="M56" s="1"/>
      <c r="N56" s="5">
        <f t="shared" si="31"/>
        <v>-0.28189003436426119</v>
      </c>
      <c r="O56" s="14"/>
      <c r="P56" s="1">
        <f>SUM(OSRRefP22_8x_0)</f>
        <v>626.91</v>
      </c>
      <c r="Q56" s="1"/>
      <c r="R56" s="5">
        <f t="shared" si="32"/>
        <v>0</v>
      </c>
      <c r="S56" s="1"/>
      <c r="T56" s="1">
        <f>SUM(OSRRefT22_8x_0)</f>
        <v>791</v>
      </c>
      <c r="U56" s="1"/>
      <c r="V56" s="5">
        <f t="shared" si="33"/>
        <v>0</v>
      </c>
      <c r="W56" s="1"/>
      <c r="X56" s="1">
        <f t="shared" si="34"/>
        <v>-164.09000000000003</v>
      </c>
      <c r="Y56" s="1"/>
      <c r="Z56" s="5">
        <f t="shared" si="35"/>
        <v>-0.20744627054361572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6">
        <v>208.97</v>
      </c>
      <c r="E57" s="2"/>
      <c r="F57" s="7">
        <f t="shared" si="28"/>
        <v>0</v>
      </c>
      <c r="G57" s="2"/>
      <c r="H57" s="6">
        <v>291</v>
      </c>
      <c r="I57" s="2"/>
      <c r="J57" s="7">
        <f t="shared" si="29"/>
        <v>0</v>
      </c>
      <c r="K57" s="2"/>
      <c r="L57" s="6">
        <f t="shared" si="30"/>
        <v>-82.03</v>
      </c>
      <c r="M57" s="2"/>
      <c r="N57" s="7">
        <f t="shared" si="31"/>
        <v>-0.28189003436426119</v>
      </c>
      <c r="O57" s="11"/>
      <c r="P57" s="6">
        <v>626.91</v>
      </c>
      <c r="Q57" s="2"/>
      <c r="R57" s="7">
        <f t="shared" si="32"/>
        <v>0</v>
      </c>
      <c r="S57" s="2"/>
      <c r="T57" s="6">
        <v>791</v>
      </c>
      <c r="U57" s="2"/>
      <c r="V57" s="7">
        <f t="shared" si="33"/>
        <v>0</v>
      </c>
      <c r="W57" s="2"/>
      <c r="X57" s="6">
        <f t="shared" si="34"/>
        <v>-164.09000000000003</v>
      </c>
      <c r="Y57" s="2"/>
      <c r="Z57" s="7">
        <f t="shared" si="35"/>
        <v>-0.20744627054361572</v>
      </c>
    </row>
    <row r="58" spans="1:26" s="28" customFormat="1" outlineLevel="1" collapsed="1" x14ac:dyDescent="0.2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SUM(OSRRefD22_9x_0)</f>
        <v>140.93</v>
      </c>
      <c r="E58" s="1"/>
      <c r="F58" s="5">
        <f t="shared" si="28"/>
        <v>0</v>
      </c>
      <c r="G58" s="1"/>
      <c r="H58" s="1">
        <f>SUM(OSRRefH22_9x_0)</f>
        <v>198</v>
      </c>
      <c r="I58" s="1"/>
      <c r="J58" s="5">
        <f t="shared" si="29"/>
        <v>0</v>
      </c>
      <c r="K58" s="1"/>
      <c r="L58" s="1">
        <f t="shared" si="30"/>
        <v>-57.069999999999993</v>
      </c>
      <c r="M58" s="1"/>
      <c r="N58" s="5">
        <f t="shared" si="31"/>
        <v>-0.28823232323232317</v>
      </c>
      <c r="O58" s="14"/>
      <c r="P58" s="1">
        <f>SUM(OSRRefP22_9x_0)</f>
        <v>398.94</v>
      </c>
      <c r="Q58" s="1"/>
      <c r="R58" s="5">
        <f t="shared" si="32"/>
        <v>0</v>
      </c>
      <c r="S58" s="1"/>
      <c r="T58" s="1">
        <f>SUM(OSRRefT22_9x_0)</f>
        <v>594</v>
      </c>
      <c r="U58" s="1"/>
      <c r="V58" s="5">
        <f t="shared" si="33"/>
        <v>0</v>
      </c>
      <c r="W58" s="1"/>
      <c r="X58" s="1">
        <f t="shared" si="34"/>
        <v>-195.06</v>
      </c>
      <c r="Y58" s="1"/>
      <c r="Z58" s="5">
        <f t="shared" si="35"/>
        <v>-0.32838383838383839</v>
      </c>
    </row>
    <row r="59" spans="1:26" s="24" customFormat="1" hidden="1" outlineLevel="2" x14ac:dyDescent="0.25">
      <c r="A59" s="29"/>
      <c r="B59" s="11" t="str">
        <f>CONCATENATE("          ", "6305", " - ", "FREIGHT OUT")</f>
        <v xml:space="preserve">          6305 - FREIGHT OUT</v>
      </c>
      <c r="C59" s="11"/>
      <c r="D59" s="6"/>
      <c r="E59" s="2"/>
      <c r="F59" s="7">
        <f t="shared" si="28"/>
        <v>0</v>
      </c>
      <c r="G59" s="2"/>
      <c r="H59" s="6"/>
      <c r="I59" s="2"/>
      <c r="J59" s="7">
        <f t="shared" si="29"/>
        <v>0</v>
      </c>
      <c r="K59" s="2"/>
      <c r="L59" s="6">
        <f t="shared" si="30"/>
        <v>0</v>
      </c>
      <c r="M59" s="2"/>
      <c r="N59" s="7">
        <f t="shared" si="31"/>
        <v>0</v>
      </c>
      <c r="O59" s="11"/>
      <c r="P59" s="6">
        <v>5.41</v>
      </c>
      <c r="Q59" s="2"/>
      <c r="R59" s="7">
        <f t="shared" si="32"/>
        <v>0</v>
      </c>
      <c r="S59" s="2"/>
      <c r="T59" s="6"/>
      <c r="U59" s="2"/>
      <c r="V59" s="7">
        <f t="shared" si="33"/>
        <v>0</v>
      </c>
      <c r="W59" s="2"/>
      <c r="X59" s="6">
        <f t="shared" si="34"/>
        <v>5.41</v>
      </c>
      <c r="Y59" s="2"/>
      <c r="Z59" s="7">
        <f t="shared" si="35"/>
        <v>0</v>
      </c>
    </row>
    <row r="60" spans="1:26" s="24" customFormat="1" hidden="1" outlineLevel="2" x14ac:dyDescent="0.25">
      <c r="A60" s="29"/>
      <c r="B60" s="11" t="str">
        <f>CONCATENATE("          ", "6307", " - ", "POSTAGE")</f>
        <v xml:space="preserve">          6307 - POSTAGE</v>
      </c>
      <c r="C60" s="11"/>
      <c r="D60" s="6">
        <v>140.93</v>
      </c>
      <c r="E60" s="2"/>
      <c r="F60" s="7">
        <f t="shared" si="28"/>
        <v>0</v>
      </c>
      <c r="G60" s="2"/>
      <c r="H60" s="6">
        <v>198</v>
      </c>
      <c r="I60" s="2"/>
      <c r="J60" s="7">
        <f t="shared" si="29"/>
        <v>0</v>
      </c>
      <c r="K60" s="2"/>
      <c r="L60" s="6">
        <f t="shared" si="30"/>
        <v>-57.069999999999993</v>
      </c>
      <c r="M60" s="2"/>
      <c r="N60" s="7">
        <f t="shared" si="31"/>
        <v>-0.28823232323232317</v>
      </c>
      <c r="O60" s="11"/>
      <c r="P60" s="6">
        <v>393.53</v>
      </c>
      <c r="Q60" s="2"/>
      <c r="R60" s="7">
        <f t="shared" si="32"/>
        <v>0</v>
      </c>
      <c r="S60" s="2"/>
      <c r="T60" s="6">
        <v>594</v>
      </c>
      <c r="U60" s="2"/>
      <c r="V60" s="7">
        <f t="shared" si="33"/>
        <v>0</v>
      </c>
      <c r="W60" s="2"/>
      <c r="X60" s="6">
        <f t="shared" si="34"/>
        <v>-200.47000000000003</v>
      </c>
      <c r="Y60" s="2"/>
      <c r="Z60" s="7">
        <f t="shared" si="35"/>
        <v>-0.33749158249158256</v>
      </c>
    </row>
    <row r="61" spans="1:26" s="28" customFormat="1" outlineLevel="1" collapsed="1" x14ac:dyDescent="0.25">
      <c r="A61" s="27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SUM(OSRRefD22_10x_0)</f>
        <v>850.54</v>
      </c>
      <c r="E61" s="1"/>
      <c r="F61" s="5">
        <f t="shared" ref="F61:F65" si="36">IF(D$12=0,0,D61/D$12)</f>
        <v>0</v>
      </c>
      <c r="G61" s="1"/>
      <c r="H61" s="1">
        <f>SUM(OSRRefH22_10x_0)</f>
        <v>683</v>
      </c>
      <c r="I61" s="1"/>
      <c r="J61" s="5">
        <f t="shared" ref="J61:J65" si="37">IF(H$12=0,0,H61/H$12)</f>
        <v>0</v>
      </c>
      <c r="K61" s="1"/>
      <c r="L61" s="1">
        <f t="shared" ref="L61:L65" si="38">+D61-H61</f>
        <v>167.53999999999996</v>
      </c>
      <c r="M61" s="1"/>
      <c r="N61" s="5">
        <f t="shared" ref="N61:N65" si="39">IF(H61=0,0,L61/H61)</f>
        <v>0.24530014641288428</v>
      </c>
      <c r="O61" s="14"/>
      <c r="P61" s="1">
        <f>SUM(OSRRefP22_10x_0)</f>
        <v>166.54</v>
      </c>
      <c r="Q61" s="1"/>
      <c r="R61" s="5">
        <f t="shared" ref="R61:R65" si="40">IF(P$12=0,0,P61/P$12)</f>
        <v>0</v>
      </c>
      <c r="S61" s="1"/>
      <c r="T61" s="1">
        <f>SUM(OSRRefT22_10x_0)</f>
        <v>1849</v>
      </c>
      <c r="U61" s="1"/>
      <c r="V61" s="5">
        <f t="shared" ref="V61:V65" si="41">IF(T$12=0,0,T61/T$12)</f>
        <v>0</v>
      </c>
      <c r="W61" s="1"/>
      <c r="X61" s="1">
        <f t="shared" ref="X61:X65" si="42">+P61-T61</f>
        <v>-1682.46</v>
      </c>
      <c r="Y61" s="1"/>
      <c r="Z61" s="5">
        <f t="shared" ref="Z61:Z65" si="43">IF(T61=0,0,X61/T61)</f>
        <v>-0.90992969172525695</v>
      </c>
    </row>
    <row r="62" spans="1:26" s="24" customFormat="1" hidden="1" outlineLevel="2" x14ac:dyDescent="0.25">
      <c r="A62" s="29"/>
      <c r="B62" s="11" t="str">
        <f>CONCATENATE("          ", "6279", " - ", "GENERAL EXPENSE")</f>
        <v xml:space="preserve">          6279 - GENERAL EXPENSE</v>
      </c>
      <c r="C62" s="11"/>
      <c r="D62" s="6">
        <v>850.54</v>
      </c>
      <c r="E62" s="2"/>
      <c r="F62" s="7">
        <f t="shared" si="36"/>
        <v>0</v>
      </c>
      <c r="G62" s="2"/>
      <c r="H62" s="6">
        <v>683</v>
      </c>
      <c r="I62" s="2"/>
      <c r="J62" s="7">
        <f t="shared" si="37"/>
        <v>0</v>
      </c>
      <c r="K62" s="2"/>
      <c r="L62" s="6">
        <f t="shared" si="38"/>
        <v>167.53999999999996</v>
      </c>
      <c r="M62" s="2"/>
      <c r="N62" s="7">
        <f t="shared" si="39"/>
        <v>0.24530014641288428</v>
      </c>
      <c r="O62" s="11"/>
      <c r="P62" s="6">
        <v>166.54</v>
      </c>
      <c r="Q62" s="2"/>
      <c r="R62" s="7">
        <f t="shared" si="40"/>
        <v>0</v>
      </c>
      <c r="S62" s="2"/>
      <c r="T62" s="6">
        <v>1849</v>
      </c>
      <c r="U62" s="2"/>
      <c r="V62" s="7">
        <f t="shared" si="41"/>
        <v>0</v>
      </c>
      <c r="W62" s="2"/>
      <c r="X62" s="6">
        <f t="shared" si="42"/>
        <v>-1682.46</v>
      </c>
      <c r="Y62" s="2"/>
      <c r="Z62" s="7">
        <f t="shared" si="43"/>
        <v>-0.90992969172525695</v>
      </c>
    </row>
    <row r="63" spans="1:26" s="28" customFormat="1" outlineLevel="1" collapsed="1" x14ac:dyDescent="0.25">
      <c r="A63" s="27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SUM(OSRRefD22_11x_0)</f>
        <v>393.67</v>
      </c>
      <c r="E63" s="1"/>
      <c r="F63" s="5">
        <f t="shared" si="36"/>
        <v>0</v>
      </c>
      <c r="G63" s="1"/>
      <c r="H63" s="1">
        <f>SUM(OSRRefH22_11x_0)</f>
        <v>432</v>
      </c>
      <c r="I63" s="1"/>
      <c r="J63" s="5">
        <f t="shared" si="37"/>
        <v>0</v>
      </c>
      <c r="K63" s="1"/>
      <c r="L63" s="1">
        <f t="shared" si="38"/>
        <v>-38.329999999999984</v>
      </c>
      <c r="M63" s="1"/>
      <c r="N63" s="5">
        <f t="shared" si="39"/>
        <v>-8.8726851851851821E-2</v>
      </c>
      <c r="O63" s="14"/>
      <c r="P63" s="1">
        <f>SUM(OSRRefP22_11x_0)</f>
        <v>1181.01</v>
      </c>
      <c r="Q63" s="1"/>
      <c r="R63" s="5">
        <f t="shared" si="40"/>
        <v>0</v>
      </c>
      <c r="S63" s="1"/>
      <c r="T63" s="1">
        <f>SUM(OSRRefT22_11x_0)</f>
        <v>2615</v>
      </c>
      <c r="U63" s="1"/>
      <c r="V63" s="5">
        <f t="shared" si="41"/>
        <v>0</v>
      </c>
      <c r="W63" s="1"/>
      <c r="X63" s="1">
        <f t="shared" si="42"/>
        <v>-1433.99</v>
      </c>
      <c r="Y63" s="1"/>
      <c r="Z63" s="5">
        <f t="shared" si="43"/>
        <v>-0.54837093690248562</v>
      </c>
    </row>
    <row r="64" spans="1:26" s="24" customFormat="1" hidden="1" outlineLevel="2" x14ac:dyDescent="0.25">
      <c r="A64" s="29"/>
      <c r="B64" s="11" t="str">
        <f>CONCATENATE("          ", "6312", " - ", "FIRE &amp; THEFT INSURANCE")</f>
        <v xml:space="preserve">          6312 - FIRE &amp; THEFT INSURANCE</v>
      </c>
      <c r="C64" s="11"/>
      <c r="D64" s="6"/>
      <c r="E64" s="2"/>
      <c r="F64" s="7">
        <f t="shared" si="36"/>
        <v>0</v>
      </c>
      <c r="G64" s="2"/>
      <c r="H64" s="6"/>
      <c r="I64" s="2"/>
      <c r="J64" s="7">
        <f t="shared" si="37"/>
        <v>0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/>
      <c r="Q64" s="2"/>
      <c r="R64" s="7">
        <f t="shared" si="40"/>
        <v>0</v>
      </c>
      <c r="S64" s="2"/>
      <c r="T64" s="6">
        <v>780</v>
      </c>
      <c r="U64" s="2"/>
      <c r="V64" s="7">
        <f t="shared" si="41"/>
        <v>0</v>
      </c>
      <c r="W64" s="2"/>
      <c r="X64" s="6">
        <f t="shared" si="42"/>
        <v>-780</v>
      </c>
      <c r="Y64" s="2"/>
      <c r="Z64" s="7">
        <f t="shared" si="43"/>
        <v>-1</v>
      </c>
    </row>
    <row r="65" spans="1:26" s="24" customFormat="1" hidden="1" outlineLevel="2" x14ac:dyDescent="0.25">
      <c r="A65" s="29"/>
      <c r="B65" s="11" t="str">
        <f>CONCATENATE("          ", "6314", " - ", "LIABILITY INSURANCE")</f>
        <v xml:space="preserve">          6314 - LIABILITY INSURANCE</v>
      </c>
      <c r="C65" s="11"/>
      <c r="D65" s="6">
        <v>393.67</v>
      </c>
      <c r="E65" s="2"/>
      <c r="F65" s="7">
        <f t="shared" si="36"/>
        <v>0</v>
      </c>
      <c r="G65" s="2"/>
      <c r="H65" s="6">
        <v>432</v>
      </c>
      <c r="I65" s="2"/>
      <c r="J65" s="7">
        <f t="shared" si="37"/>
        <v>0</v>
      </c>
      <c r="K65" s="2"/>
      <c r="L65" s="6">
        <f t="shared" si="38"/>
        <v>-38.329999999999984</v>
      </c>
      <c r="M65" s="2"/>
      <c r="N65" s="7">
        <f t="shared" si="39"/>
        <v>-8.8726851851851821E-2</v>
      </c>
      <c r="O65" s="11"/>
      <c r="P65" s="6">
        <v>1181.01</v>
      </c>
      <c r="Q65" s="2"/>
      <c r="R65" s="7">
        <f t="shared" si="40"/>
        <v>0</v>
      </c>
      <c r="S65" s="2"/>
      <c r="T65" s="6">
        <v>1835</v>
      </c>
      <c r="U65" s="2"/>
      <c r="V65" s="7">
        <f t="shared" si="41"/>
        <v>0</v>
      </c>
      <c r="W65" s="2"/>
      <c r="X65" s="6">
        <f t="shared" si="42"/>
        <v>-653.99</v>
      </c>
      <c r="Y65" s="2"/>
      <c r="Z65" s="7">
        <f t="shared" si="43"/>
        <v>-0.35639782016348776</v>
      </c>
    </row>
    <row r="66" spans="1:26" s="28" customFormat="1" outlineLevel="1" collapsed="1" x14ac:dyDescent="0.25">
      <c r="A66" s="27"/>
      <c r="B66" s="14" t="str">
        <f>CONCATENATE("     ","Professional Services                             ")</f>
        <v xml:space="preserve">     Professional Services                             </v>
      </c>
      <c r="C66" s="14"/>
      <c r="D66" s="1">
        <f>SUM(OSRRefD22_12x_0)</f>
        <v>9079.17</v>
      </c>
      <c r="E66" s="1"/>
      <c r="F66" s="5">
        <f t="shared" ref="F66:F70" si="44">IF(D$12=0,0,D66/D$12)</f>
        <v>0</v>
      </c>
      <c r="G66" s="1"/>
      <c r="H66" s="1">
        <f>SUM(OSRRefH22_12x_0)</f>
        <v>15833</v>
      </c>
      <c r="I66" s="1"/>
      <c r="J66" s="5">
        <f t="shared" ref="J66:J70" si="45">IF(H$12=0,0,H66/H$12)</f>
        <v>0</v>
      </c>
      <c r="K66" s="1"/>
      <c r="L66" s="1">
        <f t="shared" ref="L66:L70" si="46">+D66-H66</f>
        <v>-6753.83</v>
      </c>
      <c r="M66" s="1"/>
      <c r="N66" s="5">
        <f t="shared" ref="N66:N70" si="47">IF(H66=0,0,L66/H66)</f>
        <v>-0.42656666456135917</v>
      </c>
      <c r="O66" s="14"/>
      <c r="P66" s="1">
        <f>SUM(OSRRefP22_12x_0)</f>
        <v>23817.010000000002</v>
      </c>
      <c r="Q66" s="1"/>
      <c r="R66" s="5">
        <f t="shared" ref="R66:R70" si="48">IF(P$12=0,0,P66/P$12)</f>
        <v>0</v>
      </c>
      <c r="S66" s="1"/>
      <c r="T66" s="1">
        <f>SUM(OSRRefT22_12x_0)</f>
        <v>33999</v>
      </c>
      <c r="U66" s="1"/>
      <c r="V66" s="5">
        <f t="shared" ref="V66:V70" si="49">IF(T$12=0,0,T66/T$12)</f>
        <v>0</v>
      </c>
      <c r="W66" s="1"/>
      <c r="X66" s="1">
        <f t="shared" ref="X66:X70" si="50">+P66-T66</f>
        <v>-10181.989999999998</v>
      </c>
      <c r="Y66" s="1"/>
      <c r="Z66" s="5">
        <f t="shared" ref="Z66:Z70" si="51">IF(T66=0,0,X66/T66)</f>
        <v>-0.29947910232653896</v>
      </c>
    </row>
    <row r="67" spans="1:26" s="24" customFormat="1" hidden="1" outlineLevel="2" x14ac:dyDescent="0.25">
      <c r="A67" s="29"/>
      <c r="B67" s="11" t="str">
        <f>CONCATENATE("          ", "6331", " - ", "INDIRECT COSTS-AUXILIARY ORGAN")</f>
        <v xml:space="preserve">          6331 - INDIRECT COSTS-AUXILIARY ORGAN</v>
      </c>
      <c r="C67" s="11"/>
      <c r="D67" s="6">
        <v>8500</v>
      </c>
      <c r="E67" s="2"/>
      <c r="F67" s="7">
        <f t="shared" si="44"/>
        <v>0</v>
      </c>
      <c r="G67" s="2"/>
      <c r="H67" s="6">
        <v>12000</v>
      </c>
      <c r="I67" s="2"/>
      <c r="J67" s="7">
        <f t="shared" si="45"/>
        <v>0</v>
      </c>
      <c r="K67" s="2"/>
      <c r="L67" s="6">
        <f t="shared" si="46"/>
        <v>-3500</v>
      </c>
      <c r="M67" s="2"/>
      <c r="N67" s="7">
        <f t="shared" si="47"/>
        <v>-0.29166666666666669</v>
      </c>
      <c r="O67" s="11"/>
      <c r="P67" s="6">
        <v>20085.75</v>
      </c>
      <c r="Q67" s="2"/>
      <c r="R67" s="7">
        <f t="shared" si="48"/>
        <v>0</v>
      </c>
      <c r="S67" s="2"/>
      <c r="T67" s="6">
        <v>25500</v>
      </c>
      <c r="U67" s="2"/>
      <c r="V67" s="7">
        <f t="shared" si="49"/>
        <v>0</v>
      </c>
      <c r="W67" s="2"/>
      <c r="X67" s="6">
        <f t="shared" si="50"/>
        <v>-5414.25</v>
      </c>
      <c r="Y67" s="2"/>
      <c r="Z67" s="7">
        <f t="shared" si="51"/>
        <v>-0.21232352941176472</v>
      </c>
    </row>
    <row r="68" spans="1:26" s="24" customFormat="1" hidden="1" outlineLevel="2" x14ac:dyDescent="0.25">
      <c r="A68" s="29"/>
      <c r="B68" s="11" t="str">
        <f>CONCATENATE("          ", "6332", " - ", "CONSULTANT FEES")</f>
        <v xml:space="preserve">          6332 - CONSULTANT FEES</v>
      </c>
      <c r="C68" s="11"/>
      <c r="D68" s="6"/>
      <c r="E68" s="2"/>
      <c r="F68" s="7">
        <f t="shared" si="44"/>
        <v>0</v>
      </c>
      <c r="G68" s="2"/>
      <c r="H68" s="6">
        <v>250</v>
      </c>
      <c r="I68" s="2"/>
      <c r="J68" s="7">
        <f t="shared" si="45"/>
        <v>0</v>
      </c>
      <c r="K68" s="2"/>
      <c r="L68" s="6">
        <f t="shared" si="46"/>
        <v>-250</v>
      </c>
      <c r="M68" s="2"/>
      <c r="N68" s="7">
        <f t="shared" si="47"/>
        <v>-1</v>
      </c>
      <c r="O68" s="11"/>
      <c r="P68" s="6"/>
      <c r="Q68" s="2"/>
      <c r="R68" s="7">
        <f t="shared" si="48"/>
        <v>0</v>
      </c>
      <c r="S68" s="2"/>
      <c r="T68" s="6">
        <v>750</v>
      </c>
      <c r="U68" s="2"/>
      <c r="V68" s="7">
        <f t="shared" si="49"/>
        <v>0</v>
      </c>
      <c r="W68" s="2"/>
      <c r="X68" s="6">
        <f t="shared" si="50"/>
        <v>-750</v>
      </c>
      <c r="Y68" s="2"/>
      <c r="Z68" s="7">
        <f t="shared" si="51"/>
        <v>-1</v>
      </c>
    </row>
    <row r="69" spans="1:26" s="24" customFormat="1" hidden="1" outlineLevel="2" x14ac:dyDescent="0.25">
      <c r="A69" s="29"/>
      <c r="B69" s="11" t="str">
        <f>CONCATENATE("          ", "6334", " - ", "LEGAL COUNCIL EXPENSE")</f>
        <v xml:space="preserve">          6334 - LEGAL COUNCIL EXPENSE</v>
      </c>
      <c r="C69" s="11"/>
      <c r="D69" s="6"/>
      <c r="E69" s="2"/>
      <c r="F69" s="7">
        <f t="shared" si="44"/>
        <v>0</v>
      </c>
      <c r="G69" s="2"/>
      <c r="H69" s="6">
        <v>2333</v>
      </c>
      <c r="I69" s="2"/>
      <c r="J69" s="7">
        <f t="shared" si="45"/>
        <v>0</v>
      </c>
      <c r="K69" s="2"/>
      <c r="L69" s="6">
        <f t="shared" si="46"/>
        <v>-2333</v>
      </c>
      <c r="M69" s="2"/>
      <c r="N69" s="7">
        <f t="shared" si="47"/>
        <v>-1</v>
      </c>
      <c r="O69" s="11"/>
      <c r="P69" s="6">
        <v>1150</v>
      </c>
      <c r="Q69" s="2"/>
      <c r="R69" s="7">
        <f t="shared" si="48"/>
        <v>0</v>
      </c>
      <c r="S69" s="2"/>
      <c r="T69" s="6">
        <v>3999</v>
      </c>
      <c r="U69" s="2"/>
      <c r="V69" s="7">
        <f t="shared" si="49"/>
        <v>0</v>
      </c>
      <c r="W69" s="2"/>
      <c r="X69" s="6">
        <f t="shared" si="50"/>
        <v>-2849</v>
      </c>
      <c r="Y69" s="2"/>
      <c r="Z69" s="7">
        <f t="shared" si="51"/>
        <v>-0.71242810702675674</v>
      </c>
    </row>
    <row r="70" spans="1:26" s="24" customFormat="1" hidden="1" outlineLevel="2" x14ac:dyDescent="0.25">
      <c r="A70" s="29"/>
      <c r="B70" s="11" t="str">
        <f>CONCATENATE("          ", "6336", " - ", "PROFESSIONAL SERVICES")</f>
        <v xml:space="preserve">          6336 - PROFESSIONAL SERVICES</v>
      </c>
      <c r="C70" s="11"/>
      <c r="D70" s="6">
        <v>579.16999999999996</v>
      </c>
      <c r="E70" s="2"/>
      <c r="F70" s="7">
        <f t="shared" si="44"/>
        <v>0</v>
      </c>
      <c r="G70" s="2"/>
      <c r="H70" s="6">
        <v>1250</v>
      </c>
      <c r="I70" s="2"/>
      <c r="J70" s="7">
        <f t="shared" si="45"/>
        <v>0</v>
      </c>
      <c r="K70" s="2"/>
      <c r="L70" s="6">
        <f t="shared" si="46"/>
        <v>-670.83</v>
      </c>
      <c r="M70" s="2"/>
      <c r="N70" s="7">
        <f t="shared" si="47"/>
        <v>-0.53666400000000003</v>
      </c>
      <c r="O70" s="11"/>
      <c r="P70" s="6">
        <v>2581.2600000000002</v>
      </c>
      <c r="Q70" s="2"/>
      <c r="R70" s="7">
        <f t="shared" si="48"/>
        <v>0</v>
      </c>
      <c r="S70" s="2"/>
      <c r="T70" s="6">
        <v>3750</v>
      </c>
      <c r="U70" s="2"/>
      <c r="V70" s="7">
        <f t="shared" si="49"/>
        <v>0</v>
      </c>
      <c r="W70" s="2"/>
      <c r="X70" s="6">
        <f t="shared" si="50"/>
        <v>-1168.7399999999998</v>
      </c>
      <c r="Y70" s="2"/>
      <c r="Z70" s="7">
        <f t="shared" si="51"/>
        <v>-0.31166399999999994</v>
      </c>
    </row>
    <row r="71" spans="1:26" s="28" customFormat="1" outlineLevel="1" collapsed="1" x14ac:dyDescent="0.25">
      <c r="A71" s="27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SUM(OSRRefD22_13x_0)</f>
        <v>16226.789999999999</v>
      </c>
      <c r="E71" s="1"/>
      <c r="F71" s="5">
        <f t="shared" ref="F71:F75" si="52">IF(D$12=0,0,D71/D$12)</f>
        <v>0</v>
      </c>
      <c r="G71" s="1"/>
      <c r="H71" s="1">
        <f>SUM(OSRRefH22_13x_0)</f>
        <v>26402</v>
      </c>
      <c r="I71" s="1"/>
      <c r="J71" s="5">
        <f t="shared" ref="J71:J75" si="53">IF(H$12=0,0,H71/H$12)</f>
        <v>0</v>
      </c>
      <c r="K71" s="1"/>
      <c r="L71" s="1">
        <f t="shared" ref="L71:L75" si="54">+D71-H71</f>
        <v>-10175.210000000001</v>
      </c>
      <c r="M71" s="1"/>
      <c r="N71" s="5">
        <f t="shared" ref="N71:N75" si="55">IF(H71=0,0,L71/H71)</f>
        <v>-0.3853954245890463</v>
      </c>
      <c r="O71" s="14"/>
      <c r="P71" s="1">
        <f>SUM(OSRRefP22_13x_0)</f>
        <v>56402.46</v>
      </c>
      <c r="Q71" s="1"/>
      <c r="R71" s="5">
        <f t="shared" ref="R71:R75" si="56">IF(P$12=0,0,P71/P$12)</f>
        <v>0</v>
      </c>
      <c r="S71" s="1"/>
      <c r="T71" s="1">
        <f>SUM(OSRRefT22_13x_0)</f>
        <v>66756</v>
      </c>
      <c r="U71" s="1"/>
      <c r="V71" s="5">
        <f t="shared" ref="V71:V75" si="57">IF(T$12=0,0,T71/T$12)</f>
        <v>0</v>
      </c>
      <c r="W71" s="1"/>
      <c r="X71" s="1">
        <f t="shared" ref="X71:X75" si="58">+P71-T71</f>
        <v>-10353.540000000001</v>
      </c>
      <c r="Y71" s="1"/>
      <c r="Z71" s="5">
        <f t="shared" ref="Z71:Z75" si="59">IF(T71=0,0,X71/T71)</f>
        <v>-0.155095272335071</v>
      </c>
    </row>
    <row r="72" spans="1:26" s="24" customFormat="1" hidden="1" outlineLevel="2" x14ac:dyDescent="0.25">
      <c r="A72" s="29"/>
      <c r="B72" s="11" t="str">
        <f>CONCATENATE("          ", "6371", " - ", "COMPUTER SOFTWARE MAINTENANCE")</f>
        <v xml:space="preserve">          6371 - COMPUTER SOFTWARE MAINTENANCE</v>
      </c>
      <c r="C72" s="11"/>
      <c r="D72" s="6">
        <v>3663.15</v>
      </c>
      <c r="E72" s="2"/>
      <c r="F72" s="7">
        <f t="shared" si="52"/>
        <v>0</v>
      </c>
      <c r="G72" s="2"/>
      <c r="H72" s="6">
        <v>8470</v>
      </c>
      <c r="I72" s="2"/>
      <c r="J72" s="7">
        <f t="shared" si="53"/>
        <v>0</v>
      </c>
      <c r="K72" s="2"/>
      <c r="L72" s="6">
        <f t="shared" si="54"/>
        <v>-4806.8500000000004</v>
      </c>
      <c r="M72" s="2"/>
      <c r="N72" s="7">
        <f t="shared" si="55"/>
        <v>-0.56751475796930351</v>
      </c>
      <c r="O72" s="11"/>
      <c r="P72" s="6">
        <v>12141.01</v>
      </c>
      <c r="Q72" s="2"/>
      <c r="R72" s="7">
        <f t="shared" si="56"/>
        <v>0</v>
      </c>
      <c r="S72" s="2"/>
      <c r="T72" s="6">
        <v>25410</v>
      </c>
      <c r="U72" s="2"/>
      <c r="V72" s="7">
        <f t="shared" si="57"/>
        <v>0</v>
      </c>
      <c r="W72" s="2"/>
      <c r="X72" s="6">
        <f t="shared" si="58"/>
        <v>-13268.99</v>
      </c>
      <c r="Y72" s="2"/>
      <c r="Z72" s="7">
        <f t="shared" si="59"/>
        <v>-0.52219559228650136</v>
      </c>
    </row>
    <row r="73" spans="1:26" s="24" customFormat="1" hidden="1" outlineLevel="2" x14ac:dyDescent="0.25">
      <c r="A73" s="29"/>
      <c r="B73" s="11" t="str">
        <f>CONCATENATE("          ", "6372", " - ", "COMPUTER HARDWARE MAINTENANCE")</f>
        <v xml:space="preserve">          6372 - COMPUTER HARDWARE MAINTENANCE</v>
      </c>
      <c r="C73" s="11"/>
      <c r="D73" s="6"/>
      <c r="E73" s="2"/>
      <c r="F73" s="7">
        <f t="shared" si="52"/>
        <v>0</v>
      </c>
      <c r="G73" s="2"/>
      <c r="H73" s="6">
        <v>1600</v>
      </c>
      <c r="I73" s="2"/>
      <c r="J73" s="7">
        <f t="shared" si="53"/>
        <v>0</v>
      </c>
      <c r="K73" s="2"/>
      <c r="L73" s="6">
        <f t="shared" si="54"/>
        <v>-1600</v>
      </c>
      <c r="M73" s="2"/>
      <c r="N73" s="7">
        <f t="shared" si="55"/>
        <v>-1</v>
      </c>
      <c r="O73" s="11"/>
      <c r="P73" s="6"/>
      <c r="Q73" s="2"/>
      <c r="R73" s="7">
        <f t="shared" si="56"/>
        <v>0</v>
      </c>
      <c r="S73" s="2"/>
      <c r="T73" s="6">
        <v>4800</v>
      </c>
      <c r="U73" s="2"/>
      <c r="V73" s="7">
        <f t="shared" si="57"/>
        <v>0</v>
      </c>
      <c r="W73" s="2"/>
      <c r="X73" s="6">
        <f t="shared" si="58"/>
        <v>-4800</v>
      </c>
      <c r="Y73" s="2"/>
      <c r="Z73" s="7">
        <f t="shared" si="59"/>
        <v>-1</v>
      </c>
    </row>
    <row r="74" spans="1:26" s="24" customFormat="1" hidden="1" outlineLevel="2" x14ac:dyDescent="0.25">
      <c r="A74" s="29"/>
      <c r="B74" s="11" t="str">
        <f>CONCATENATE("          ", "6373", " - ", "MAINTENANCE CONTRACTS")</f>
        <v xml:space="preserve">          6373 - MAINTENANCE CONTRACTS</v>
      </c>
      <c r="C74" s="11"/>
      <c r="D74" s="6">
        <v>12563.64</v>
      </c>
      <c r="E74" s="2"/>
      <c r="F74" s="7">
        <f t="shared" si="52"/>
        <v>0</v>
      </c>
      <c r="G74" s="2"/>
      <c r="H74" s="6">
        <v>16332</v>
      </c>
      <c r="I74" s="2"/>
      <c r="J74" s="7">
        <f t="shared" si="53"/>
        <v>0</v>
      </c>
      <c r="K74" s="2"/>
      <c r="L74" s="6">
        <f t="shared" si="54"/>
        <v>-3768.3600000000006</v>
      </c>
      <c r="M74" s="2"/>
      <c r="N74" s="7">
        <f t="shared" si="55"/>
        <v>-0.23073475385745779</v>
      </c>
      <c r="O74" s="11"/>
      <c r="P74" s="6">
        <v>43442.259999999995</v>
      </c>
      <c r="Q74" s="2"/>
      <c r="R74" s="7">
        <f t="shared" si="56"/>
        <v>0</v>
      </c>
      <c r="S74" s="2"/>
      <c r="T74" s="6">
        <v>36546</v>
      </c>
      <c r="U74" s="2"/>
      <c r="V74" s="7">
        <f t="shared" si="57"/>
        <v>0</v>
      </c>
      <c r="W74" s="2"/>
      <c r="X74" s="6">
        <f t="shared" si="58"/>
        <v>6896.2599999999948</v>
      </c>
      <c r="Y74" s="2"/>
      <c r="Z74" s="7">
        <f t="shared" si="59"/>
        <v>0.18870081541071512</v>
      </c>
    </row>
    <row r="75" spans="1:26" s="24" customFormat="1" hidden="1" outlineLevel="2" x14ac:dyDescent="0.2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6"/>
      <c r="E75" s="2"/>
      <c r="F75" s="7">
        <f t="shared" si="52"/>
        <v>0</v>
      </c>
      <c r="G75" s="2"/>
      <c r="H75" s="6"/>
      <c r="I75" s="2"/>
      <c r="J75" s="7">
        <f t="shared" si="53"/>
        <v>0</v>
      </c>
      <c r="K75" s="2"/>
      <c r="L75" s="6">
        <f t="shared" si="54"/>
        <v>0</v>
      </c>
      <c r="M75" s="2"/>
      <c r="N75" s="7">
        <f t="shared" si="55"/>
        <v>0</v>
      </c>
      <c r="O75" s="11"/>
      <c r="P75" s="6">
        <v>819.19</v>
      </c>
      <c r="Q75" s="2"/>
      <c r="R75" s="7">
        <f t="shared" si="56"/>
        <v>0</v>
      </c>
      <c r="S75" s="2"/>
      <c r="T75" s="6"/>
      <c r="U75" s="2"/>
      <c r="V75" s="7">
        <f t="shared" si="57"/>
        <v>0</v>
      </c>
      <c r="W75" s="2"/>
      <c r="X75" s="6">
        <f t="shared" si="58"/>
        <v>819.19</v>
      </c>
      <c r="Y75" s="2"/>
      <c r="Z75" s="7">
        <f t="shared" si="59"/>
        <v>0</v>
      </c>
    </row>
    <row r="76" spans="1:26" s="28" customFormat="1" outlineLevel="1" collapsed="1" x14ac:dyDescent="0.25">
      <c r="A76" s="27"/>
      <c r="B76" s="14" t="str">
        <f>CONCATENATE("     ","Services                                          ")</f>
        <v xml:space="preserve">     Services                                          </v>
      </c>
      <c r="C76" s="14"/>
      <c r="D76" s="1">
        <f>SUM(OSRRefD22_14x_0)</f>
        <v>512.48</v>
      </c>
      <c r="E76" s="1"/>
      <c r="F76" s="5">
        <f t="shared" ref="F76:F78" si="60">IF(D$12=0,0,D76/D$12)</f>
        <v>0</v>
      </c>
      <c r="G76" s="1"/>
      <c r="H76" s="1">
        <f>SUM(OSRRefH22_14x_0)</f>
        <v>525</v>
      </c>
      <c r="I76" s="1"/>
      <c r="J76" s="5">
        <f t="shared" ref="J76:J78" si="61">IF(H$12=0,0,H76/H$12)</f>
        <v>0</v>
      </c>
      <c r="K76" s="1"/>
      <c r="L76" s="1">
        <f t="shared" ref="L76:L78" si="62">+D76-H76</f>
        <v>-12.519999999999982</v>
      </c>
      <c r="M76" s="1"/>
      <c r="N76" s="5">
        <f t="shared" ref="N76:N78" si="63">IF(H76=0,0,L76/H76)</f>
        <v>-2.3847619047619013E-2</v>
      </c>
      <c r="O76" s="14"/>
      <c r="P76" s="1">
        <f>SUM(OSRRefP22_14x_0)</f>
        <v>1024.96</v>
      </c>
      <c r="Q76" s="1"/>
      <c r="R76" s="5">
        <f t="shared" ref="R76:R78" si="64">IF(P$12=0,0,P76/P$12)</f>
        <v>0</v>
      </c>
      <c r="S76" s="1"/>
      <c r="T76" s="1">
        <f>SUM(OSRRefT22_14x_0)</f>
        <v>1575</v>
      </c>
      <c r="U76" s="1"/>
      <c r="V76" s="5">
        <f t="shared" ref="V76:V78" si="65">IF(T$12=0,0,T76/T$12)</f>
        <v>0</v>
      </c>
      <c r="W76" s="1"/>
      <c r="X76" s="1">
        <f t="shared" ref="X76:X78" si="66">+P76-T76</f>
        <v>-550.04</v>
      </c>
      <c r="Y76" s="1"/>
      <c r="Z76" s="5">
        <f t="shared" ref="Z76:Z78" si="67">IF(T76=0,0,X76/T76)</f>
        <v>-0.349231746031746</v>
      </c>
    </row>
    <row r="77" spans="1:26" s="24" customFormat="1" hidden="1" outlineLevel="2" x14ac:dyDescent="0.25">
      <c r="A77" s="29"/>
      <c r="B77" s="11" t="str">
        <f>CONCATENATE("          ", "6281", " - ", "STORAGE FEE")</f>
        <v xml:space="preserve">          6281 - STORAGE FEE</v>
      </c>
      <c r="C77" s="11"/>
      <c r="D77" s="6">
        <v>512.48</v>
      </c>
      <c r="E77" s="2"/>
      <c r="F77" s="7">
        <f t="shared" si="60"/>
        <v>0</v>
      </c>
      <c r="G77" s="2"/>
      <c r="H77" s="6">
        <v>500</v>
      </c>
      <c r="I77" s="2"/>
      <c r="J77" s="7">
        <f t="shared" si="61"/>
        <v>0</v>
      </c>
      <c r="K77" s="2"/>
      <c r="L77" s="6">
        <f t="shared" si="62"/>
        <v>12.480000000000018</v>
      </c>
      <c r="M77" s="2"/>
      <c r="N77" s="7">
        <f t="shared" si="63"/>
        <v>2.4960000000000038E-2</v>
      </c>
      <c r="O77" s="11"/>
      <c r="P77" s="6">
        <v>1024.96</v>
      </c>
      <c r="Q77" s="2"/>
      <c r="R77" s="7">
        <f t="shared" si="64"/>
        <v>0</v>
      </c>
      <c r="S77" s="2"/>
      <c r="T77" s="6">
        <v>1500</v>
      </c>
      <c r="U77" s="2"/>
      <c r="V77" s="7">
        <f t="shared" si="65"/>
        <v>0</v>
      </c>
      <c r="W77" s="2"/>
      <c r="X77" s="6">
        <f t="shared" si="66"/>
        <v>-475.03999999999996</v>
      </c>
      <c r="Y77" s="2"/>
      <c r="Z77" s="7">
        <f t="shared" si="67"/>
        <v>-0.31669333333333333</v>
      </c>
    </row>
    <row r="78" spans="1:26" s="24" customFormat="1" hidden="1" outlineLevel="2" x14ac:dyDescent="0.25">
      <c r="A78" s="29"/>
      <c r="B78" s="11" t="str">
        <f>CONCATENATE("          ", "6286", " - ", "LAUNDRY EXPENSE")</f>
        <v xml:space="preserve">          6286 - LAUNDRY EXPENSE</v>
      </c>
      <c r="C78" s="11"/>
      <c r="D78" s="6"/>
      <c r="E78" s="2"/>
      <c r="F78" s="7">
        <f t="shared" si="60"/>
        <v>0</v>
      </c>
      <c r="G78" s="2"/>
      <c r="H78" s="6">
        <v>25</v>
      </c>
      <c r="I78" s="2"/>
      <c r="J78" s="7">
        <f t="shared" si="61"/>
        <v>0</v>
      </c>
      <c r="K78" s="2"/>
      <c r="L78" s="6">
        <f t="shared" si="62"/>
        <v>-25</v>
      </c>
      <c r="M78" s="2"/>
      <c r="N78" s="7">
        <f t="shared" si="63"/>
        <v>-1</v>
      </c>
      <c r="O78" s="11"/>
      <c r="P78" s="6"/>
      <c r="Q78" s="2"/>
      <c r="R78" s="7">
        <f t="shared" si="64"/>
        <v>0</v>
      </c>
      <c r="S78" s="2"/>
      <c r="T78" s="6">
        <v>75</v>
      </c>
      <c r="U78" s="2"/>
      <c r="V78" s="7">
        <f t="shared" si="65"/>
        <v>0</v>
      </c>
      <c r="W78" s="2"/>
      <c r="X78" s="6">
        <f t="shared" si="66"/>
        <v>-75</v>
      </c>
      <c r="Y78" s="2"/>
      <c r="Z78" s="7">
        <f t="shared" si="67"/>
        <v>-1</v>
      </c>
    </row>
    <row r="79" spans="1:26" s="28" customFormat="1" outlineLevel="1" collapsed="1" x14ac:dyDescent="0.25">
      <c r="A79" s="27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SUM(OSRRefD22_15x_0)</f>
        <v>0</v>
      </c>
      <c r="E79" s="1"/>
      <c r="F79" s="5">
        <f t="shared" ref="F79:F81" si="68">IF(D$12=0,0,D79/D$12)</f>
        <v>0</v>
      </c>
      <c r="G79" s="1"/>
      <c r="H79" s="1">
        <f>SUM(OSRRefH22_15x_0)</f>
        <v>155</v>
      </c>
      <c r="I79" s="1"/>
      <c r="J79" s="5">
        <f t="shared" ref="J79:J81" si="69">IF(H$12=0,0,H79/H$12)</f>
        <v>0</v>
      </c>
      <c r="K79" s="1"/>
      <c r="L79" s="1">
        <f t="shared" ref="L79:L81" si="70">+D79-H79</f>
        <v>-155</v>
      </c>
      <c r="M79" s="1"/>
      <c r="N79" s="5">
        <f t="shared" ref="N79:N81" si="71">IF(H79=0,0,L79/H79)</f>
        <v>-1</v>
      </c>
      <c r="O79" s="14"/>
      <c r="P79" s="1">
        <f>SUM(OSRRefP22_15x_0)</f>
        <v>1725</v>
      </c>
      <c r="Q79" s="1"/>
      <c r="R79" s="5">
        <f t="shared" ref="R79:R81" si="72">IF(P$12=0,0,P79/P$12)</f>
        <v>0</v>
      </c>
      <c r="S79" s="1"/>
      <c r="T79" s="1">
        <f>SUM(OSRRefT22_15x_0)</f>
        <v>2915</v>
      </c>
      <c r="U79" s="1"/>
      <c r="V79" s="5">
        <f t="shared" ref="V79:V81" si="73">IF(T$12=0,0,T79/T$12)</f>
        <v>0</v>
      </c>
      <c r="W79" s="1"/>
      <c r="X79" s="1">
        <f t="shared" ref="X79:X81" si="74">+P79-T79</f>
        <v>-1190</v>
      </c>
      <c r="Y79" s="1"/>
      <c r="Z79" s="5">
        <f t="shared" ref="Z79:Z81" si="75">IF(T79=0,0,X79/T79)</f>
        <v>-0.40823327615780447</v>
      </c>
    </row>
    <row r="80" spans="1:26" s="24" customFormat="1" hidden="1" outlineLevel="2" x14ac:dyDescent="0.25">
      <c r="A80" s="29"/>
      <c r="B80" s="11" t="str">
        <f>CONCATENATE("          ", "6258", " - ", "MEMBERSHIP DUES")</f>
        <v xml:space="preserve">          6258 - MEMBERSHIP DUES</v>
      </c>
      <c r="C80" s="11"/>
      <c r="D80" s="6"/>
      <c r="E80" s="2"/>
      <c r="F80" s="7">
        <f t="shared" si="68"/>
        <v>0</v>
      </c>
      <c r="G80" s="2"/>
      <c r="H80" s="6">
        <v>55</v>
      </c>
      <c r="I80" s="2"/>
      <c r="J80" s="7">
        <f t="shared" si="69"/>
        <v>0</v>
      </c>
      <c r="K80" s="2"/>
      <c r="L80" s="6">
        <f t="shared" si="70"/>
        <v>-55</v>
      </c>
      <c r="M80" s="2"/>
      <c r="N80" s="7">
        <f t="shared" si="71"/>
        <v>-1</v>
      </c>
      <c r="O80" s="11"/>
      <c r="P80" s="6">
        <v>1725</v>
      </c>
      <c r="Q80" s="2"/>
      <c r="R80" s="7">
        <f t="shared" si="72"/>
        <v>0</v>
      </c>
      <c r="S80" s="2"/>
      <c r="T80" s="6">
        <v>2615</v>
      </c>
      <c r="U80" s="2"/>
      <c r="V80" s="7">
        <f t="shared" si="73"/>
        <v>0</v>
      </c>
      <c r="W80" s="2"/>
      <c r="X80" s="6">
        <f t="shared" si="74"/>
        <v>-890</v>
      </c>
      <c r="Y80" s="2"/>
      <c r="Z80" s="7">
        <f t="shared" si="75"/>
        <v>-0.34034416826003822</v>
      </c>
    </row>
    <row r="81" spans="1:26" s="24" customFormat="1" hidden="1" outlineLevel="2" x14ac:dyDescent="0.25">
      <c r="A81" s="29"/>
      <c r="B81" s="11" t="str">
        <f>CONCATENATE("          ", "6275", " - ", "SUBSCRIPTIONS")</f>
        <v xml:space="preserve">          6275 - SUBSCRIPTIONS</v>
      </c>
      <c r="C81" s="11"/>
      <c r="D81" s="6"/>
      <c r="E81" s="2"/>
      <c r="F81" s="7">
        <f t="shared" si="68"/>
        <v>0</v>
      </c>
      <c r="G81" s="2"/>
      <c r="H81" s="6">
        <v>100</v>
      </c>
      <c r="I81" s="2"/>
      <c r="J81" s="7">
        <f t="shared" si="69"/>
        <v>0</v>
      </c>
      <c r="K81" s="2"/>
      <c r="L81" s="6">
        <f t="shared" si="70"/>
        <v>-100</v>
      </c>
      <c r="M81" s="2"/>
      <c r="N81" s="7">
        <f t="shared" si="71"/>
        <v>-1</v>
      </c>
      <c r="O81" s="11"/>
      <c r="P81" s="6"/>
      <c r="Q81" s="2"/>
      <c r="R81" s="7">
        <f t="shared" si="72"/>
        <v>0</v>
      </c>
      <c r="S81" s="2"/>
      <c r="T81" s="6">
        <v>300</v>
      </c>
      <c r="U81" s="2"/>
      <c r="V81" s="7">
        <f t="shared" si="73"/>
        <v>0</v>
      </c>
      <c r="W81" s="2"/>
      <c r="X81" s="6">
        <f t="shared" si="74"/>
        <v>-300</v>
      </c>
      <c r="Y81" s="2"/>
      <c r="Z81" s="7">
        <f t="shared" si="75"/>
        <v>-1</v>
      </c>
    </row>
    <row r="82" spans="1:26" s="28" customFormat="1" outlineLevel="1" collapsed="1" x14ac:dyDescent="0.25">
      <c r="A82" s="27"/>
      <c r="B82" s="14" t="str">
        <f>CONCATENATE("     ","Supplies                                          ")</f>
        <v xml:space="preserve">     Supplies                                          </v>
      </c>
      <c r="C82" s="14"/>
      <c r="D82" s="1">
        <f>SUM(OSRRefD22_16x_0)</f>
        <v>-4127.33</v>
      </c>
      <c r="E82" s="1"/>
      <c r="F82" s="5">
        <f t="shared" ref="F82:F87" si="76">IF(D$12=0,0,D82/D$12)</f>
        <v>0</v>
      </c>
      <c r="G82" s="1"/>
      <c r="H82" s="1">
        <f>SUM(OSRRefH22_16x_0)</f>
        <v>4917</v>
      </c>
      <c r="I82" s="1"/>
      <c r="J82" s="5">
        <f t="shared" ref="J82:J87" si="77">IF(H$12=0,0,H82/H$12)</f>
        <v>0</v>
      </c>
      <c r="K82" s="1"/>
      <c r="L82" s="1">
        <f t="shared" ref="L82:L87" si="78">+D82-H82</f>
        <v>-9044.33</v>
      </c>
      <c r="M82" s="1"/>
      <c r="N82" s="5">
        <f t="shared" ref="N82:N87" si="79">IF(H82=0,0,L82/H82)</f>
        <v>-1.8394000406752085</v>
      </c>
      <c r="O82" s="14"/>
      <c r="P82" s="1">
        <f>SUM(OSRRefP22_16x_0)</f>
        <v>-2444.52</v>
      </c>
      <c r="Q82" s="1"/>
      <c r="R82" s="5">
        <f t="shared" ref="R82:R87" si="80">IF(P$12=0,0,P82/P$12)</f>
        <v>0</v>
      </c>
      <c r="S82" s="1"/>
      <c r="T82" s="1">
        <f>SUM(OSRRefT22_16x_0)</f>
        <v>30835</v>
      </c>
      <c r="U82" s="1"/>
      <c r="V82" s="5">
        <f t="shared" ref="V82:V87" si="81">IF(T$12=0,0,T82/T$12)</f>
        <v>0</v>
      </c>
      <c r="W82" s="1"/>
      <c r="X82" s="1">
        <f t="shared" ref="X82:X87" si="82">+P82-T82</f>
        <v>-33279.519999999997</v>
      </c>
      <c r="Y82" s="1"/>
      <c r="Z82" s="5">
        <f t="shared" ref="Z82:Z87" si="83">IF(T82=0,0,X82/T82)</f>
        <v>-1.0792774444624613</v>
      </c>
    </row>
    <row r="83" spans="1:26" s="24" customFormat="1" hidden="1" outlineLevel="2" x14ac:dyDescent="0.25">
      <c r="A83" s="29"/>
      <c r="B83" s="11" t="str">
        <f>CONCATENATE("          ", "6234", " - ", "EXPENDABLE SUPPLIES &amp; EQUIPMEN")</f>
        <v xml:space="preserve">          6234 - EXPENDABLE SUPPLIES &amp; EQUIPMEN</v>
      </c>
      <c r="C83" s="11"/>
      <c r="D83" s="6"/>
      <c r="E83" s="2"/>
      <c r="F83" s="7">
        <f t="shared" si="76"/>
        <v>0</v>
      </c>
      <c r="G83" s="2"/>
      <c r="H83" s="6">
        <v>1000</v>
      </c>
      <c r="I83" s="2"/>
      <c r="J83" s="7">
        <f t="shared" si="77"/>
        <v>0</v>
      </c>
      <c r="K83" s="2"/>
      <c r="L83" s="6">
        <f t="shared" si="78"/>
        <v>-1000</v>
      </c>
      <c r="M83" s="2"/>
      <c r="N83" s="7">
        <f t="shared" si="79"/>
        <v>-1</v>
      </c>
      <c r="O83" s="11"/>
      <c r="P83" s="6"/>
      <c r="Q83" s="2"/>
      <c r="R83" s="7">
        <f t="shared" si="80"/>
        <v>0</v>
      </c>
      <c r="S83" s="2"/>
      <c r="T83" s="6">
        <v>12584</v>
      </c>
      <c r="U83" s="2"/>
      <c r="V83" s="7">
        <f t="shared" si="81"/>
        <v>0</v>
      </c>
      <c r="W83" s="2"/>
      <c r="X83" s="6">
        <f t="shared" si="82"/>
        <v>-12584</v>
      </c>
      <c r="Y83" s="2"/>
      <c r="Z83" s="7">
        <f t="shared" si="83"/>
        <v>-1</v>
      </c>
    </row>
    <row r="84" spans="1:26" s="24" customFormat="1" hidden="1" outlineLevel="2" x14ac:dyDescent="0.25">
      <c r="A84" s="29"/>
      <c r="B84" s="11" t="str">
        <f>CONCATENATE("          ", "6235", " - ", "COVID-19 EXPENSES")</f>
        <v xml:space="preserve">          6235 - COVID-19 EXPENSES</v>
      </c>
      <c r="C84" s="11"/>
      <c r="D84" s="6"/>
      <c r="E84" s="2"/>
      <c r="F84" s="7">
        <f t="shared" si="76"/>
        <v>0</v>
      </c>
      <c r="G84" s="2"/>
      <c r="H84" s="6">
        <v>917</v>
      </c>
      <c r="I84" s="2"/>
      <c r="J84" s="7">
        <f t="shared" si="77"/>
        <v>0</v>
      </c>
      <c r="K84" s="2"/>
      <c r="L84" s="6">
        <f t="shared" si="78"/>
        <v>-917</v>
      </c>
      <c r="M84" s="2"/>
      <c r="N84" s="7">
        <f t="shared" si="79"/>
        <v>-1</v>
      </c>
      <c r="O84" s="11"/>
      <c r="P84" s="6">
        <v>744.18</v>
      </c>
      <c r="Q84" s="2"/>
      <c r="R84" s="7">
        <f t="shared" si="80"/>
        <v>0</v>
      </c>
      <c r="S84" s="2"/>
      <c r="T84" s="6">
        <v>1751</v>
      </c>
      <c r="U84" s="2"/>
      <c r="V84" s="7">
        <f t="shared" si="81"/>
        <v>0</v>
      </c>
      <c r="W84" s="2"/>
      <c r="X84" s="6">
        <f t="shared" si="82"/>
        <v>-1006.82</v>
      </c>
      <c r="Y84" s="2"/>
      <c r="Z84" s="7">
        <f t="shared" si="83"/>
        <v>-0.57499714448886352</v>
      </c>
    </row>
    <row r="85" spans="1:26" s="24" customFormat="1" hidden="1" outlineLevel="2" x14ac:dyDescent="0.25">
      <c r="A85" s="29"/>
      <c r="B85" s="11" t="str">
        <f>CONCATENATE("          ", "6241", " - ", "OFFICE EXPENSE")</f>
        <v xml:space="preserve">          6241 - OFFICE EXPENSE</v>
      </c>
      <c r="C85" s="11"/>
      <c r="D85" s="6">
        <v>-4177.33</v>
      </c>
      <c r="E85" s="2"/>
      <c r="F85" s="7">
        <f t="shared" si="76"/>
        <v>0</v>
      </c>
      <c r="G85" s="2"/>
      <c r="H85" s="6">
        <v>2583</v>
      </c>
      <c r="I85" s="2"/>
      <c r="J85" s="7">
        <f t="shared" si="77"/>
        <v>0</v>
      </c>
      <c r="K85" s="2"/>
      <c r="L85" s="6">
        <f t="shared" si="78"/>
        <v>-6760.33</v>
      </c>
      <c r="M85" s="2"/>
      <c r="N85" s="7">
        <f t="shared" si="79"/>
        <v>-2.6172396438250098</v>
      </c>
      <c r="O85" s="11"/>
      <c r="P85" s="6">
        <v>-3386.41</v>
      </c>
      <c r="Q85" s="2"/>
      <c r="R85" s="7">
        <f t="shared" si="80"/>
        <v>0</v>
      </c>
      <c r="S85" s="2"/>
      <c r="T85" s="6">
        <v>10249</v>
      </c>
      <c r="U85" s="2"/>
      <c r="V85" s="7">
        <f t="shared" si="81"/>
        <v>0</v>
      </c>
      <c r="W85" s="2"/>
      <c r="X85" s="6">
        <f t="shared" si="82"/>
        <v>-13635.41</v>
      </c>
      <c r="Y85" s="2"/>
      <c r="Z85" s="7">
        <f t="shared" si="83"/>
        <v>-1.3304136988974533</v>
      </c>
    </row>
    <row r="86" spans="1:26" s="24" customFormat="1" hidden="1" outlineLevel="2" x14ac:dyDescent="0.25">
      <c r="A86" s="29"/>
      <c r="B86" s="11" t="str">
        <f>CONCATENATE("          ", "6244", " - ", "SAFETY SUPPLY EXPENSE")</f>
        <v xml:space="preserve">          6244 - SAFETY SUPPLY EXPENSE</v>
      </c>
      <c r="C86" s="11"/>
      <c r="D86" s="6">
        <v>50</v>
      </c>
      <c r="E86" s="2"/>
      <c r="F86" s="7">
        <f t="shared" si="76"/>
        <v>0</v>
      </c>
      <c r="G86" s="2"/>
      <c r="H86" s="6">
        <v>417</v>
      </c>
      <c r="I86" s="2"/>
      <c r="J86" s="7">
        <f t="shared" si="77"/>
        <v>0</v>
      </c>
      <c r="K86" s="2"/>
      <c r="L86" s="6">
        <f t="shared" si="78"/>
        <v>-367</v>
      </c>
      <c r="M86" s="2"/>
      <c r="N86" s="7">
        <f t="shared" si="79"/>
        <v>-0.88009592326139086</v>
      </c>
      <c r="O86" s="11"/>
      <c r="P86" s="6">
        <v>197.71</v>
      </c>
      <c r="Q86" s="2"/>
      <c r="R86" s="7">
        <f t="shared" si="80"/>
        <v>0</v>
      </c>
      <c r="S86" s="2"/>
      <c r="T86" s="6">
        <v>1251</v>
      </c>
      <c r="U86" s="2"/>
      <c r="V86" s="7">
        <f t="shared" si="81"/>
        <v>0</v>
      </c>
      <c r="W86" s="2"/>
      <c r="X86" s="6">
        <f t="shared" si="82"/>
        <v>-1053.29</v>
      </c>
      <c r="Y86" s="2"/>
      <c r="Z86" s="7">
        <f t="shared" si="83"/>
        <v>-0.84195843325339725</v>
      </c>
    </row>
    <row r="87" spans="1:26" s="24" customFormat="1" hidden="1" outlineLevel="2" x14ac:dyDescent="0.25">
      <c r="A87" s="29"/>
      <c r="B87" s="11" t="str">
        <f>CONCATENATE("          ", "6247", " - ", "STORE SUPPLIES")</f>
        <v xml:space="preserve">          6247 - STORE SUPPLIES</v>
      </c>
      <c r="C87" s="11"/>
      <c r="D87" s="6"/>
      <c r="E87" s="2"/>
      <c r="F87" s="7">
        <f t="shared" si="76"/>
        <v>0</v>
      </c>
      <c r="G87" s="2"/>
      <c r="H87" s="6"/>
      <c r="I87" s="2"/>
      <c r="J87" s="7">
        <f t="shared" si="77"/>
        <v>0</v>
      </c>
      <c r="K87" s="2"/>
      <c r="L87" s="6">
        <f t="shared" si="78"/>
        <v>0</v>
      </c>
      <c r="M87" s="2"/>
      <c r="N87" s="7">
        <f t="shared" si="79"/>
        <v>0</v>
      </c>
      <c r="O87" s="11"/>
      <c r="P87" s="6"/>
      <c r="Q87" s="2"/>
      <c r="R87" s="7">
        <f t="shared" si="80"/>
        <v>0</v>
      </c>
      <c r="S87" s="2"/>
      <c r="T87" s="6">
        <v>5000</v>
      </c>
      <c r="U87" s="2"/>
      <c r="V87" s="7">
        <f t="shared" si="81"/>
        <v>0</v>
      </c>
      <c r="W87" s="2"/>
      <c r="X87" s="6">
        <f t="shared" si="82"/>
        <v>-5000</v>
      </c>
      <c r="Y87" s="2"/>
      <c r="Z87" s="7">
        <f t="shared" si="83"/>
        <v>-1</v>
      </c>
    </row>
    <row r="88" spans="1:26" s="28" customFormat="1" outlineLevel="1" collapsed="1" x14ac:dyDescent="0.25">
      <c r="A88" s="27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SUM(OSRRefD22_17x_0)</f>
        <v>2109.0099999999998</v>
      </c>
      <c r="E88" s="1"/>
      <c r="F88" s="5">
        <f t="shared" ref="F88:F90" si="84">IF(D$12=0,0,D88/D$12)</f>
        <v>0</v>
      </c>
      <c r="G88" s="1"/>
      <c r="H88" s="1">
        <f>SUM(OSRRefH22_17x_0)</f>
        <v>1585</v>
      </c>
      <c r="I88" s="1"/>
      <c r="J88" s="5">
        <f t="shared" ref="J88:J90" si="85">IF(H$12=0,0,H88/H$12)</f>
        <v>0</v>
      </c>
      <c r="K88" s="1"/>
      <c r="L88" s="1">
        <f t="shared" ref="L88:L90" si="86">+D88-H88</f>
        <v>524.00999999999976</v>
      </c>
      <c r="M88" s="1"/>
      <c r="N88" s="5">
        <f t="shared" ref="N88:N90" si="87">IF(H88=0,0,L88/H88)</f>
        <v>0.33060567823343834</v>
      </c>
      <c r="O88" s="14"/>
      <c r="P88" s="1">
        <f>SUM(OSRRefP22_17x_0)</f>
        <v>6280.1</v>
      </c>
      <c r="Q88" s="1"/>
      <c r="R88" s="5">
        <f t="shared" ref="R88:R90" si="88">IF(P$12=0,0,P88/P$12)</f>
        <v>0</v>
      </c>
      <c r="S88" s="1"/>
      <c r="T88" s="1">
        <f>SUM(OSRRefT22_17x_0)</f>
        <v>6255</v>
      </c>
      <c r="U88" s="1"/>
      <c r="V88" s="5">
        <f t="shared" ref="V88:V90" si="89">IF(T$12=0,0,T88/T$12)</f>
        <v>0</v>
      </c>
      <c r="W88" s="1"/>
      <c r="X88" s="1">
        <f t="shared" ref="X88:X90" si="90">+P88-T88</f>
        <v>25.100000000000364</v>
      </c>
      <c r="Y88" s="1"/>
      <c r="Z88" s="5">
        <f t="shared" ref="Z88:Z90" si="91">IF(T88=0,0,X88/T88)</f>
        <v>4.0127897681855101E-3</v>
      </c>
    </row>
    <row r="89" spans="1:26" s="24" customFormat="1" hidden="1" outlineLevel="2" x14ac:dyDescent="0.25">
      <c r="A89" s="29"/>
      <c r="B89" s="11" t="str">
        <f>CONCATENATE("          ", "6303", " - ", "DATA PHONE LINES")</f>
        <v xml:space="preserve">          6303 - DATA PHONE LINES</v>
      </c>
      <c r="C89" s="11"/>
      <c r="D89" s="6">
        <v>78.989999999999995</v>
      </c>
      <c r="E89" s="2"/>
      <c r="F89" s="7">
        <f t="shared" si="84"/>
        <v>0</v>
      </c>
      <c r="G89" s="2"/>
      <c r="H89" s="6">
        <v>335</v>
      </c>
      <c r="I89" s="2"/>
      <c r="J89" s="7">
        <f t="shared" si="85"/>
        <v>0</v>
      </c>
      <c r="K89" s="2"/>
      <c r="L89" s="6">
        <f t="shared" si="86"/>
        <v>-256.01</v>
      </c>
      <c r="M89" s="2"/>
      <c r="N89" s="7">
        <f t="shared" si="87"/>
        <v>-0.76420895522388055</v>
      </c>
      <c r="O89" s="11"/>
      <c r="P89" s="6">
        <v>236.97</v>
      </c>
      <c r="Q89" s="2"/>
      <c r="R89" s="7">
        <f t="shared" si="88"/>
        <v>0</v>
      </c>
      <c r="S89" s="2"/>
      <c r="T89" s="6">
        <v>2805</v>
      </c>
      <c r="U89" s="2"/>
      <c r="V89" s="7">
        <f t="shared" si="89"/>
        <v>0</v>
      </c>
      <c r="W89" s="2"/>
      <c r="X89" s="6">
        <f t="shared" si="90"/>
        <v>-2568.0300000000002</v>
      </c>
      <c r="Y89" s="2"/>
      <c r="Z89" s="7">
        <f t="shared" si="91"/>
        <v>-0.91551871657754014</v>
      </c>
    </row>
    <row r="90" spans="1:26" s="24" customFormat="1" hidden="1" outlineLevel="2" x14ac:dyDescent="0.25">
      <c r="A90" s="29"/>
      <c r="B90" s="11" t="str">
        <f>CONCATENATE("          ", "6309", " - ", "TELEPHONE")</f>
        <v xml:space="preserve">          6309 - TELEPHONE</v>
      </c>
      <c r="C90" s="11"/>
      <c r="D90" s="6">
        <v>2030.02</v>
      </c>
      <c r="E90" s="2"/>
      <c r="F90" s="7">
        <f t="shared" si="84"/>
        <v>0</v>
      </c>
      <c r="G90" s="2"/>
      <c r="H90" s="6">
        <v>1250</v>
      </c>
      <c r="I90" s="2"/>
      <c r="J90" s="7">
        <f t="shared" si="85"/>
        <v>0</v>
      </c>
      <c r="K90" s="2"/>
      <c r="L90" s="6">
        <f t="shared" si="86"/>
        <v>780.02</v>
      </c>
      <c r="M90" s="2"/>
      <c r="N90" s="7">
        <f t="shared" si="87"/>
        <v>0.62401600000000002</v>
      </c>
      <c r="O90" s="11"/>
      <c r="P90" s="6">
        <v>6043.13</v>
      </c>
      <c r="Q90" s="2"/>
      <c r="R90" s="7">
        <f t="shared" si="88"/>
        <v>0</v>
      </c>
      <c r="S90" s="2"/>
      <c r="T90" s="6">
        <v>3450</v>
      </c>
      <c r="U90" s="2"/>
      <c r="V90" s="7">
        <f t="shared" si="89"/>
        <v>0</v>
      </c>
      <c r="W90" s="2"/>
      <c r="X90" s="6">
        <f t="shared" si="90"/>
        <v>2593.13</v>
      </c>
      <c r="Y90" s="2"/>
      <c r="Z90" s="7">
        <f t="shared" si="91"/>
        <v>0.7516318840579711</v>
      </c>
    </row>
    <row r="91" spans="1:26" s="28" customFormat="1" outlineLevel="1" collapsed="1" x14ac:dyDescent="0.25">
      <c r="A91" s="27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SUM(OSRRefD22_18x_0)</f>
        <v>102</v>
      </c>
      <c r="E91" s="1"/>
      <c r="F91" s="5">
        <f t="shared" ref="F91:F95" si="92">IF(D$12=0,0,D91/D$12)</f>
        <v>0</v>
      </c>
      <c r="G91" s="1"/>
      <c r="H91" s="1">
        <f>SUM(OSRRefH22_18x_0)</f>
        <v>1196</v>
      </c>
      <c r="I91" s="1"/>
      <c r="J91" s="5">
        <f t="shared" ref="J91:J95" si="93">IF(H$12=0,0,H91/H$12)</f>
        <v>0</v>
      </c>
      <c r="K91" s="1"/>
      <c r="L91" s="1">
        <f t="shared" ref="L91:L95" si="94">+D91-H91</f>
        <v>-1094</v>
      </c>
      <c r="M91" s="1"/>
      <c r="N91" s="5">
        <f t="shared" ref="N91:N95" si="95">IF(H91=0,0,L91/H91)</f>
        <v>-0.9147157190635451</v>
      </c>
      <c r="O91" s="14"/>
      <c r="P91" s="1">
        <f>SUM(OSRRefP22_18x_0)</f>
        <v>102</v>
      </c>
      <c r="Q91" s="1"/>
      <c r="R91" s="5">
        <f t="shared" ref="R91:R95" si="96">IF(P$12=0,0,P91/P$12)</f>
        <v>0</v>
      </c>
      <c r="S91" s="1"/>
      <c r="T91" s="1">
        <f>SUM(OSRRefT22_18x_0)</f>
        <v>5738</v>
      </c>
      <c r="U91" s="1"/>
      <c r="V91" s="5">
        <f t="shared" ref="V91:V95" si="97">IF(T$12=0,0,T91/T$12)</f>
        <v>0</v>
      </c>
      <c r="W91" s="1"/>
      <c r="X91" s="1">
        <f t="shared" ref="X91:X95" si="98">+P91-T91</f>
        <v>-5636</v>
      </c>
      <c r="Y91" s="1"/>
      <c r="Z91" s="5">
        <f t="shared" ref="Z91:Z95" si="99">IF(T91=0,0,X91/T91)</f>
        <v>-0.98222377134890204</v>
      </c>
    </row>
    <row r="92" spans="1:26" s="24" customFormat="1" hidden="1" outlineLevel="2" x14ac:dyDescent="0.25">
      <c r="A92" s="29"/>
      <c r="B92" s="11" t="str">
        <f>CONCATENATE("          ", "6376", " - ", "TRAINING")</f>
        <v xml:space="preserve">          6376 - TRAINING</v>
      </c>
      <c r="C92" s="11"/>
      <c r="D92" s="6">
        <v>102</v>
      </c>
      <c r="E92" s="2"/>
      <c r="F92" s="7">
        <f t="shared" si="92"/>
        <v>0</v>
      </c>
      <c r="G92" s="2"/>
      <c r="H92" s="6">
        <v>1196</v>
      </c>
      <c r="I92" s="2"/>
      <c r="J92" s="7">
        <f t="shared" si="93"/>
        <v>0</v>
      </c>
      <c r="K92" s="2"/>
      <c r="L92" s="6">
        <f t="shared" si="94"/>
        <v>-1094</v>
      </c>
      <c r="M92" s="2"/>
      <c r="N92" s="7">
        <f t="shared" si="95"/>
        <v>-0.9147157190635451</v>
      </c>
      <c r="O92" s="11"/>
      <c r="P92" s="6">
        <v>102</v>
      </c>
      <c r="Q92" s="2"/>
      <c r="R92" s="7">
        <f t="shared" si="96"/>
        <v>0</v>
      </c>
      <c r="S92" s="2"/>
      <c r="T92" s="6">
        <v>5738</v>
      </c>
      <c r="U92" s="2"/>
      <c r="V92" s="7">
        <f t="shared" si="97"/>
        <v>0</v>
      </c>
      <c r="W92" s="2"/>
      <c r="X92" s="6">
        <f t="shared" si="98"/>
        <v>-5636</v>
      </c>
      <c r="Y92" s="2"/>
      <c r="Z92" s="7">
        <f t="shared" si="99"/>
        <v>-0.98222377134890204</v>
      </c>
    </row>
    <row r="93" spans="1:26" s="28" customFormat="1" outlineLevel="1" collapsed="1" x14ac:dyDescent="0.25">
      <c r="A93" s="27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SUM(OSRRefD22_19x_0)</f>
        <v>0</v>
      </c>
      <c r="E93" s="1"/>
      <c r="F93" s="5">
        <f t="shared" si="92"/>
        <v>0</v>
      </c>
      <c r="G93" s="1"/>
      <c r="H93" s="1">
        <f>SUM(OSRRefH22_19x_0)</f>
        <v>725</v>
      </c>
      <c r="I93" s="1"/>
      <c r="J93" s="5">
        <f t="shared" si="93"/>
        <v>0</v>
      </c>
      <c r="K93" s="1"/>
      <c r="L93" s="1">
        <f t="shared" si="94"/>
        <v>-725</v>
      </c>
      <c r="M93" s="1"/>
      <c r="N93" s="5">
        <f t="shared" si="95"/>
        <v>-1</v>
      </c>
      <c r="O93" s="14"/>
      <c r="P93" s="1">
        <f>SUM(OSRRefP22_19x_0)</f>
        <v>17.55</v>
      </c>
      <c r="Q93" s="1"/>
      <c r="R93" s="5">
        <f t="shared" si="96"/>
        <v>0</v>
      </c>
      <c r="S93" s="1"/>
      <c r="T93" s="1">
        <f>SUM(OSRRefT22_19x_0)</f>
        <v>1975</v>
      </c>
      <c r="U93" s="1"/>
      <c r="V93" s="5">
        <f t="shared" si="97"/>
        <v>0</v>
      </c>
      <c r="W93" s="1"/>
      <c r="X93" s="1">
        <f t="shared" si="98"/>
        <v>-1957.45</v>
      </c>
      <c r="Y93" s="1"/>
      <c r="Z93" s="5">
        <f t="shared" si="99"/>
        <v>-0.99111392405063292</v>
      </c>
    </row>
    <row r="94" spans="1:26" s="24" customFormat="1" hidden="1" outlineLevel="2" x14ac:dyDescent="0.25">
      <c r="A94" s="29"/>
      <c r="B94" s="11" t="str">
        <f>CONCATENATE("          ", "6292", " - ", "TRAVEL/CONFERENCE")</f>
        <v xml:space="preserve">          6292 - TRAVEL/CONFERENCE</v>
      </c>
      <c r="C94" s="11"/>
      <c r="D94" s="6"/>
      <c r="E94" s="2"/>
      <c r="F94" s="7">
        <f t="shared" si="92"/>
        <v>0</v>
      </c>
      <c r="G94" s="2"/>
      <c r="H94" s="6">
        <v>625</v>
      </c>
      <c r="I94" s="2"/>
      <c r="J94" s="7">
        <f t="shared" si="93"/>
        <v>0</v>
      </c>
      <c r="K94" s="2"/>
      <c r="L94" s="6">
        <f t="shared" si="94"/>
        <v>-625</v>
      </c>
      <c r="M94" s="2"/>
      <c r="N94" s="7">
        <f t="shared" si="95"/>
        <v>-1</v>
      </c>
      <c r="O94" s="11"/>
      <c r="P94" s="6"/>
      <c r="Q94" s="2"/>
      <c r="R94" s="7">
        <f t="shared" si="96"/>
        <v>0</v>
      </c>
      <c r="S94" s="2"/>
      <c r="T94" s="6">
        <v>1875</v>
      </c>
      <c r="U94" s="2"/>
      <c r="V94" s="7">
        <f t="shared" si="97"/>
        <v>0</v>
      </c>
      <c r="W94" s="2"/>
      <c r="X94" s="6">
        <f t="shared" si="98"/>
        <v>-1875</v>
      </c>
      <c r="Y94" s="2"/>
      <c r="Z94" s="7">
        <f t="shared" si="99"/>
        <v>-1</v>
      </c>
    </row>
    <row r="95" spans="1:26" s="24" customFormat="1" hidden="1" outlineLevel="2" x14ac:dyDescent="0.25">
      <c r="A95" s="29"/>
      <c r="B95" s="11" t="str">
        <f>CONCATENATE("          ", "6294", " - ", "TRAVEL OPERATIONAL")</f>
        <v xml:space="preserve">          6294 - TRAVEL OPERATIONAL</v>
      </c>
      <c r="C95" s="11"/>
      <c r="D95" s="6"/>
      <c r="E95" s="2"/>
      <c r="F95" s="7">
        <f t="shared" si="92"/>
        <v>0</v>
      </c>
      <c r="G95" s="2"/>
      <c r="H95" s="6">
        <v>100</v>
      </c>
      <c r="I95" s="2"/>
      <c r="J95" s="7">
        <f t="shared" si="93"/>
        <v>0</v>
      </c>
      <c r="K95" s="2"/>
      <c r="L95" s="6">
        <f t="shared" si="94"/>
        <v>-100</v>
      </c>
      <c r="M95" s="2"/>
      <c r="N95" s="7">
        <f t="shared" si="95"/>
        <v>-1</v>
      </c>
      <c r="O95" s="11"/>
      <c r="P95" s="6">
        <v>17.55</v>
      </c>
      <c r="Q95" s="2"/>
      <c r="R95" s="7">
        <f t="shared" si="96"/>
        <v>0</v>
      </c>
      <c r="S95" s="2"/>
      <c r="T95" s="6">
        <v>100</v>
      </c>
      <c r="U95" s="2"/>
      <c r="V95" s="7">
        <f t="shared" si="97"/>
        <v>0</v>
      </c>
      <c r="W95" s="2"/>
      <c r="X95" s="6">
        <f t="shared" si="98"/>
        <v>-82.45</v>
      </c>
      <c r="Y95" s="2"/>
      <c r="Z95" s="7">
        <f t="shared" si="99"/>
        <v>-0.82450000000000001</v>
      </c>
    </row>
    <row r="96" spans="1:26" s="61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25">
      <c r="A97" s="10"/>
      <c r="B97" s="25" t="s">
        <v>0</v>
      </c>
      <c r="C97" s="10"/>
      <c r="D97" s="4">
        <f>SUM(OSRRefD25x_0)</f>
        <v>0</v>
      </c>
      <c r="E97" s="4"/>
      <c r="F97" s="12">
        <f t="shared" ref="F97:F100" si="100">IF(D$12=0,0,D97/D$12)</f>
        <v>0</v>
      </c>
      <c r="G97" s="4"/>
      <c r="H97" s="4">
        <f>SUM(OSRRefH25x_0)</f>
        <v>0</v>
      </c>
      <c r="I97" s="4"/>
      <c r="J97" s="12">
        <f t="shared" ref="J97:J100" si="101">IF(H$12=0,0,H97/H$12)</f>
        <v>0</v>
      </c>
      <c r="K97" s="4"/>
      <c r="L97" s="4">
        <f t="shared" ref="L97:L100" si="102">+D97-H97</f>
        <v>0</v>
      </c>
      <c r="M97" s="4"/>
      <c r="N97" s="12">
        <f t="shared" ref="N97:N100" si="103">IF(H97=0,0,L97/H97)</f>
        <v>0</v>
      </c>
      <c r="O97" s="10"/>
      <c r="P97" s="4">
        <f>SUM(OSRRefP25x_0)</f>
        <v>0</v>
      </c>
      <c r="Q97" s="4"/>
      <c r="R97" s="12">
        <f t="shared" ref="R97:R100" si="104">IF(P$12=0,0,P97/P$12)</f>
        <v>0</v>
      </c>
      <c r="S97" s="4"/>
      <c r="T97" s="4">
        <f>SUM(OSRRefT25x_0)</f>
        <v>0</v>
      </c>
      <c r="U97" s="4"/>
      <c r="V97" s="12">
        <f t="shared" ref="V97:V100" si="105">IF(T$12=0,0,T97/T$12)</f>
        <v>0</v>
      </c>
      <c r="W97" s="4"/>
      <c r="X97" s="4">
        <f t="shared" ref="X97:X100" si="106">+P97-T97</f>
        <v>0</v>
      </c>
      <c r="Y97" s="4"/>
      <c r="Z97" s="12">
        <f t="shared" ref="Z97:Z100" si="107">IF(T97=0,0,X97/T97)</f>
        <v>0</v>
      </c>
    </row>
    <row r="98" spans="1:26" s="24" customFormat="1" hidden="1" outlineLevel="1" x14ac:dyDescent="0.25">
      <c r="A98" s="51"/>
      <c r="B98" s="11" t="str">
        <f>CONCATENATE("          ", "9150", " - ", "MISC. INCOME")</f>
        <v xml:space="preserve">          9150 - MISC. INCOME</v>
      </c>
      <c r="C98" s="11"/>
      <c r="D98" s="2">
        <f t="shared" ref="D98:D100" si="108">0</f>
        <v>0</v>
      </c>
      <c r="E98" s="2"/>
      <c r="F98" s="22">
        <f t="shared" si="100"/>
        <v>0</v>
      </c>
      <c r="G98" s="2"/>
      <c r="H98" s="2"/>
      <c r="I98" s="2"/>
      <c r="J98" s="22">
        <f t="shared" si="101"/>
        <v>0</v>
      </c>
      <c r="K98" s="2"/>
      <c r="L98" s="2">
        <f t="shared" si="102"/>
        <v>0</v>
      </c>
      <c r="M98" s="2"/>
      <c r="N98" s="22">
        <f t="shared" si="103"/>
        <v>0</v>
      </c>
      <c r="O98" s="11"/>
      <c r="P98" s="2">
        <f t="shared" ref="P98:P100" si="109">0</f>
        <v>0</v>
      </c>
      <c r="Q98" s="2"/>
      <c r="R98" s="22">
        <f t="shared" si="104"/>
        <v>0</v>
      </c>
      <c r="S98" s="2"/>
      <c r="T98" s="2">
        <v>0</v>
      </c>
      <c r="U98" s="2"/>
      <c r="V98" s="22">
        <f t="shared" si="105"/>
        <v>0</v>
      </c>
      <c r="W98" s="2"/>
      <c r="X98" s="2">
        <f t="shared" si="106"/>
        <v>0</v>
      </c>
      <c r="Y98" s="2"/>
      <c r="Z98" s="22">
        <f t="shared" si="107"/>
        <v>0</v>
      </c>
    </row>
    <row r="99" spans="1:26" s="24" customFormat="1" hidden="1" outlineLevel="1" x14ac:dyDescent="0.25">
      <c r="A99" s="51"/>
      <c r="B99" s="11" t="str">
        <f>CONCATENATE("          ", "9151", " - ", "MISC. INCOME")</f>
        <v xml:space="preserve">          9151 - MISC. INCOME</v>
      </c>
      <c r="C99" s="11"/>
      <c r="D99" s="2">
        <f t="shared" si="108"/>
        <v>0</v>
      </c>
      <c r="E99" s="2"/>
      <c r="F99" s="22">
        <f t="shared" si="100"/>
        <v>0</v>
      </c>
      <c r="G99" s="2"/>
      <c r="H99" s="2"/>
      <c r="I99" s="2"/>
      <c r="J99" s="22">
        <f t="shared" si="101"/>
        <v>0</v>
      </c>
      <c r="K99" s="2"/>
      <c r="L99" s="2">
        <f t="shared" si="102"/>
        <v>0</v>
      </c>
      <c r="M99" s="2"/>
      <c r="N99" s="22">
        <f t="shared" si="103"/>
        <v>0</v>
      </c>
      <c r="O99" s="11"/>
      <c r="P99" s="2">
        <f t="shared" si="109"/>
        <v>0</v>
      </c>
      <c r="Q99" s="2"/>
      <c r="R99" s="22">
        <f t="shared" si="104"/>
        <v>0</v>
      </c>
      <c r="S99" s="2"/>
      <c r="T99" s="2">
        <v>0</v>
      </c>
      <c r="U99" s="2"/>
      <c r="V99" s="22">
        <f t="shared" si="105"/>
        <v>0</v>
      </c>
      <c r="W99" s="2"/>
      <c r="X99" s="2">
        <f t="shared" si="106"/>
        <v>0</v>
      </c>
      <c r="Y99" s="2"/>
      <c r="Z99" s="22">
        <f t="shared" si="107"/>
        <v>0</v>
      </c>
    </row>
    <row r="100" spans="1:26" s="24" customFormat="1" hidden="1" outlineLevel="1" x14ac:dyDescent="0.25">
      <c r="A100" s="51"/>
      <c r="B100" s="11" t="str">
        <f>CONCATENATE("          ", "9160", " - ", "MISC. INCOME")</f>
        <v xml:space="preserve">          9160 - MISC. INCOME</v>
      </c>
      <c r="C100" s="11"/>
      <c r="D100" s="2">
        <f t="shared" si="108"/>
        <v>0</v>
      </c>
      <c r="E100" s="2"/>
      <c r="F100" s="22">
        <f t="shared" si="100"/>
        <v>0</v>
      </c>
      <c r="G100" s="2"/>
      <c r="H100" s="2"/>
      <c r="I100" s="2"/>
      <c r="J100" s="22">
        <f t="shared" si="101"/>
        <v>0</v>
      </c>
      <c r="K100" s="2"/>
      <c r="L100" s="2">
        <f t="shared" si="102"/>
        <v>0</v>
      </c>
      <c r="M100" s="2"/>
      <c r="N100" s="22">
        <f t="shared" si="103"/>
        <v>0</v>
      </c>
      <c r="O100" s="11"/>
      <c r="P100" s="2">
        <f t="shared" si="109"/>
        <v>0</v>
      </c>
      <c r="Q100" s="2"/>
      <c r="R100" s="22">
        <f t="shared" si="104"/>
        <v>0</v>
      </c>
      <c r="S100" s="2"/>
      <c r="T100" s="2">
        <v>0</v>
      </c>
      <c r="U100" s="2"/>
      <c r="V100" s="22">
        <f t="shared" si="105"/>
        <v>0</v>
      </c>
      <c r="W100" s="2"/>
      <c r="X100" s="2">
        <f t="shared" si="106"/>
        <v>0</v>
      </c>
      <c r="Y100" s="2"/>
      <c r="Z100" s="22">
        <f t="shared" si="107"/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6" t="s">
        <v>3</v>
      </c>
      <c r="C102" s="26"/>
      <c r="D102" s="20">
        <f>+D17-D19+D97</f>
        <v>-210081.48</v>
      </c>
      <c r="E102" s="13"/>
      <c r="F102" s="21">
        <f>IF(D$12=0,0,D102/D$12)</f>
        <v>0</v>
      </c>
      <c r="G102" s="13"/>
      <c r="H102" s="20">
        <f>+H17-H19+H97</f>
        <v>-245116.92686153846</v>
      </c>
      <c r="I102" s="13"/>
      <c r="J102" s="21">
        <f>IF(H$12=0,0,H102/H$12)</f>
        <v>0</v>
      </c>
      <c r="K102" s="16"/>
      <c r="L102" s="20">
        <f>+D102-H102</f>
        <v>35035.446861538454</v>
      </c>
      <c r="M102" s="16"/>
      <c r="N102" s="21">
        <f>IF(H102=0,0,L102/H102)</f>
        <v>-0.14293360850321554</v>
      </c>
      <c r="O102" s="25"/>
      <c r="P102" s="20">
        <f>+P17-P19+P97</f>
        <v>-663897.74</v>
      </c>
      <c r="Q102" s="13"/>
      <c r="R102" s="21">
        <f>IF(P$12=0,0,P102/P$12)</f>
        <v>0</v>
      </c>
      <c r="S102" s="13"/>
      <c r="T102" s="20">
        <f>+T17-T19+T97</f>
        <v>-796939.7116653847</v>
      </c>
      <c r="U102" s="13"/>
      <c r="V102" s="21">
        <f>IF(T$12=0,0,T102/T$12)</f>
        <v>0</v>
      </c>
      <c r="W102" s="16"/>
      <c r="X102" s="20">
        <f>+P102-T102</f>
        <v>133041.97166538471</v>
      </c>
      <c r="Y102" s="16"/>
      <c r="Z102" s="21">
        <f>IF(T102=0,0,X102/T102)</f>
        <v>-0.16694107435977007</v>
      </c>
    </row>
    <row r="103" spans="1:26" x14ac:dyDescent="0.25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25">
      <c r="A104" s="52"/>
      <c r="B104" s="10" t="s">
        <v>14</v>
      </c>
      <c r="C104" s="10"/>
      <c r="D104" s="4"/>
      <c r="E104" s="4"/>
      <c r="F104" s="12">
        <f>IF(D$12=0,0,D104/D$12)</f>
        <v>0</v>
      </c>
      <c r="G104" s="4"/>
      <c r="H104" s="4"/>
      <c r="I104" s="4"/>
      <c r="J104" s="12">
        <f>IF(H$12=0,0,H104/H$12)</f>
        <v>0</v>
      </c>
      <c r="K104" s="4"/>
      <c r="L104" s="4">
        <f>+D104-H104</f>
        <v>0</v>
      </c>
      <c r="M104" s="4"/>
      <c r="N104" s="12">
        <f>IF(H104=0,0,L104/H104)</f>
        <v>0</v>
      </c>
      <c r="O104" s="10"/>
      <c r="P104" s="4"/>
      <c r="Q104" s="4"/>
      <c r="R104" s="12">
        <f>IF(P$12=0,0,P104/P$12)</f>
        <v>0</v>
      </c>
      <c r="S104" s="4"/>
      <c r="T104" s="4"/>
      <c r="U104" s="4"/>
      <c r="V104" s="12">
        <f>IF(T$12=0,0,T104/T$12)</f>
        <v>0</v>
      </c>
      <c r="W104" s="4"/>
      <c r="X104" s="4">
        <f>+P104-T104</f>
        <v>0</v>
      </c>
      <c r="Y104" s="4"/>
      <c r="Z104" s="12">
        <f>IF(T104=0,0,X104/T104)</f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6" t="s">
        <v>4</v>
      </c>
      <c r="C106" s="26"/>
      <c r="D106" s="33">
        <f>+D102-D104</f>
        <v>-210081.48</v>
      </c>
      <c r="E106" s="13"/>
      <c r="F106" s="34">
        <f>IF(D$12=0,0,D106/D$12)</f>
        <v>0</v>
      </c>
      <c r="G106" s="13"/>
      <c r="H106" s="33">
        <f>+H102-H104</f>
        <v>-245116.92686153846</v>
      </c>
      <c r="I106" s="13"/>
      <c r="J106" s="34">
        <f>IF(H$12=0,0,H106/H$12)</f>
        <v>0</v>
      </c>
      <c r="K106" s="16"/>
      <c r="L106" s="33">
        <f>D106-H106</f>
        <v>35035.446861538454</v>
      </c>
      <c r="M106" s="16"/>
      <c r="N106" s="34">
        <f>IF(H106=0,0,L106/H106)</f>
        <v>-0.14293360850321554</v>
      </c>
      <c r="O106" s="25"/>
      <c r="P106" s="33">
        <f>+P102-P104</f>
        <v>-663897.74</v>
      </c>
      <c r="Q106" s="13"/>
      <c r="R106" s="34">
        <f>IF(P$12=0,0,P106/P$12)</f>
        <v>0</v>
      </c>
      <c r="S106" s="13"/>
      <c r="T106" s="33">
        <f>+T102-T104</f>
        <v>-796939.7116653847</v>
      </c>
      <c r="U106" s="13"/>
      <c r="V106" s="34">
        <f>IF(T$12=0,0,T106/T$12)</f>
        <v>0</v>
      </c>
      <c r="W106" s="16"/>
      <c r="X106" s="33">
        <f>P106-T106</f>
        <v>133041.97166538471</v>
      </c>
      <c r="Y106" s="16"/>
      <c r="Z106" s="34">
        <f>IF(T106=0,0,X106/T106)</f>
        <v>-0.16694107435977007</v>
      </c>
    </row>
    <row r="107" spans="1:26" ht="15.75" thickTop="1" x14ac:dyDescent="0.25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25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6" t="s">
        <v>5</v>
      </c>
      <c r="C109" s="26"/>
      <c r="D109" s="31">
        <f>SUM(D106:D108)</f>
        <v>-210081.48</v>
      </c>
      <c r="E109" s="13"/>
      <c r="F109" s="32">
        <f>IF(D$12=0,0,D109/D$12)</f>
        <v>0</v>
      </c>
      <c r="G109" s="13"/>
      <c r="H109" s="31">
        <f>SUM(H106:H108)</f>
        <v>-245116.92686153846</v>
      </c>
      <c r="I109" s="13"/>
      <c r="J109" s="32">
        <f>IF(H$12=0,0,H109/H$12)</f>
        <v>0</v>
      </c>
      <c r="K109" s="16"/>
      <c r="L109" s="31">
        <f>+D109-H109</f>
        <v>35035.446861538454</v>
      </c>
      <c r="M109" s="16"/>
      <c r="N109" s="32">
        <f>IF(H109=0,0,L109/H109)</f>
        <v>-0.14293360850321554</v>
      </c>
      <c r="O109" s="25"/>
      <c r="P109" s="31">
        <f>SUM(P106:P108)</f>
        <v>-663897.74</v>
      </c>
      <c r="Q109" s="13"/>
      <c r="R109" s="32">
        <f>IF(P$12=0,0,P109/P$12)</f>
        <v>0</v>
      </c>
      <c r="S109" s="13"/>
      <c r="T109" s="31">
        <f>SUM(T106:T108)</f>
        <v>-796939.7116653847</v>
      </c>
      <c r="U109" s="13"/>
      <c r="V109" s="32">
        <f>IF(T$12=0,0,T109/T$12)</f>
        <v>0</v>
      </c>
      <c r="W109" s="16"/>
      <c r="X109" s="31">
        <f>+P109-T109</f>
        <v>133041.97166538471</v>
      </c>
      <c r="Y109" s="16"/>
      <c r="Z109" s="32">
        <f>IF(T109=0,0,X109/T109)</f>
        <v>-0.16694107435977007</v>
      </c>
    </row>
    <row r="110" spans="1:26" ht="15.75" thickTop="1" x14ac:dyDescent="0.25">
      <c r="A110" s="9"/>
      <c r="C110" s="9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A111" s="9"/>
      <c r="B111" s="55">
        <v>44123.57139016204</v>
      </c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  <row r="112" spans="1:26" x14ac:dyDescent="0.25">
      <c r="A112" s="9"/>
      <c r="B112" s="53" t="s">
        <v>314</v>
      </c>
      <c r="D112" s="17"/>
      <c r="E112" s="17"/>
      <c r="G112" s="17"/>
      <c r="H112" s="17"/>
      <c r="I112" s="17"/>
      <c r="J112" s="43"/>
      <c r="K112" s="17"/>
      <c r="L112" s="17"/>
      <c r="M112" s="17"/>
      <c r="P112" s="17"/>
      <c r="Q112" s="17"/>
      <c r="R112" s="43"/>
      <c r="S112" s="17"/>
      <c r="T112" s="17"/>
      <c r="U112" s="17"/>
      <c r="V112" s="43"/>
      <c r="W112" s="17"/>
      <c r="X112" s="17"/>
    </row>
    <row r="113" spans="1:24" x14ac:dyDescent="0.25">
      <c r="A113" s="9"/>
      <c r="B113" s="62"/>
      <c r="D113" s="17"/>
      <c r="E113" s="17"/>
      <c r="G113" s="17"/>
      <c r="H113" s="17"/>
      <c r="I113" s="17"/>
      <c r="J113" s="43"/>
      <c r="K113" s="17"/>
      <c r="L113" s="17"/>
      <c r="M113" s="17"/>
      <c r="P113" s="17"/>
      <c r="Q113" s="17"/>
      <c r="R113" s="43"/>
      <c r="S113" s="17"/>
      <c r="T113" s="17"/>
      <c r="U113" s="17"/>
      <c r="V113" s="43"/>
      <c r="W113" s="17"/>
      <c r="X113" s="17"/>
    </row>
    <row r="114" spans="1:24" x14ac:dyDescent="0.25">
      <c r="D114" s="17"/>
      <c r="E114" s="17"/>
      <c r="G114" s="17"/>
      <c r="H114" s="17"/>
      <c r="I114" s="17"/>
      <c r="J114" s="43"/>
      <c r="K114" s="17"/>
      <c r="L114" s="17"/>
      <c r="M114" s="17"/>
      <c r="P114" s="17"/>
      <c r="Q114" s="17"/>
      <c r="R114" s="43"/>
      <c r="S114" s="17"/>
      <c r="T114" s="17"/>
      <c r="U114" s="17"/>
      <c r="V114" s="43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","200", " - ", "Corporate Expense")</f>
        <v>Department 200 - Corporate Expense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31927.710000000003</v>
      </c>
      <c r="E18" s="19"/>
      <c r="F18" s="35">
        <f t="shared" ref="F18:F27" si="0">IF(D$12=0,0,D18/D$12)</f>
        <v>0</v>
      </c>
      <c r="G18" s="19"/>
      <c r="H18" s="19">
        <f>SUM(OSRRefH22x_0)</f>
        <v>36437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-4509.2899999999972</v>
      </c>
      <c r="M18" s="4"/>
      <c r="N18" s="35">
        <f t="shared" ref="N18:N27" si="3">IF(H18=0,0,L18/H18)</f>
        <v>-0.12375579767818419</v>
      </c>
      <c r="O18" s="10"/>
      <c r="P18" s="19">
        <f>SUM(OSRRefP22x_0)</f>
        <v>110257.58</v>
      </c>
      <c r="Q18" s="19"/>
      <c r="R18" s="35">
        <f t="shared" ref="R18:R27" si="4">IF(P$12=0,0,P18/P$12)</f>
        <v>0</v>
      </c>
      <c r="S18" s="19"/>
      <c r="T18" s="19">
        <f>SUM(OSRRefT22x_0)</f>
        <v>134111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-23853.42</v>
      </c>
      <c r="Y18" s="4"/>
      <c r="Z18" s="35">
        <f t="shared" ref="Z18:Z27" si="7">IF(T18=0,0,X18/T18)</f>
        <v>-0.17786326252134424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31087.670000000002</v>
      </c>
      <c r="E19" s="1"/>
      <c r="F19" s="5">
        <f t="shared" si="0"/>
        <v>0</v>
      </c>
      <c r="G19" s="1"/>
      <c r="H19" s="1">
        <f>SUM(OSRRefH22_0x_0)</f>
        <v>32000</v>
      </c>
      <c r="I19" s="1"/>
      <c r="J19" s="5">
        <f t="shared" si="1"/>
        <v>0</v>
      </c>
      <c r="K19" s="1"/>
      <c r="L19" s="1">
        <f t="shared" si="2"/>
        <v>-912.32999999999811</v>
      </c>
      <c r="M19" s="1"/>
      <c r="N19" s="5">
        <f t="shared" si="3"/>
        <v>-2.851031249999994E-2</v>
      </c>
      <c r="O19" s="14"/>
      <c r="P19" s="1">
        <f>SUM(OSRRefP22_0x_0)</f>
        <v>91763.010000000009</v>
      </c>
      <c r="Q19" s="1"/>
      <c r="R19" s="5">
        <f t="shared" si="4"/>
        <v>0</v>
      </c>
      <c r="S19" s="1"/>
      <c r="T19" s="1">
        <f>SUM(OSRRefT22_0x_0)</f>
        <v>96000</v>
      </c>
      <c r="U19" s="1"/>
      <c r="V19" s="5">
        <f t="shared" si="5"/>
        <v>0</v>
      </c>
      <c r="W19" s="1"/>
      <c r="X19" s="1">
        <f t="shared" si="6"/>
        <v>-4236.9899999999907</v>
      </c>
      <c r="Y19" s="1"/>
      <c r="Z19" s="5">
        <f t="shared" si="7"/>
        <v>-4.4135312499999906E-2</v>
      </c>
    </row>
    <row r="20" spans="1:26" s="24" customFormat="1" hidden="1" outlineLevel="2" x14ac:dyDescent="0.25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6">
        <v>31087.670000000002</v>
      </c>
      <c r="E20" s="2"/>
      <c r="F20" s="7">
        <f t="shared" si="0"/>
        <v>0</v>
      </c>
      <c r="G20" s="2"/>
      <c r="H20" s="6">
        <v>32000</v>
      </c>
      <c r="I20" s="2"/>
      <c r="J20" s="7">
        <f t="shared" si="1"/>
        <v>0</v>
      </c>
      <c r="K20" s="2"/>
      <c r="L20" s="6">
        <f t="shared" si="2"/>
        <v>-912.32999999999811</v>
      </c>
      <c r="M20" s="2"/>
      <c r="N20" s="7">
        <f t="shared" si="3"/>
        <v>-2.851031249999994E-2</v>
      </c>
      <c r="O20" s="11"/>
      <c r="P20" s="6">
        <v>91763.010000000009</v>
      </c>
      <c r="Q20" s="2"/>
      <c r="R20" s="7">
        <f t="shared" si="4"/>
        <v>0</v>
      </c>
      <c r="S20" s="2"/>
      <c r="T20" s="6">
        <v>96000</v>
      </c>
      <c r="U20" s="2"/>
      <c r="V20" s="7">
        <f t="shared" si="5"/>
        <v>0</v>
      </c>
      <c r="W20" s="2"/>
      <c r="X20" s="6">
        <f t="shared" si="6"/>
        <v>-4236.9899999999907</v>
      </c>
      <c r="Y20" s="2"/>
      <c r="Z20" s="7">
        <f t="shared" si="7"/>
        <v>-4.4135312499999906E-2</v>
      </c>
    </row>
    <row r="21" spans="1:26" s="28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2000</v>
      </c>
      <c r="I21" s="1"/>
      <c r="J21" s="5">
        <f t="shared" si="1"/>
        <v>0</v>
      </c>
      <c r="K21" s="1"/>
      <c r="L21" s="1">
        <f t="shared" si="2"/>
        <v>-1993</v>
      </c>
      <c r="M21" s="1"/>
      <c r="N21" s="5">
        <f t="shared" si="3"/>
        <v>-0.99650000000000005</v>
      </c>
      <c r="O21" s="14"/>
      <c r="P21" s="1">
        <f>SUM(OSRRefP22_1x_0)</f>
        <v>937.98</v>
      </c>
      <c r="Q21" s="1"/>
      <c r="R21" s="5">
        <f t="shared" si="4"/>
        <v>0</v>
      </c>
      <c r="S21" s="1"/>
      <c r="T21" s="1">
        <f>SUM(OSRRefT22_1x_0)</f>
        <v>18000</v>
      </c>
      <c r="U21" s="1"/>
      <c r="V21" s="5">
        <f t="shared" si="5"/>
        <v>0</v>
      </c>
      <c r="W21" s="1"/>
      <c r="X21" s="1">
        <f t="shared" si="6"/>
        <v>-17062.02</v>
      </c>
      <c r="Y21" s="1"/>
      <c r="Z21" s="5">
        <f t="shared" si="7"/>
        <v>-0.94789000000000001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6">
        <v>7</v>
      </c>
      <c r="E22" s="2"/>
      <c r="F22" s="7">
        <f t="shared" si="0"/>
        <v>0</v>
      </c>
      <c r="G22" s="2"/>
      <c r="H22" s="6">
        <v>2000</v>
      </c>
      <c r="I22" s="2"/>
      <c r="J22" s="7">
        <f t="shared" si="1"/>
        <v>0</v>
      </c>
      <c r="K22" s="2"/>
      <c r="L22" s="6">
        <f t="shared" si="2"/>
        <v>-1993</v>
      </c>
      <c r="M22" s="2"/>
      <c r="N22" s="7">
        <f t="shared" si="3"/>
        <v>-0.99650000000000005</v>
      </c>
      <c r="O22" s="11"/>
      <c r="P22" s="6">
        <v>937.98</v>
      </c>
      <c r="Q22" s="2"/>
      <c r="R22" s="7">
        <f t="shared" si="4"/>
        <v>0</v>
      </c>
      <c r="S22" s="2"/>
      <c r="T22" s="6">
        <v>18000</v>
      </c>
      <c r="U22" s="2"/>
      <c r="V22" s="7">
        <f t="shared" si="5"/>
        <v>0</v>
      </c>
      <c r="W22" s="2"/>
      <c r="X22" s="6">
        <f t="shared" si="6"/>
        <v>-17062.02</v>
      </c>
      <c r="Y22" s="2"/>
      <c r="Z22" s="7">
        <f t="shared" si="7"/>
        <v>-0.94789000000000001</v>
      </c>
    </row>
    <row r="23" spans="1:26" s="28" customFormat="1" outlineLevel="1" collapsed="1" x14ac:dyDescent="0.25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833.04</v>
      </c>
      <c r="E23" s="1"/>
      <c r="F23" s="5">
        <f t="shared" si="0"/>
        <v>0</v>
      </c>
      <c r="G23" s="1"/>
      <c r="H23" s="1">
        <f>SUM(OSRRefH22_2x_0)</f>
        <v>2437</v>
      </c>
      <c r="I23" s="1"/>
      <c r="J23" s="5">
        <f t="shared" si="1"/>
        <v>0</v>
      </c>
      <c r="K23" s="1"/>
      <c r="L23" s="1">
        <f t="shared" si="2"/>
        <v>-1603.96</v>
      </c>
      <c r="M23" s="1"/>
      <c r="N23" s="5">
        <f t="shared" si="3"/>
        <v>-0.65816988100123108</v>
      </c>
      <c r="O23" s="14"/>
      <c r="P23" s="1">
        <f>SUM(OSRRefP22_2x_0)</f>
        <v>5970.84</v>
      </c>
      <c r="Q23" s="1"/>
      <c r="R23" s="5">
        <f t="shared" si="4"/>
        <v>0</v>
      </c>
      <c r="S23" s="1"/>
      <c r="T23" s="1">
        <f>SUM(OSRRefT22_2x_0)</f>
        <v>6611</v>
      </c>
      <c r="U23" s="1"/>
      <c r="V23" s="5">
        <f t="shared" si="5"/>
        <v>0</v>
      </c>
      <c r="W23" s="1"/>
      <c r="X23" s="1">
        <f t="shared" si="6"/>
        <v>-640.15999999999985</v>
      </c>
      <c r="Y23" s="1"/>
      <c r="Z23" s="5">
        <f t="shared" si="7"/>
        <v>-9.6832551807593384E-2</v>
      </c>
    </row>
    <row r="24" spans="1:26" s="24" customFormat="1" hidden="1" outlineLevel="2" x14ac:dyDescent="0.25">
      <c r="A24" s="29"/>
      <c r="B24" s="11" t="str">
        <f>CONCATENATE("          ", "6397", " - ", "BOARD EXPENSES")</f>
        <v xml:space="preserve">          6397 - BOARD EXPENSES</v>
      </c>
      <c r="C24" s="11"/>
      <c r="D24" s="6">
        <v>833.04</v>
      </c>
      <c r="E24" s="2"/>
      <c r="F24" s="7">
        <f t="shared" si="0"/>
        <v>0</v>
      </c>
      <c r="G24" s="2"/>
      <c r="H24" s="6">
        <v>2437</v>
      </c>
      <c r="I24" s="2"/>
      <c r="J24" s="7">
        <f t="shared" si="1"/>
        <v>0</v>
      </c>
      <c r="K24" s="2"/>
      <c r="L24" s="6">
        <f t="shared" si="2"/>
        <v>-1603.96</v>
      </c>
      <c r="M24" s="2"/>
      <c r="N24" s="7">
        <f t="shared" si="3"/>
        <v>-0.65816988100123108</v>
      </c>
      <c r="O24" s="11"/>
      <c r="P24" s="6">
        <v>5970.84</v>
      </c>
      <c r="Q24" s="2"/>
      <c r="R24" s="7">
        <f t="shared" si="4"/>
        <v>0</v>
      </c>
      <c r="S24" s="2"/>
      <c r="T24" s="6">
        <v>6611</v>
      </c>
      <c r="U24" s="2"/>
      <c r="V24" s="7">
        <f t="shared" si="5"/>
        <v>0</v>
      </c>
      <c r="W24" s="2"/>
      <c r="X24" s="6">
        <f t="shared" si="6"/>
        <v>-640.15999999999985</v>
      </c>
      <c r="Y24" s="2"/>
      <c r="Z24" s="7">
        <f t="shared" si="7"/>
        <v>-9.6832551807593384E-2</v>
      </c>
    </row>
    <row r="25" spans="1:26" s="28" customFormat="1" outlineLevel="1" collapsed="1" x14ac:dyDescent="0.25">
      <c r="A25" s="27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11585.75</v>
      </c>
      <c r="Q25" s="1"/>
      <c r="R25" s="5">
        <f t="shared" si="4"/>
        <v>0</v>
      </c>
      <c r="S25" s="1"/>
      <c r="T25" s="1">
        <f>SUM(OSRRefT22_3x_0)</f>
        <v>13500</v>
      </c>
      <c r="U25" s="1"/>
      <c r="V25" s="5">
        <f t="shared" si="5"/>
        <v>0</v>
      </c>
      <c r="W25" s="1"/>
      <c r="X25" s="1">
        <f t="shared" si="6"/>
        <v>-1914.25</v>
      </c>
      <c r="Y25" s="1"/>
      <c r="Z25" s="5">
        <f t="shared" si="7"/>
        <v>-0.14179629629629631</v>
      </c>
    </row>
    <row r="26" spans="1:26" s="24" customFormat="1" hidden="1" outlineLevel="2" x14ac:dyDescent="0.25">
      <c r="A26" s="29"/>
      <c r="B26" s="11" t="str">
        <f>CONCATENATE("          ", "6331", " - ", "INDIRECT COSTS-AUXILIARY ORGAN")</f>
        <v xml:space="preserve">          6331 - INDIRECT COSTS-AUXILIARY ORGAN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11585.75</v>
      </c>
      <c r="Q26" s="2"/>
      <c r="R26" s="7">
        <f t="shared" si="4"/>
        <v>0</v>
      </c>
      <c r="S26" s="2"/>
      <c r="T26" s="6">
        <v>13500</v>
      </c>
      <c r="U26" s="2"/>
      <c r="V26" s="7">
        <f t="shared" si="5"/>
        <v>0</v>
      </c>
      <c r="W26" s="2"/>
      <c r="X26" s="6">
        <f t="shared" si="6"/>
        <v>-1914.25</v>
      </c>
      <c r="Y26" s="2"/>
      <c r="Z26" s="7">
        <f t="shared" si="7"/>
        <v>-0.14179629629629631</v>
      </c>
    </row>
    <row r="27" spans="1:26" s="24" customFormat="1" hidden="1" outlineLevel="2" x14ac:dyDescent="0.25">
      <c r="A27" s="29"/>
      <c r="B27" s="11" t="str">
        <f>CONCATENATE("          ", "6332", " - ", "CONSULTANT FEES")</f>
        <v xml:space="preserve">          6332 - CONSULTANT FEES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0</v>
      </c>
      <c r="Y27" s="2"/>
      <c r="Z27" s="7">
        <f t="shared" si="7"/>
        <v>0</v>
      </c>
    </row>
    <row r="28" spans="1:26" s="61" customFormat="1" x14ac:dyDescent="0.25">
      <c r="A28" s="36"/>
      <c r="B28" s="36"/>
      <c r="C28" s="36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0</v>
      </c>
      <c r="C29" s="10"/>
      <c r="D29" s="4">
        <f>SUM(0)</f>
        <v>0</v>
      </c>
      <c r="E29" s="4"/>
      <c r="F29" s="12">
        <f>IF(D$12=0,0,D29/D$12)</f>
        <v>0</v>
      </c>
      <c r="G29" s="4"/>
      <c r="H29" s="4">
        <f>SUM(0)</f>
        <v>0</v>
      </c>
      <c r="I29" s="4"/>
      <c r="J29" s="12">
        <f>IF(H$12=0,0,H29/H$12)</f>
        <v>0</v>
      </c>
      <c r="K29" s="4"/>
      <c r="L29" s="4">
        <f>+D29-H29</f>
        <v>0</v>
      </c>
      <c r="M29" s="4"/>
      <c r="N29" s="12">
        <f>IF(H29=0,0,L29/H29)</f>
        <v>0</v>
      </c>
      <c r="O29" s="10"/>
      <c r="P29" s="4">
        <f>SUM(0)</f>
        <v>0</v>
      </c>
      <c r="Q29" s="4"/>
      <c r="R29" s="12">
        <f>IF(P$12=0,0,P29/P$12)</f>
        <v>0</v>
      </c>
      <c r="S29" s="4"/>
      <c r="T29" s="4">
        <f>SUM(0)</f>
        <v>0</v>
      </c>
      <c r="U29" s="4"/>
      <c r="V29" s="12">
        <f>IF(T$12=0,0,T29/T$12)</f>
        <v>0</v>
      </c>
      <c r="W29" s="4"/>
      <c r="X29" s="4">
        <f>+P29-T29</f>
        <v>0</v>
      </c>
      <c r="Y29" s="4"/>
      <c r="Z29" s="12">
        <f>IF(T29=0,0,X29/T29)</f>
        <v>0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25">
      <c r="A31" s="10"/>
      <c r="B31" s="26" t="s">
        <v>3</v>
      </c>
      <c r="C31" s="26"/>
      <c r="D31" s="20">
        <f>+D16-D18+D29</f>
        <v>-31927.710000000003</v>
      </c>
      <c r="E31" s="13"/>
      <c r="F31" s="21">
        <f>IF(D$12=0,0,D31/D$12)</f>
        <v>0</v>
      </c>
      <c r="G31" s="13"/>
      <c r="H31" s="20">
        <f>+H16-H18+H29</f>
        <v>-36437</v>
      </c>
      <c r="I31" s="13"/>
      <c r="J31" s="21">
        <f>IF(H$12=0,0,H31/H$12)</f>
        <v>0</v>
      </c>
      <c r="K31" s="16"/>
      <c r="L31" s="20">
        <f>+D31-H31</f>
        <v>4509.2899999999972</v>
      </c>
      <c r="M31" s="16"/>
      <c r="N31" s="21">
        <f>IF(H31=0,0,L31/H31)</f>
        <v>-0.12375579767818419</v>
      </c>
      <c r="O31" s="25"/>
      <c r="P31" s="20">
        <f>+P16-P18+P29</f>
        <v>-110257.58</v>
      </c>
      <c r="Q31" s="13"/>
      <c r="R31" s="21">
        <f>IF(P$12=0,0,P31/P$12)</f>
        <v>0</v>
      </c>
      <c r="S31" s="13"/>
      <c r="T31" s="20">
        <f>+T16-T18+T29</f>
        <v>-134111</v>
      </c>
      <c r="U31" s="13"/>
      <c r="V31" s="21">
        <f>IF(T$12=0,0,T31/T$12)</f>
        <v>0</v>
      </c>
      <c r="W31" s="16"/>
      <c r="X31" s="20">
        <f>+P31-T31</f>
        <v>23853.42</v>
      </c>
      <c r="Y31" s="16"/>
      <c r="Z31" s="21">
        <f>IF(T31=0,0,X31/T31)</f>
        <v>-0.17786326252134424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14</v>
      </c>
      <c r="C33" s="10"/>
      <c r="D33" s="4"/>
      <c r="E33" s="4"/>
      <c r="F33" s="12">
        <f>IF(D$12=0,0,D33/D$12)</f>
        <v>0</v>
      </c>
      <c r="G33" s="4"/>
      <c r="H33" s="4"/>
      <c r="I33" s="4"/>
      <c r="J33" s="12">
        <f>IF(H$12=0,0,H33/H$12)</f>
        <v>0</v>
      </c>
      <c r="K33" s="4"/>
      <c r="L33" s="4">
        <f>+D33-H33</f>
        <v>0</v>
      </c>
      <c r="M33" s="4"/>
      <c r="N33" s="12">
        <f>IF(H33=0,0,L33/H33)</f>
        <v>0</v>
      </c>
      <c r="O33" s="10"/>
      <c r="P33" s="4"/>
      <c r="Q33" s="4"/>
      <c r="R33" s="12">
        <f>IF(P$12=0,0,P33/P$12)</f>
        <v>0</v>
      </c>
      <c r="S33" s="4"/>
      <c r="T33" s="4"/>
      <c r="U33" s="4"/>
      <c r="V33" s="12">
        <f>IF(T$12=0,0,T33/T$12)</f>
        <v>0</v>
      </c>
      <c r="W33" s="4"/>
      <c r="X33" s="4">
        <f>+P33-T33</f>
        <v>0</v>
      </c>
      <c r="Y33" s="4"/>
      <c r="Z33" s="12">
        <f>IF(T33=0,0,X33/T33)</f>
        <v>0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4</v>
      </c>
      <c r="C35" s="26"/>
      <c r="D35" s="33">
        <f>+D31-D33</f>
        <v>-31927.710000000003</v>
      </c>
      <c r="E35" s="13"/>
      <c r="F35" s="34">
        <f>IF(D$12=0,0,D35/D$12)</f>
        <v>0</v>
      </c>
      <c r="G35" s="13"/>
      <c r="H35" s="33">
        <f>+H31-H33</f>
        <v>-36437</v>
      </c>
      <c r="I35" s="13"/>
      <c r="J35" s="34">
        <f>IF(H$12=0,0,H35/H$12)</f>
        <v>0</v>
      </c>
      <c r="K35" s="16"/>
      <c r="L35" s="33">
        <f>D35-H35</f>
        <v>4509.2899999999972</v>
      </c>
      <c r="M35" s="16"/>
      <c r="N35" s="34">
        <f>IF(H35=0,0,L35/H35)</f>
        <v>-0.12375579767818419</v>
      </c>
      <c r="O35" s="25"/>
      <c r="P35" s="33">
        <f>+P31-P33</f>
        <v>-110257.58</v>
      </c>
      <c r="Q35" s="13"/>
      <c r="R35" s="34">
        <f>IF(P$12=0,0,P35/P$12)</f>
        <v>0</v>
      </c>
      <c r="S35" s="13"/>
      <c r="T35" s="33">
        <f>+T31-T33</f>
        <v>-134111</v>
      </c>
      <c r="U35" s="13"/>
      <c r="V35" s="34">
        <f>IF(T$12=0,0,T35/T$12)</f>
        <v>0</v>
      </c>
      <c r="W35" s="16"/>
      <c r="X35" s="33">
        <f>P35-T35</f>
        <v>23853.42</v>
      </c>
      <c r="Y35" s="16"/>
      <c r="Z35" s="34">
        <f>IF(T35=0,0,X35/T35)</f>
        <v>-0.17786326252134424</v>
      </c>
    </row>
    <row r="36" spans="1:26" ht="15.75" thickTop="1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.75" thickBot="1" x14ac:dyDescent="0.3">
      <c r="A38" s="10"/>
      <c r="B38" s="26" t="s">
        <v>5</v>
      </c>
      <c r="C38" s="26"/>
      <c r="D38" s="31">
        <f>SUM(D35:D37)</f>
        <v>-31927.710000000003</v>
      </c>
      <c r="E38" s="13"/>
      <c r="F38" s="32">
        <f>IF(D$12=0,0,D38/D$12)</f>
        <v>0</v>
      </c>
      <c r="G38" s="13"/>
      <c r="H38" s="31">
        <f>SUM(H35:H37)</f>
        <v>-36437</v>
      </c>
      <c r="I38" s="13"/>
      <c r="J38" s="32">
        <f>IF(H$12=0,0,H38/H$12)</f>
        <v>0</v>
      </c>
      <c r="K38" s="16"/>
      <c r="L38" s="31">
        <f>+D38-H38</f>
        <v>4509.2899999999972</v>
      </c>
      <c r="M38" s="16"/>
      <c r="N38" s="32">
        <f>IF(H38=0,0,L38/H38)</f>
        <v>-0.12375579767818419</v>
      </c>
      <c r="O38" s="25"/>
      <c r="P38" s="31">
        <f>SUM(P35:P37)</f>
        <v>-110257.58</v>
      </c>
      <c r="Q38" s="13"/>
      <c r="R38" s="32">
        <f>IF(P$12=0,0,P38/P$12)</f>
        <v>0</v>
      </c>
      <c r="S38" s="13"/>
      <c r="T38" s="31">
        <f>SUM(T35:T37)</f>
        <v>-134111</v>
      </c>
      <c r="U38" s="13"/>
      <c r="V38" s="32">
        <f>IF(T$12=0,0,T38/T$12)</f>
        <v>0</v>
      </c>
      <c r="W38" s="16"/>
      <c r="X38" s="31">
        <f>+P38-T38</f>
        <v>23853.42</v>
      </c>
      <c r="Y38" s="16"/>
      <c r="Z38" s="32">
        <f>IF(T38=0,0,X38/T38)</f>
        <v>-0.17786326252134424</v>
      </c>
    </row>
    <row r="39" spans="1:26" ht="15.75" thickTop="1" x14ac:dyDescent="0.25">
      <c r="A39" s="9"/>
      <c r="C39" s="9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5">
        <v>44123.571715972219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53" t="s">
        <v>314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62"/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","201", " - ", "General Manager")</f>
        <v>Department 201 - General Manager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0</v>
      </c>
      <c r="E17" s="13"/>
      <c r="F17" s="21">
        <f>IF(D$12=0,0,D17/D$12)</f>
        <v>0</v>
      </c>
      <c r="G17" s="13"/>
      <c r="H17" s="20">
        <f>H12-H15</f>
        <v>0</v>
      </c>
      <c r="I17" s="13"/>
      <c r="J17" s="21">
        <f>IF(H$12=0,0,H17/H$12)</f>
        <v>0</v>
      </c>
      <c r="K17" s="16"/>
      <c r="L17" s="20">
        <f>+D17-H17</f>
        <v>0</v>
      </c>
      <c r="M17" s="16"/>
      <c r="N17" s="21">
        <f>IF(H17=0,0,L17/H17)</f>
        <v>0</v>
      </c>
      <c r="O17" s="25"/>
      <c r="P17" s="20">
        <f>P12-P15</f>
        <v>0</v>
      </c>
      <c r="Q17" s="13"/>
      <c r="R17" s="21">
        <f>IF(P$12=0,0,P17/P$12)</f>
        <v>0</v>
      </c>
      <c r="S17" s="13"/>
      <c r="T17" s="20">
        <f>T12-T15</f>
        <v>0</v>
      </c>
      <c r="U17" s="13"/>
      <c r="V17" s="21">
        <f>IF(T$12=0,0,T17/T$12)</f>
        <v>0</v>
      </c>
      <c r="W17" s="16"/>
      <c r="X17" s="20">
        <f>+P17-T17</f>
        <v>0</v>
      </c>
      <c r="Y17" s="16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19">
        <f>SUM(OSRRefD22x_0)</f>
        <v>40329.99</v>
      </c>
      <c r="E19" s="19"/>
      <c r="F19" s="35">
        <f t="shared" ref="F19:F29" si="4">IF(D$12=0,0,D19/D$12)</f>
        <v>0</v>
      </c>
      <c r="G19" s="19"/>
      <c r="H19" s="19">
        <f>SUM(OSRRefH22x_0)</f>
        <v>47008.044307692267</v>
      </c>
      <c r="I19" s="19"/>
      <c r="J19" s="35">
        <f t="shared" ref="J19:J29" si="5">IF(H$12=0,0,H19/H$12)</f>
        <v>0</v>
      </c>
      <c r="K19" s="4"/>
      <c r="L19" s="19">
        <f t="shared" ref="L19:L29" si="6">+D19-H19</f>
        <v>-6678.0543076922695</v>
      </c>
      <c r="M19" s="4"/>
      <c r="N19" s="35">
        <f t="shared" ref="N19:N29" si="7">IF(H19=0,0,L19/H19)</f>
        <v>-0.14206194718463305</v>
      </c>
      <c r="O19" s="10"/>
      <c r="P19" s="19">
        <f>SUM(OSRRefP22x_0)</f>
        <v>107256.26000000002</v>
      </c>
      <c r="Q19" s="19"/>
      <c r="R19" s="35">
        <f t="shared" ref="R19:R29" si="8">IF(P$12=0,0,P19/P$12)</f>
        <v>0</v>
      </c>
      <c r="S19" s="19"/>
      <c r="T19" s="19">
        <f>SUM(OSRRefT22x_0)</f>
        <v>143243.74199999991</v>
      </c>
      <c r="U19" s="19"/>
      <c r="V19" s="35">
        <f t="shared" ref="V19:V29" si="9">IF(T$12=0,0,T19/T$12)</f>
        <v>0</v>
      </c>
      <c r="W19" s="4"/>
      <c r="X19" s="19">
        <f t="shared" ref="X19:X29" si="10">+P19-T19</f>
        <v>-35987.481999999887</v>
      </c>
      <c r="Y19" s="4"/>
      <c r="Z19" s="35">
        <f t="shared" ref="Z19:Z29" si="11">IF(T19=0,0,X19/T19)</f>
        <v>-0.25123249014257049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10116.07</v>
      </c>
      <c r="E20" s="1"/>
      <c r="F20" s="5">
        <f t="shared" si="4"/>
        <v>0</v>
      </c>
      <c r="G20" s="1"/>
      <c r="H20" s="1">
        <f>SUM(OSRRefH22_0x_0)</f>
        <v>8414.3520000000044</v>
      </c>
      <c r="I20" s="1"/>
      <c r="J20" s="5">
        <f t="shared" si="5"/>
        <v>0</v>
      </c>
      <c r="K20" s="1"/>
      <c r="L20" s="1">
        <f t="shared" si="6"/>
        <v>1701.7179999999953</v>
      </c>
      <c r="M20" s="1"/>
      <c r="N20" s="5">
        <f t="shared" si="7"/>
        <v>0.20223993481613253</v>
      </c>
      <c r="O20" s="14"/>
      <c r="P20" s="1">
        <f>SUM(OSRRefP22_0x_0)</f>
        <v>31492.45</v>
      </c>
      <c r="Q20" s="1"/>
      <c r="R20" s="5">
        <f t="shared" si="8"/>
        <v>0</v>
      </c>
      <c r="S20" s="1"/>
      <c r="T20" s="1">
        <f>SUM(OSRRefT22_0x_0)</f>
        <v>26335.742000000006</v>
      </c>
      <c r="U20" s="1"/>
      <c r="V20" s="5">
        <f t="shared" si="9"/>
        <v>0</v>
      </c>
      <c r="W20" s="1"/>
      <c r="X20" s="1">
        <f t="shared" si="10"/>
        <v>5156.7079999999951</v>
      </c>
      <c r="Y20" s="1"/>
      <c r="Z20" s="5">
        <f t="shared" si="11"/>
        <v>0.19580644433712913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6">
        <v>1279.5999999999999</v>
      </c>
      <c r="E21" s="2"/>
      <c r="F21" s="7">
        <f t="shared" si="4"/>
        <v>0</v>
      </c>
      <c r="G21" s="2"/>
      <c r="H21" s="6">
        <v>1436.4092307692301</v>
      </c>
      <c r="I21" s="2"/>
      <c r="J21" s="7">
        <f t="shared" si="5"/>
        <v>0</v>
      </c>
      <c r="K21" s="2"/>
      <c r="L21" s="6">
        <f t="shared" si="6"/>
        <v>-156.80923076923023</v>
      </c>
      <c r="M21" s="2"/>
      <c r="N21" s="7">
        <f t="shared" si="7"/>
        <v>-0.10916751814888803</v>
      </c>
      <c r="O21" s="11"/>
      <c r="P21" s="6">
        <v>4174.7</v>
      </c>
      <c r="Q21" s="2"/>
      <c r="R21" s="7">
        <f t="shared" si="8"/>
        <v>0</v>
      </c>
      <c r="S21" s="2"/>
      <c r="T21" s="6">
        <v>4668.33</v>
      </c>
      <c r="U21" s="2"/>
      <c r="V21" s="7">
        <f t="shared" si="9"/>
        <v>0</v>
      </c>
      <c r="W21" s="2"/>
      <c r="X21" s="6">
        <f t="shared" si="10"/>
        <v>-493.63000000000011</v>
      </c>
      <c r="Y21" s="2"/>
      <c r="Z21" s="7">
        <f t="shared" si="11"/>
        <v>-0.10574016832571821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6">
        <v>62.43</v>
      </c>
      <c r="E22" s="2"/>
      <c r="F22" s="7">
        <f t="shared" si="4"/>
        <v>0</v>
      </c>
      <c r="G22" s="2"/>
      <c r="H22" s="6">
        <v>61.938461538461596</v>
      </c>
      <c r="I22" s="2"/>
      <c r="J22" s="7">
        <f t="shared" si="5"/>
        <v>0</v>
      </c>
      <c r="K22" s="2"/>
      <c r="L22" s="6">
        <f t="shared" si="6"/>
        <v>0.49153846153840419</v>
      </c>
      <c r="M22" s="2"/>
      <c r="N22" s="7">
        <f t="shared" si="7"/>
        <v>7.9359165424729861E-3</v>
      </c>
      <c r="O22" s="11"/>
      <c r="P22" s="6">
        <v>187.32</v>
      </c>
      <c r="Q22" s="2"/>
      <c r="R22" s="7">
        <f t="shared" si="8"/>
        <v>0</v>
      </c>
      <c r="S22" s="2"/>
      <c r="T22" s="6">
        <v>201.3000000000001</v>
      </c>
      <c r="U22" s="2"/>
      <c r="V22" s="7">
        <f t="shared" si="9"/>
        <v>0</v>
      </c>
      <c r="W22" s="2"/>
      <c r="X22" s="6">
        <f t="shared" si="10"/>
        <v>-13.980000000000103</v>
      </c>
      <c r="Y22" s="2"/>
      <c r="Z22" s="7">
        <f t="shared" si="11"/>
        <v>-6.9448584202683045E-2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6">
        <v>4070.76</v>
      </c>
      <c r="E23" s="2"/>
      <c r="F23" s="7">
        <f t="shared" si="4"/>
        <v>0</v>
      </c>
      <c r="G23" s="2"/>
      <c r="H23" s="6">
        <v>3365</v>
      </c>
      <c r="I23" s="2"/>
      <c r="J23" s="7">
        <f t="shared" si="5"/>
        <v>0</v>
      </c>
      <c r="K23" s="2"/>
      <c r="L23" s="6">
        <f t="shared" si="6"/>
        <v>705.76000000000022</v>
      </c>
      <c r="M23" s="2"/>
      <c r="N23" s="7">
        <f t="shared" si="7"/>
        <v>0.20973551263001491</v>
      </c>
      <c r="O23" s="11"/>
      <c r="P23" s="6">
        <v>12106.96</v>
      </c>
      <c r="Q23" s="2"/>
      <c r="R23" s="7">
        <f t="shared" si="8"/>
        <v>0</v>
      </c>
      <c r="S23" s="2"/>
      <c r="T23" s="6">
        <v>10095</v>
      </c>
      <c r="U23" s="2"/>
      <c r="V23" s="7">
        <f t="shared" si="9"/>
        <v>0</v>
      </c>
      <c r="W23" s="2"/>
      <c r="X23" s="6">
        <f t="shared" si="10"/>
        <v>2011.9599999999991</v>
      </c>
      <c r="Y23" s="2"/>
      <c r="Z23" s="7">
        <f t="shared" si="11"/>
        <v>0.19930262506191176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>
        <v>49.19</v>
      </c>
      <c r="E24" s="2"/>
      <c r="F24" s="7">
        <f t="shared" si="4"/>
        <v>0</v>
      </c>
      <c r="G24" s="2"/>
      <c r="H24" s="6">
        <v>51.712000000000003</v>
      </c>
      <c r="I24" s="2"/>
      <c r="J24" s="7">
        <f t="shared" si="5"/>
        <v>0</v>
      </c>
      <c r="K24" s="2"/>
      <c r="L24" s="6">
        <f t="shared" si="6"/>
        <v>-2.5220000000000056</v>
      </c>
      <c r="M24" s="2"/>
      <c r="N24" s="7">
        <f t="shared" si="7"/>
        <v>-4.8770111386138716E-2</v>
      </c>
      <c r="O24" s="11"/>
      <c r="P24" s="6">
        <v>147.59</v>
      </c>
      <c r="Q24" s="2"/>
      <c r="R24" s="7">
        <f t="shared" si="8"/>
        <v>0</v>
      </c>
      <c r="S24" s="2"/>
      <c r="T24" s="6">
        <v>161.512</v>
      </c>
      <c r="U24" s="2"/>
      <c r="V24" s="7">
        <f t="shared" si="9"/>
        <v>0</v>
      </c>
      <c r="W24" s="2"/>
      <c r="X24" s="6">
        <f t="shared" si="10"/>
        <v>-13.921999999999997</v>
      </c>
      <c r="Y24" s="2"/>
      <c r="Z24" s="7">
        <f t="shared" si="11"/>
        <v>-8.6197929565605014E-2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6">
        <v>2049.0300000000002</v>
      </c>
      <c r="E25" s="2"/>
      <c r="F25" s="7">
        <f t="shared" si="4"/>
        <v>0</v>
      </c>
      <c r="G25" s="2"/>
      <c r="H25" s="6">
        <v>1614.1538461538501</v>
      </c>
      <c r="I25" s="2"/>
      <c r="J25" s="7">
        <f t="shared" si="5"/>
        <v>0</v>
      </c>
      <c r="K25" s="2"/>
      <c r="L25" s="6">
        <f t="shared" si="6"/>
        <v>434.87615384615015</v>
      </c>
      <c r="M25" s="2"/>
      <c r="N25" s="7">
        <f t="shared" si="7"/>
        <v>0.26941431566907825</v>
      </c>
      <c r="O25" s="11"/>
      <c r="P25" s="6">
        <v>7171.61</v>
      </c>
      <c r="Q25" s="2"/>
      <c r="R25" s="7">
        <f t="shared" si="8"/>
        <v>0</v>
      </c>
      <c r="S25" s="2"/>
      <c r="T25" s="6">
        <v>5246.00000000001</v>
      </c>
      <c r="U25" s="2"/>
      <c r="V25" s="7">
        <f t="shared" si="9"/>
        <v>0</v>
      </c>
      <c r="W25" s="2"/>
      <c r="X25" s="6">
        <f t="shared" si="10"/>
        <v>1925.6099999999897</v>
      </c>
      <c r="Y25" s="2"/>
      <c r="Z25" s="7">
        <f t="shared" si="11"/>
        <v>0.36706252382767557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6">
        <v>1658.98</v>
      </c>
      <c r="E27" s="2"/>
      <c r="F27" s="7">
        <f t="shared" si="4"/>
        <v>0</v>
      </c>
      <c r="G27" s="2"/>
      <c r="H27" s="6">
        <v>938.46153846153913</v>
      </c>
      <c r="I27" s="2"/>
      <c r="J27" s="7">
        <f t="shared" si="5"/>
        <v>0</v>
      </c>
      <c r="K27" s="2"/>
      <c r="L27" s="6">
        <f t="shared" si="6"/>
        <v>720.51846153846088</v>
      </c>
      <c r="M27" s="2"/>
      <c r="N27" s="7">
        <f t="shared" si="7"/>
        <v>0.76776557377049059</v>
      </c>
      <c r="O27" s="11"/>
      <c r="P27" s="6">
        <v>4976.9399999999996</v>
      </c>
      <c r="Q27" s="2"/>
      <c r="R27" s="7">
        <f t="shared" si="8"/>
        <v>0</v>
      </c>
      <c r="S27" s="2"/>
      <c r="T27" s="6">
        <v>3049.9999999999977</v>
      </c>
      <c r="U27" s="2"/>
      <c r="V27" s="7">
        <f t="shared" si="9"/>
        <v>0</v>
      </c>
      <c r="W27" s="2"/>
      <c r="X27" s="6">
        <f t="shared" si="10"/>
        <v>1926.9400000000019</v>
      </c>
      <c r="Y27" s="2"/>
      <c r="Z27" s="7">
        <f t="shared" si="11"/>
        <v>0.63178360655737809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6">
        <v>856.8</v>
      </c>
      <c r="E28" s="2"/>
      <c r="F28" s="7">
        <f t="shared" si="4"/>
        <v>0</v>
      </c>
      <c r="G28" s="2"/>
      <c r="H28" s="6">
        <v>596.676923076923</v>
      </c>
      <c r="I28" s="2"/>
      <c r="J28" s="7">
        <f t="shared" si="5"/>
        <v>0</v>
      </c>
      <c r="K28" s="2"/>
      <c r="L28" s="6">
        <f t="shared" si="6"/>
        <v>260.12307692307695</v>
      </c>
      <c r="M28" s="2"/>
      <c r="N28" s="7">
        <f t="shared" si="7"/>
        <v>0.43595297029702978</v>
      </c>
      <c r="O28" s="11"/>
      <c r="P28" s="6">
        <v>2570.4</v>
      </c>
      <c r="Q28" s="2"/>
      <c r="R28" s="7">
        <f t="shared" si="8"/>
        <v>0</v>
      </c>
      <c r="S28" s="2"/>
      <c r="T28" s="6">
        <v>1863.6</v>
      </c>
      <c r="U28" s="2"/>
      <c r="V28" s="7">
        <f t="shared" si="9"/>
        <v>0</v>
      </c>
      <c r="W28" s="2"/>
      <c r="X28" s="6">
        <f t="shared" si="10"/>
        <v>706.80000000000018</v>
      </c>
      <c r="Y28" s="2"/>
      <c r="Z28" s="7">
        <f t="shared" si="11"/>
        <v>0.37926593689632981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6">
        <v>89.28</v>
      </c>
      <c r="E29" s="2"/>
      <c r="F29" s="7">
        <f t="shared" si="4"/>
        <v>0</v>
      </c>
      <c r="G29" s="2"/>
      <c r="H29" s="6">
        <v>350</v>
      </c>
      <c r="I29" s="2"/>
      <c r="J29" s="7">
        <f t="shared" si="5"/>
        <v>0</v>
      </c>
      <c r="K29" s="2"/>
      <c r="L29" s="6">
        <f t="shared" si="6"/>
        <v>-260.72000000000003</v>
      </c>
      <c r="M29" s="2"/>
      <c r="N29" s="7">
        <f t="shared" si="7"/>
        <v>-0.74491428571428575</v>
      </c>
      <c r="O29" s="11"/>
      <c r="P29" s="6">
        <v>156.93</v>
      </c>
      <c r="Q29" s="2"/>
      <c r="R29" s="7">
        <f t="shared" si="8"/>
        <v>0</v>
      </c>
      <c r="S29" s="2"/>
      <c r="T29" s="6">
        <v>1050</v>
      </c>
      <c r="U29" s="2"/>
      <c r="V29" s="7">
        <f t="shared" si="9"/>
        <v>0</v>
      </c>
      <c r="W29" s="2"/>
      <c r="X29" s="6">
        <f t="shared" si="10"/>
        <v>-893.06999999999994</v>
      </c>
      <c r="Y29" s="2"/>
      <c r="Z29" s="7">
        <f t="shared" si="11"/>
        <v>-0.85054285714285705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19036.760000000002</v>
      </c>
      <c r="E30" s="1"/>
      <c r="F30" s="5">
        <f t="shared" ref="F30:F40" si="12">IF(D$12=0,0,D30/D$12)</f>
        <v>0</v>
      </c>
      <c r="G30" s="1"/>
      <c r="H30" s="1">
        <f>SUM(OSRRefH22_1x_0)</f>
        <v>18387.692307692269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649.06769230773352</v>
      </c>
      <c r="M30" s="1"/>
      <c r="N30" s="5">
        <f t="shared" ref="N30:N40" si="15">IF(H30=0,0,L30/H30)</f>
        <v>3.5299029451140204E-2</v>
      </c>
      <c r="O30" s="14"/>
      <c r="P30" s="1">
        <f>SUM(OSRRefP22_1x_0)</f>
        <v>54662.22</v>
      </c>
      <c r="Q30" s="1"/>
      <c r="R30" s="5">
        <f t="shared" ref="R30:R40" si="16">IF(P$12=0,0,P30/P$12)</f>
        <v>0</v>
      </c>
      <c r="S30" s="1"/>
      <c r="T30" s="1">
        <f>SUM(OSRRefT22_1x_0)</f>
        <v>57239.999999999898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-2577.779999999897</v>
      </c>
      <c r="Y30" s="1"/>
      <c r="Z30" s="5">
        <f t="shared" ref="Z30:Z40" si="19">IF(T30=0,0,X30/T30)</f>
        <v>-4.5034591194966833E-2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6">
        <v>14140.28</v>
      </c>
      <c r="E31" s="2"/>
      <c r="F31" s="7">
        <f t="shared" si="12"/>
        <v>0</v>
      </c>
      <c r="G31" s="2"/>
      <c r="H31" s="6">
        <v>12738.461538461499</v>
      </c>
      <c r="I31" s="2"/>
      <c r="J31" s="7">
        <f t="shared" si="13"/>
        <v>0</v>
      </c>
      <c r="K31" s="2"/>
      <c r="L31" s="6">
        <f t="shared" si="14"/>
        <v>1401.8184615385017</v>
      </c>
      <c r="M31" s="2"/>
      <c r="N31" s="7">
        <f t="shared" si="15"/>
        <v>0.11004613526570398</v>
      </c>
      <c r="O31" s="11"/>
      <c r="P31" s="6">
        <v>42421.15</v>
      </c>
      <c r="Q31" s="2"/>
      <c r="R31" s="7">
        <f t="shared" si="16"/>
        <v>0</v>
      </c>
      <c r="S31" s="2"/>
      <c r="T31" s="6">
        <v>41399.999999999898</v>
      </c>
      <c r="U31" s="2"/>
      <c r="V31" s="7">
        <f t="shared" si="17"/>
        <v>0</v>
      </c>
      <c r="W31" s="2"/>
      <c r="X31" s="6">
        <f t="shared" si="18"/>
        <v>1021.1500000001033</v>
      </c>
      <c r="Y31" s="2"/>
      <c r="Z31" s="7">
        <f t="shared" si="19"/>
        <v>2.4665458937200624E-2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6">
        <v>4896.4799999999996</v>
      </c>
      <c r="E32" s="2"/>
      <c r="F32" s="7">
        <f t="shared" si="12"/>
        <v>0</v>
      </c>
      <c r="G32" s="2"/>
      <c r="H32" s="6">
        <v>4529.2307692307704</v>
      </c>
      <c r="I32" s="2"/>
      <c r="J32" s="7">
        <f t="shared" si="13"/>
        <v>0</v>
      </c>
      <c r="K32" s="2"/>
      <c r="L32" s="6">
        <f t="shared" si="14"/>
        <v>367.24923076922914</v>
      </c>
      <c r="M32" s="2"/>
      <c r="N32" s="7">
        <f t="shared" si="15"/>
        <v>8.1084239130434402E-2</v>
      </c>
      <c r="O32" s="11"/>
      <c r="P32" s="6">
        <v>12241.07</v>
      </c>
      <c r="Q32" s="2"/>
      <c r="R32" s="7">
        <f t="shared" si="16"/>
        <v>0</v>
      </c>
      <c r="S32" s="2"/>
      <c r="T32" s="6">
        <v>14720</v>
      </c>
      <c r="U32" s="2"/>
      <c r="V32" s="7">
        <f t="shared" si="17"/>
        <v>0</v>
      </c>
      <c r="W32" s="2"/>
      <c r="X32" s="6">
        <f t="shared" si="18"/>
        <v>-2478.9300000000003</v>
      </c>
      <c r="Y32" s="2"/>
      <c r="Z32" s="7">
        <f t="shared" si="19"/>
        <v>-0.16840557065217393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0</v>
      </c>
      <c r="M35" s="2"/>
      <c r="N35" s="7">
        <f t="shared" si="15"/>
        <v>0</v>
      </c>
      <c r="O35" s="11"/>
      <c r="P35" s="6"/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0</v>
      </c>
      <c r="Y35" s="2"/>
      <c r="Z35" s="7">
        <f t="shared" si="19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1120</v>
      </c>
      <c r="I38" s="2"/>
      <c r="J38" s="7">
        <f t="shared" si="13"/>
        <v>0</v>
      </c>
      <c r="K38" s="2"/>
      <c r="L38" s="6">
        <f t="shared" si="14"/>
        <v>-1120</v>
      </c>
      <c r="M38" s="2"/>
      <c r="N38" s="7">
        <f t="shared" si="15"/>
        <v>-1</v>
      </c>
      <c r="O38" s="11"/>
      <c r="P38" s="6"/>
      <c r="Q38" s="2"/>
      <c r="R38" s="7">
        <f t="shared" si="16"/>
        <v>0</v>
      </c>
      <c r="S38" s="2"/>
      <c r="T38" s="6">
        <v>1120</v>
      </c>
      <c r="U38" s="2"/>
      <c r="V38" s="7">
        <f t="shared" si="17"/>
        <v>0</v>
      </c>
      <c r="W38" s="2"/>
      <c r="X38" s="6">
        <f t="shared" si="18"/>
        <v>-1120</v>
      </c>
      <c r="Y38" s="2"/>
      <c r="Z38" s="7">
        <f t="shared" si="19"/>
        <v>-1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4.95</v>
      </c>
      <c r="E41" s="1"/>
      <c r="F41" s="5">
        <f t="shared" ref="F41:F59" si="20">IF(D$12=0,0,D41/D$12)</f>
        <v>0</v>
      </c>
      <c r="G41" s="1"/>
      <c r="H41" s="1">
        <f>SUM(OSRRefH22_2x_0)</f>
        <v>500</v>
      </c>
      <c r="I41" s="1"/>
      <c r="J41" s="5">
        <f t="shared" ref="J41:J59" si="21">IF(H$12=0,0,H41/H$12)</f>
        <v>0</v>
      </c>
      <c r="K41" s="1"/>
      <c r="L41" s="1">
        <f t="shared" ref="L41:L59" si="22">+D41-H41</f>
        <v>-495.05</v>
      </c>
      <c r="M41" s="1"/>
      <c r="N41" s="5">
        <f t="shared" ref="N41:N59" si="23">IF(H41=0,0,L41/H41)</f>
        <v>-0.99009999999999998</v>
      </c>
      <c r="O41" s="14"/>
      <c r="P41" s="1">
        <f>SUM(OSRRefP22_2x_0)</f>
        <v>66.8</v>
      </c>
      <c r="Q41" s="1"/>
      <c r="R41" s="5">
        <f t="shared" ref="R41:R59" si="24">IF(P$12=0,0,P41/P$12)</f>
        <v>0</v>
      </c>
      <c r="S41" s="1"/>
      <c r="T41" s="1">
        <f>SUM(OSRRefT22_2x_0)</f>
        <v>1500</v>
      </c>
      <c r="U41" s="1"/>
      <c r="V41" s="5">
        <f t="shared" ref="V41:V59" si="25">IF(T$12=0,0,T41/T$12)</f>
        <v>0</v>
      </c>
      <c r="W41" s="1"/>
      <c r="X41" s="1">
        <f t="shared" ref="X41:X59" si="26">+P41-T41</f>
        <v>-1433.2</v>
      </c>
      <c r="Y41" s="1"/>
      <c r="Z41" s="5">
        <f t="shared" ref="Z41:Z59" si="27">IF(T41=0,0,X41/T41)</f>
        <v>-0.95546666666666669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6">
        <v>4.95</v>
      </c>
      <c r="E42" s="2"/>
      <c r="F42" s="7">
        <f t="shared" si="20"/>
        <v>0</v>
      </c>
      <c r="G42" s="2"/>
      <c r="H42" s="6">
        <v>500</v>
      </c>
      <c r="I42" s="2"/>
      <c r="J42" s="7">
        <f t="shared" si="21"/>
        <v>0</v>
      </c>
      <c r="K42" s="2"/>
      <c r="L42" s="6">
        <f t="shared" si="22"/>
        <v>-495.05</v>
      </c>
      <c r="M42" s="2"/>
      <c r="N42" s="7">
        <f t="shared" si="23"/>
        <v>-0.99009999999999998</v>
      </c>
      <c r="O42" s="11"/>
      <c r="P42" s="6">
        <v>66.8</v>
      </c>
      <c r="Q42" s="2"/>
      <c r="R42" s="7">
        <f t="shared" si="24"/>
        <v>0</v>
      </c>
      <c r="S42" s="2"/>
      <c r="T42" s="6">
        <v>1500</v>
      </c>
      <c r="U42" s="2"/>
      <c r="V42" s="7">
        <f t="shared" si="25"/>
        <v>0</v>
      </c>
      <c r="W42" s="2"/>
      <c r="X42" s="6">
        <f t="shared" si="26"/>
        <v>-1433.2</v>
      </c>
      <c r="Y42" s="2"/>
      <c r="Z42" s="7">
        <f t="shared" si="27"/>
        <v>-0.95546666666666669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314.87</v>
      </c>
      <c r="E43" s="1"/>
      <c r="F43" s="5">
        <f t="shared" si="20"/>
        <v>0</v>
      </c>
      <c r="G43" s="1"/>
      <c r="H43" s="1">
        <f>SUM(OSRRefH22_3x_0)</f>
        <v>315</v>
      </c>
      <c r="I43" s="1"/>
      <c r="J43" s="5">
        <f t="shared" si="21"/>
        <v>0</v>
      </c>
      <c r="K43" s="1"/>
      <c r="L43" s="1">
        <f t="shared" si="22"/>
        <v>-0.12999999999999545</v>
      </c>
      <c r="M43" s="1"/>
      <c r="N43" s="5">
        <f t="shared" si="23"/>
        <v>-4.1269841269839827E-4</v>
      </c>
      <c r="O43" s="14"/>
      <c r="P43" s="1">
        <f>SUM(OSRRefP22_3x_0)</f>
        <v>944.61</v>
      </c>
      <c r="Q43" s="1"/>
      <c r="R43" s="5">
        <f t="shared" si="24"/>
        <v>0</v>
      </c>
      <c r="S43" s="1"/>
      <c r="T43" s="1">
        <f>SUM(OSRRefT22_3x_0)</f>
        <v>945</v>
      </c>
      <c r="U43" s="1"/>
      <c r="V43" s="5">
        <f t="shared" si="25"/>
        <v>0</v>
      </c>
      <c r="W43" s="1"/>
      <c r="X43" s="1">
        <f t="shared" si="26"/>
        <v>-0.38999999999998636</v>
      </c>
      <c r="Y43" s="1"/>
      <c r="Z43" s="5">
        <f t="shared" si="27"/>
        <v>-4.1269841269839827E-4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314.87</v>
      </c>
      <c r="E44" s="2"/>
      <c r="F44" s="7">
        <f t="shared" si="20"/>
        <v>0</v>
      </c>
      <c r="G44" s="2"/>
      <c r="H44" s="6">
        <v>315</v>
      </c>
      <c r="I44" s="2"/>
      <c r="J44" s="7">
        <f t="shared" si="21"/>
        <v>0</v>
      </c>
      <c r="K44" s="2"/>
      <c r="L44" s="6">
        <f t="shared" si="22"/>
        <v>-0.12999999999999545</v>
      </c>
      <c r="M44" s="2"/>
      <c r="N44" s="7">
        <f t="shared" si="23"/>
        <v>-4.1269841269839827E-4</v>
      </c>
      <c r="O44" s="11"/>
      <c r="P44" s="6">
        <v>944.61</v>
      </c>
      <c r="Q44" s="2"/>
      <c r="R44" s="7">
        <f t="shared" si="24"/>
        <v>0</v>
      </c>
      <c r="S44" s="2"/>
      <c r="T44" s="6">
        <v>945</v>
      </c>
      <c r="U44" s="2"/>
      <c r="V44" s="7">
        <f t="shared" si="25"/>
        <v>0</v>
      </c>
      <c r="W44" s="2"/>
      <c r="X44" s="6">
        <f t="shared" si="26"/>
        <v>-0.38999999999998636</v>
      </c>
      <c r="Y44" s="2"/>
      <c r="Z44" s="7">
        <f t="shared" si="27"/>
        <v>-4.1269841269839827E-4</v>
      </c>
    </row>
    <row r="45" spans="1:26" s="28" customFormat="1" outlineLevel="1" collapsed="1" x14ac:dyDescent="0.25">
      <c r="A45" s="27"/>
      <c r="B45" s="14" t="str">
        <f>CONCATENATE("     ","Donations                                         ")</f>
        <v xml:space="preserve">     Donations                                         </v>
      </c>
      <c r="C45" s="14"/>
      <c r="D45" s="1">
        <f>SUM(OSRRefD22_4x_0)</f>
        <v>0</v>
      </c>
      <c r="E45" s="1"/>
      <c r="F45" s="5">
        <f t="shared" si="20"/>
        <v>0</v>
      </c>
      <c r="G45" s="1"/>
      <c r="H45" s="1">
        <f>SUM(OSRRefH22_4x_0)</f>
        <v>0</v>
      </c>
      <c r="I45" s="1"/>
      <c r="J45" s="5">
        <f t="shared" si="21"/>
        <v>0</v>
      </c>
      <c r="K45" s="1"/>
      <c r="L45" s="1">
        <f t="shared" si="22"/>
        <v>0</v>
      </c>
      <c r="M45" s="1"/>
      <c r="N45" s="5">
        <f t="shared" si="23"/>
        <v>0</v>
      </c>
      <c r="O45" s="14"/>
      <c r="P45" s="1">
        <f>SUM(OSRRefP22_4x_0)</f>
        <v>0</v>
      </c>
      <c r="Q45" s="1"/>
      <c r="R45" s="5">
        <f t="shared" si="24"/>
        <v>0</v>
      </c>
      <c r="S45" s="1"/>
      <c r="T45" s="1">
        <f>SUM(OSRRefT22_4x_0)</f>
        <v>26500</v>
      </c>
      <c r="U45" s="1"/>
      <c r="V45" s="5">
        <f t="shared" si="25"/>
        <v>0</v>
      </c>
      <c r="W45" s="1"/>
      <c r="X45" s="1">
        <f t="shared" si="26"/>
        <v>-26500</v>
      </c>
      <c r="Y45" s="1"/>
      <c r="Z45" s="5">
        <f t="shared" si="27"/>
        <v>-1</v>
      </c>
    </row>
    <row r="46" spans="1:26" s="24" customFormat="1" hidden="1" outlineLevel="2" x14ac:dyDescent="0.25">
      <c r="A46" s="29"/>
      <c r="B46" s="11" t="str">
        <f>CONCATENATE("          ", "6399", " - ", "DONATION-ON CAMPUS")</f>
        <v xml:space="preserve">          6399 - DONATION-ON CAMPUS</v>
      </c>
      <c r="C46" s="11"/>
      <c r="D46" s="6"/>
      <c r="E46" s="2"/>
      <c r="F46" s="7">
        <f t="shared" si="20"/>
        <v>0</v>
      </c>
      <c r="G46" s="2"/>
      <c r="H46" s="6"/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26500</v>
      </c>
      <c r="U46" s="2"/>
      <c r="V46" s="7">
        <f t="shared" si="25"/>
        <v>0</v>
      </c>
      <c r="W46" s="2"/>
      <c r="X46" s="6">
        <f t="shared" si="26"/>
        <v>-26500</v>
      </c>
      <c r="Y46" s="2"/>
      <c r="Z46" s="7">
        <f t="shared" si="27"/>
        <v>-1</v>
      </c>
    </row>
    <row r="47" spans="1:26" s="28" customFormat="1" outlineLevel="1" collapsed="1" x14ac:dyDescent="0.25">
      <c r="A47" s="27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SUM(OSRRefD22_5x_0)</f>
        <v>0</v>
      </c>
      <c r="E47" s="1"/>
      <c r="F47" s="5">
        <f t="shared" si="20"/>
        <v>0</v>
      </c>
      <c r="G47" s="1"/>
      <c r="H47" s="1">
        <f>SUM(OSRRefH22_5x_0)</f>
        <v>1000</v>
      </c>
      <c r="I47" s="1"/>
      <c r="J47" s="5">
        <f t="shared" si="21"/>
        <v>0</v>
      </c>
      <c r="K47" s="1"/>
      <c r="L47" s="1">
        <f t="shared" si="22"/>
        <v>-1000</v>
      </c>
      <c r="M47" s="1"/>
      <c r="N47" s="5">
        <f t="shared" si="23"/>
        <v>-1</v>
      </c>
      <c r="O47" s="14"/>
      <c r="P47" s="1">
        <f>SUM(OSRRefP22_5x_0)</f>
        <v>0</v>
      </c>
      <c r="Q47" s="1"/>
      <c r="R47" s="5">
        <f t="shared" si="24"/>
        <v>0</v>
      </c>
      <c r="S47" s="1"/>
      <c r="T47" s="1">
        <f>SUM(OSRRefT22_5x_0)</f>
        <v>1000</v>
      </c>
      <c r="U47" s="1"/>
      <c r="V47" s="5">
        <f t="shared" si="25"/>
        <v>0</v>
      </c>
      <c r="W47" s="1"/>
      <c r="X47" s="1">
        <f t="shared" si="26"/>
        <v>-1000</v>
      </c>
      <c r="Y47" s="1"/>
      <c r="Z47" s="5">
        <f t="shared" si="27"/>
        <v>-1</v>
      </c>
    </row>
    <row r="48" spans="1:26" s="24" customFormat="1" hidden="1" outlineLevel="2" x14ac:dyDescent="0.25">
      <c r="A48" s="29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20"/>
        <v>0</v>
      </c>
      <c r="G48" s="2"/>
      <c r="H48" s="6">
        <v>1000</v>
      </c>
      <c r="I48" s="2"/>
      <c r="J48" s="7">
        <f t="shared" si="21"/>
        <v>0</v>
      </c>
      <c r="K48" s="2"/>
      <c r="L48" s="6">
        <f t="shared" si="22"/>
        <v>-1000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1000</v>
      </c>
      <c r="U48" s="2"/>
      <c r="V48" s="7">
        <f t="shared" si="25"/>
        <v>0</v>
      </c>
      <c r="W48" s="2"/>
      <c r="X48" s="6">
        <f t="shared" si="26"/>
        <v>-1000</v>
      </c>
      <c r="Y48" s="2"/>
      <c r="Z48" s="7">
        <f t="shared" si="27"/>
        <v>-1</v>
      </c>
    </row>
    <row r="49" spans="1:26" s="28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SUM(OSRRefD22_6x_0)</f>
        <v>117.71</v>
      </c>
      <c r="E49" s="1"/>
      <c r="F49" s="5">
        <f t="shared" si="20"/>
        <v>0</v>
      </c>
      <c r="G49" s="1"/>
      <c r="H49" s="1">
        <f>SUM(OSRRefH22_6x_0)</f>
        <v>118</v>
      </c>
      <c r="I49" s="1"/>
      <c r="J49" s="5">
        <f t="shared" si="21"/>
        <v>0</v>
      </c>
      <c r="K49" s="1"/>
      <c r="L49" s="1">
        <f t="shared" si="22"/>
        <v>-0.29000000000000625</v>
      </c>
      <c r="M49" s="1"/>
      <c r="N49" s="5">
        <f t="shared" si="23"/>
        <v>-2.457627118644121E-3</v>
      </c>
      <c r="O49" s="14"/>
      <c r="P49" s="1">
        <f>SUM(OSRRefP22_6x_0)</f>
        <v>353.13</v>
      </c>
      <c r="Q49" s="1"/>
      <c r="R49" s="5">
        <f t="shared" si="24"/>
        <v>0</v>
      </c>
      <c r="S49" s="1"/>
      <c r="T49" s="1">
        <f>SUM(OSRRefT22_6x_0)</f>
        <v>354</v>
      </c>
      <c r="U49" s="1"/>
      <c r="V49" s="5">
        <f t="shared" si="25"/>
        <v>0</v>
      </c>
      <c r="W49" s="1"/>
      <c r="X49" s="1">
        <f t="shared" si="26"/>
        <v>-0.87000000000000455</v>
      </c>
      <c r="Y49" s="1"/>
      <c r="Z49" s="5">
        <f t="shared" si="27"/>
        <v>-2.4576271186440807E-3</v>
      </c>
    </row>
    <row r="50" spans="1:26" s="24" customFormat="1" hidden="1" outlineLevel="2" x14ac:dyDescent="0.25">
      <c r="A50" s="29"/>
      <c r="B50" s="11" t="str">
        <f>CONCATENATE("          ", "6351", " - ", "EQUIPMENT RENTAL")</f>
        <v xml:space="preserve">          6351 - EQUIPMENT RENTAL</v>
      </c>
      <c r="C50" s="11"/>
      <c r="D50" s="6">
        <v>117.71</v>
      </c>
      <c r="E50" s="2"/>
      <c r="F50" s="7">
        <f t="shared" si="20"/>
        <v>0</v>
      </c>
      <c r="G50" s="2"/>
      <c r="H50" s="6">
        <v>118</v>
      </c>
      <c r="I50" s="2"/>
      <c r="J50" s="7">
        <f t="shared" si="21"/>
        <v>0</v>
      </c>
      <c r="K50" s="2"/>
      <c r="L50" s="6">
        <f t="shared" si="22"/>
        <v>-0.29000000000000625</v>
      </c>
      <c r="M50" s="2"/>
      <c r="N50" s="7">
        <f t="shared" si="23"/>
        <v>-2.457627118644121E-3</v>
      </c>
      <c r="O50" s="11"/>
      <c r="P50" s="6">
        <v>353.13</v>
      </c>
      <c r="Q50" s="2"/>
      <c r="R50" s="7">
        <f t="shared" si="24"/>
        <v>0</v>
      </c>
      <c r="S50" s="2"/>
      <c r="T50" s="6">
        <v>354</v>
      </c>
      <c r="U50" s="2"/>
      <c r="V50" s="7">
        <f t="shared" si="25"/>
        <v>0</v>
      </c>
      <c r="W50" s="2"/>
      <c r="X50" s="6">
        <f t="shared" si="26"/>
        <v>-0.87000000000000455</v>
      </c>
      <c r="Y50" s="2"/>
      <c r="Z50" s="7">
        <f t="shared" si="27"/>
        <v>-2.4576271186440807E-3</v>
      </c>
    </row>
    <row r="51" spans="1:26" s="28" customFormat="1" outlineLevel="1" collapsed="1" x14ac:dyDescent="0.25">
      <c r="A51" s="27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SUM(OSRRefD22_7x_0)</f>
        <v>24.78</v>
      </c>
      <c r="E51" s="1"/>
      <c r="F51" s="5">
        <f t="shared" si="20"/>
        <v>0</v>
      </c>
      <c r="G51" s="1"/>
      <c r="H51" s="1">
        <f>SUM(OSRRefH22_7x_0)</f>
        <v>15</v>
      </c>
      <c r="I51" s="1"/>
      <c r="J51" s="5">
        <f t="shared" si="21"/>
        <v>0</v>
      </c>
      <c r="K51" s="1"/>
      <c r="L51" s="1">
        <f t="shared" si="22"/>
        <v>9.7800000000000011</v>
      </c>
      <c r="M51" s="1"/>
      <c r="N51" s="5">
        <f t="shared" si="23"/>
        <v>0.65200000000000002</v>
      </c>
      <c r="O51" s="14"/>
      <c r="P51" s="1">
        <f>SUM(OSRRefP22_7x_0)</f>
        <v>24.78</v>
      </c>
      <c r="Q51" s="1"/>
      <c r="R51" s="5">
        <f t="shared" si="24"/>
        <v>0</v>
      </c>
      <c r="S51" s="1"/>
      <c r="T51" s="1">
        <f>SUM(OSRRefT22_7x_0)</f>
        <v>45</v>
      </c>
      <c r="U51" s="1"/>
      <c r="V51" s="5">
        <f t="shared" si="25"/>
        <v>0</v>
      </c>
      <c r="W51" s="1"/>
      <c r="X51" s="1">
        <f t="shared" si="26"/>
        <v>-20.22</v>
      </c>
      <c r="Y51" s="1"/>
      <c r="Z51" s="5">
        <f t="shared" si="27"/>
        <v>-0.44933333333333331</v>
      </c>
    </row>
    <row r="52" spans="1:26" s="24" customFormat="1" hidden="1" outlineLevel="2" x14ac:dyDescent="0.25">
      <c r="A52" s="29"/>
      <c r="B52" s="11" t="str">
        <f>CONCATENATE("          ", "6307", " - ", "POSTAGE")</f>
        <v xml:space="preserve">          6307 - POSTAGE</v>
      </c>
      <c r="C52" s="11"/>
      <c r="D52" s="6">
        <v>24.78</v>
      </c>
      <c r="E52" s="2"/>
      <c r="F52" s="7">
        <f t="shared" si="20"/>
        <v>0</v>
      </c>
      <c r="G52" s="2"/>
      <c r="H52" s="6">
        <v>15</v>
      </c>
      <c r="I52" s="2"/>
      <c r="J52" s="7">
        <f t="shared" si="21"/>
        <v>0</v>
      </c>
      <c r="K52" s="2"/>
      <c r="L52" s="6">
        <f t="shared" si="22"/>
        <v>9.7800000000000011</v>
      </c>
      <c r="M52" s="2"/>
      <c r="N52" s="7">
        <f t="shared" si="23"/>
        <v>0.65200000000000002</v>
      </c>
      <c r="O52" s="11"/>
      <c r="P52" s="6">
        <v>24.78</v>
      </c>
      <c r="Q52" s="2"/>
      <c r="R52" s="7">
        <f t="shared" si="24"/>
        <v>0</v>
      </c>
      <c r="S52" s="2"/>
      <c r="T52" s="6">
        <v>45</v>
      </c>
      <c r="U52" s="2"/>
      <c r="V52" s="7">
        <f t="shared" si="25"/>
        <v>0</v>
      </c>
      <c r="W52" s="2"/>
      <c r="X52" s="6">
        <f t="shared" si="26"/>
        <v>-20.22</v>
      </c>
      <c r="Y52" s="2"/>
      <c r="Z52" s="7">
        <f t="shared" si="27"/>
        <v>-0.44933333333333331</v>
      </c>
    </row>
    <row r="53" spans="1:26" s="28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SUM(OSRRefD22_8x_0)</f>
        <v>0</v>
      </c>
      <c r="E53" s="1"/>
      <c r="F53" s="5">
        <f t="shared" si="20"/>
        <v>0</v>
      </c>
      <c r="G53" s="1"/>
      <c r="H53" s="1">
        <f>SUM(OSRRefH22_8x_0)</f>
        <v>500</v>
      </c>
      <c r="I53" s="1"/>
      <c r="J53" s="5">
        <f t="shared" si="21"/>
        <v>0</v>
      </c>
      <c r="K53" s="1"/>
      <c r="L53" s="1">
        <f t="shared" si="22"/>
        <v>-500</v>
      </c>
      <c r="M53" s="1"/>
      <c r="N53" s="5">
        <f t="shared" si="23"/>
        <v>-1</v>
      </c>
      <c r="O53" s="14"/>
      <c r="P53" s="1">
        <f>SUM(OSRRefP22_8x_0)</f>
        <v>0</v>
      </c>
      <c r="Q53" s="1"/>
      <c r="R53" s="5">
        <f t="shared" si="24"/>
        <v>0</v>
      </c>
      <c r="S53" s="1"/>
      <c r="T53" s="1">
        <f>SUM(OSRRefT22_8x_0)</f>
        <v>500</v>
      </c>
      <c r="U53" s="1"/>
      <c r="V53" s="5">
        <f t="shared" si="25"/>
        <v>0</v>
      </c>
      <c r="W53" s="1"/>
      <c r="X53" s="1">
        <f t="shared" si="26"/>
        <v>-500</v>
      </c>
      <c r="Y53" s="1"/>
      <c r="Z53" s="5">
        <f t="shared" si="27"/>
        <v>-1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0"/>
        <v>0</v>
      </c>
      <c r="G54" s="2"/>
      <c r="H54" s="6">
        <v>500</v>
      </c>
      <c r="I54" s="2"/>
      <c r="J54" s="7">
        <f t="shared" si="21"/>
        <v>0</v>
      </c>
      <c r="K54" s="2"/>
      <c r="L54" s="6">
        <f t="shared" si="22"/>
        <v>-500</v>
      </c>
      <c r="M54" s="2"/>
      <c r="N54" s="7">
        <f t="shared" si="23"/>
        <v>-1</v>
      </c>
      <c r="O54" s="11"/>
      <c r="P54" s="6"/>
      <c r="Q54" s="2"/>
      <c r="R54" s="7">
        <f t="shared" si="24"/>
        <v>0</v>
      </c>
      <c r="S54" s="2"/>
      <c r="T54" s="6">
        <v>500</v>
      </c>
      <c r="U54" s="2"/>
      <c r="V54" s="7">
        <f t="shared" si="25"/>
        <v>0</v>
      </c>
      <c r="W54" s="2"/>
      <c r="X54" s="6">
        <f t="shared" si="26"/>
        <v>-500</v>
      </c>
      <c r="Y54" s="2"/>
      <c r="Z54" s="7">
        <f t="shared" si="27"/>
        <v>-1</v>
      </c>
    </row>
    <row r="55" spans="1:26" s="28" customFormat="1" outlineLevel="1" collapsed="1" x14ac:dyDescent="0.25">
      <c r="A55" s="27"/>
      <c r="B55" s="14" t="str">
        <f>CONCATENATE("     ","Insurance                                         ")</f>
        <v xml:space="preserve">     Insurance                                         </v>
      </c>
      <c r="C55" s="14"/>
      <c r="D55" s="1">
        <f>SUM(OSRRefD22_9x_0)</f>
        <v>115.13</v>
      </c>
      <c r="E55" s="1"/>
      <c r="F55" s="5">
        <f t="shared" si="20"/>
        <v>0</v>
      </c>
      <c r="G55" s="1"/>
      <c r="H55" s="1">
        <f>SUM(OSRRefH22_9x_0)</f>
        <v>126</v>
      </c>
      <c r="I55" s="1"/>
      <c r="J55" s="5">
        <f t="shared" si="21"/>
        <v>0</v>
      </c>
      <c r="K55" s="1"/>
      <c r="L55" s="1">
        <f t="shared" si="22"/>
        <v>-10.870000000000005</v>
      </c>
      <c r="M55" s="1"/>
      <c r="N55" s="5">
        <f t="shared" si="23"/>
        <v>-8.6269841269841302E-2</v>
      </c>
      <c r="O55" s="14"/>
      <c r="P55" s="1">
        <f>SUM(OSRRefP22_9x_0)</f>
        <v>345.39</v>
      </c>
      <c r="Q55" s="1"/>
      <c r="R55" s="5">
        <f t="shared" si="24"/>
        <v>0</v>
      </c>
      <c r="S55" s="1"/>
      <c r="T55" s="1">
        <f>SUM(OSRRefT22_9x_0)</f>
        <v>378</v>
      </c>
      <c r="U55" s="1"/>
      <c r="V55" s="5">
        <f t="shared" si="25"/>
        <v>0</v>
      </c>
      <c r="W55" s="1"/>
      <c r="X55" s="1">
        <f t="shared" si="26"/>
        <v>-32.610000000000014</v>
      </c>
      <c r="Y55" s="1"/>
      <c r="Z55" s="5">
        <f t="shared" si="27"/>
        <v>-8.6269841269841302E-2</v>
      </c>
    </row>
    <row r="56" spans="1:26" s="24" customFormat="1" hidden="1" outlineLevel="2" x14ac:dyDescent="0.25">
      <c r="A56" s="29"/>
      <c r="B56" s="11" t="str">
        <f>CONCATENATE("          ", "6314", " - ", "LIABILITY INSURANCE")</f>
        <v xml:space="preserve">          6314 - LIABILITY INSURANCE</v>
      </c>
      <c r="C56" s="11"/>
      <c r="D56" s="6">
        <v>115.13</v>
      </c>
      <c r="E56" s="2"/>
      <c r="F56" s="7">
        <f t="shared" si="20"/>
        <v>0</v>
      </c>
      <c r="G56" s="2"/>
      <c r="H56" s="6">
        <v>126</v>
      </c>
      <c r="I56" s="2"/>
      <c r="J56" s="7">
        <f t="shared" si="21"/>
        <v>0</v>
      </c>
      <c r="K56" s="2"/>
      <c r="L56" s="6">
        <f t="shared" si="22"/>
        <v>-10.870000000000005</v>
      </c>
      <c r="M56" s="2"/>
      <c r="N56" s="7">
        <f t="shared" si="23"/>
        <v>-8.6269841269841302E-2</v>
      </c>
      <c r="O56" s="11"/>
      <c r="P56" s="6">
        <v>345.39</v>
      </c>
      <c r="Q56" s="2"/>
      <c r="R56" s="7">
        <f t="shared" si="24"/>
        <v>0</v>
      </c>
      <c r="S56" s="2"/>
      <c r="T56" s="6">
        <v>378</v>
      </c>
      <c r="U56" s="2"/>
      <c r="V56" s="7">
        <f t="shared" si="25"/>
        <v>0</v>
      </c>
      <c r="W56" s="2"/>
      <c r="X56" s="6">
        <f t="shared" si="26"/>
        <v>-32.610000000000014</v>
      </c>
      <c r="Y56" s="2"/>
      <c r="Z56" s="7">
        <f t="shared" si="27"/>
        <v>-8.6269841269841302E-2</v>
      </c>
    </row>
    <row r="57" spans="1:26" s="28" customFormat="1" outlineLevel="1" collapsed="1" x14ac:dyDescent="0.25">
      <c r="A57" s="27"/>
      <c r="B57" s="14" t="str">
        <f>CONCATENATE("     ","Professional Services                             ")</f>
        <v xml:space="preserve">     Professional Services                             </v>
      </c>
      <c r="C57" s="14"/>
      <c r="D57" s="1">
        <f>SUM(OSRRefD22_10x_0)</f>
        <v>8500</v>
      </c>
      <c r="E57" s="1"/>
      <c r="F57" s="5">
        <f t="shared" si="20"/>
        <v>0</v>
      </c>
      <c r="G57" s="1"/>
      <c r="H57" s="1">
        <f>SUM(OSRRefH22_10x_0)</f>
        <v>13500</v>
      </c>
      <c r="I57" s="1"/>
      <c r="J57" s="5">
        <f t="shared" si="21"/>
        <v>0</v>
      </c>
      <c r="K57" s="1"/>
      <c r="L57" s="1">
        <f t="shared" si="22"/>
        <v>-5000</v>
      </c>
      <c r="M57" s="1"/>
      <c r="N57" s="5">
        <f t="shared" si="23"/>
        <v>-0.37037037037037035</v>
      </c>
      <c r="O57" s="14"/>
      <c r="P57" s="1">
        <f>SUM(OSRRefP22_10x_0)</f>
        <v>9650</v>
      </c>
      <c r="Q57" s="1"/>
      <c r="R57" s="5">
        <f t="shared" si="24"/>
        <v>0</v>
      </c>
      <c r="S57" s="1"/>
      <c r="T57" s="1">
        <f>SUM(OSRRefT22_10x_0)</f>
        <v>13500</v>
      </c>
      <c r="U57" s="1"/>
      <c r="V57" s="5">
        <f t="shared" si="25"/>
        <v>0</v>
      </c>
      <c r="W57" s="1"/>
      <c r="X57" s="1">
        <f t="shared" si="26"/>
        <v>-3850</v>
      </c>
      <c r="Y57" s="1"/>
      <c r="Z57" s="5">
        <f t="shared" si="27"/>
        <v>-0.28518518518518521</v>
      </c>
    </row>
    <row r="58" spans="1:26" s="24" customFormat="1" hidden="1" outlineLevel="2" x14ac:dyDescent="0.25">
      <c r="A58" s="29"/>
      <c r="B58" s="11" t="str">
        <f>CONCATENATE("          ", "6331", " - ", "INDIRECT COSTS-AUXILIARY ORGAN")</f>
        <v xml:space="preserve">          6331 - INDIRECT COSTS-AUXILIARY ORGAN</v>
      </c>
      <c r="C58" s="11"/>
      <c r="D58" s="6">
        <v>8500</v>
      </c>
      <c r="E58" s="2"/>
      <c r="F58" s="7">
        <f t="shared" si="20"/>
        <v>0</v>
      </c>
      <c r="G58" s="2"/>
      <c r="H58" s="6">
        <v>12000</v>
      </c>
      <c r="I58" s="2"/>
      <c r="J58" s="7">
        <f t="shared" si="21"/>
        <v>0</v>
      </c>
      <c r="K58" s="2"/>
      <c r="L58" s="6">
        <f t="shared" si="22"/>
        <v>-3500</v>
      </c>
      <c r="M58" s="2"/>
      <c r="N58" s="7">
        <f t="shared" si="23"/>
        <v>-0.29166666666666669</v>
      </c>
      <c r="O58" s="11"/>
      <c r="P58" s="6">
        <v>8500</v>
      </c>
      <c r="Q58" s="2"/>
      <c r="R58" s="7">
        <f t="shared" si="24"/>
        <v>0</v>
      </c>
      <c r="S58" s="2"/>
      <c r="T58" s="6">
        <v>12000</v>
      </c>
      <c r="U58" s="2"/>
      <c r="V58" s="7">
        <f t="shared" si="25"/>
        <v>0</v>
      </c>
      <c r="W58" s="2"/>
      <c r="X58" s="6">
        <f t="shared" si="26"/>
        <v>-3500</v>
      </c>
      <c r="Y58" s="2"/>
      <c r="Z58" s="7">
        <f t="shared" si="27"/>
        <v>-0.29166666666666669</v>
      </c>
    </row>
    <row r="59" spans="1:26" s="24" customFormat="1" hidden="1" outlineLevel="2" x14ac:dyDescent="0.25">
      <c r="A59" s="29"/>
      <c r="B59" s="11" t="str">
        <f>CONCATENATE("          ", "6334", " - ", "LEGAL COUNCIL EXPENSE")</f>
        <v xml:space="preserve">          6334 - LEGAL COUNCIL EXPENSE</v>
      </c>
      <c r="C59" s="11"/>
      <c r="D59" s="6"/>
      <c r="E59" s="2"/>
      <c r="F59" s="7">
        <f t="shared" si="20"/>
        <v>0</v>
      </c>
      <c r="G59" s="2"/>
      <c r="H59" s="6">
        <v>1500</v>
      </c>
      <c r="I59" s="2"/>
      <c r="J59" s="7">
        <f t="shared" si="21"/>
        <v>0</v>
      </c>
      <c r="K59" s="2"/>
      <c r="L59" s="6">
        <f t="shared" si="22"/>
        <v>-1500</v>
      </c>
      <c r="M59" s="2"/>
      <c r="N59" s="7">
        <f t="shared" si="23"/>
        <v>-1</v>
      </c>
      <c r="O59" s="11"/>
      <c r="P59" s="6">
        <v>1150</v>
      </c>
      <c r="Q59" s="2"/>
      <c r="R59" s="7">
        <f t="shared" si="24"/>
        <v>0</v>
      </c>
      <c r="S59" s="2"/>
      <c r="T59" s="6">
        <v>1500</v>
      </c>
      <c r="U59" s="2"/>
      <c r="V59" s="7">
        <f t="shared" si="25"/>
        <v>0</v>
      </c>
      <c r="W59" s="2"/>
      <c r="X59" s="6">
        <f t="shared" si="26"/>
        <v>-350</v>
      </c>
      <c r="Y59" s="2"/>
      <c r="Z59" s="7">
        <f t="shared" si="27"/>
        <v>-0.23333333333333334</v>
      </c>
    </row>
    <row r="60" spans="1:26" s="28" customFormat="1" outlineLevel="1" collapsed="1" x14ac:dyDescent="0.25">
      <c r="A60" s="27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SUM(OSRRefD22_11x_0)</f>
        <v>1484.15</v>
      </c>
      <c r="E60" s="1"/>
      <c r="F60" s="5">
        <f t="shared" ref="F60:F67" si="28">IF(D$12=0,0,D60/D$12)</f>
        <v>0</v>
      </c>
      <c r="G60" s="1"/>
      <c r="H60" s="1">
        <f>SUM(OSRRefH22_11x_0)</f>
        <v>2182</v>
      </c>
      <c r="I60" s="1"/>
      <c r="J60" s="5">
        <f t="shared" ref="J60:J67" si="29">IF(H$12=0,0,H60/H$12)</f>
        <v>0</v>
      </c>
      <c r="K60" s="1"/>
      <c r="L60" s="1">
        <f t="shared" ref="L60:L67" si="30">+D60-H60</f>
        <v>-697.84999999999991</v>
      </c>
      <c r="M60" s="1"/>
      <c r="N60" s="5">
        <f t="shared" ref="N60:N67" si="31">IF(H60=0,0,L60/H60)</f>
        <v>-0.31982126489459206</v>
      </c>
      <c r="O60" s="14"/>
      <c r="P60" s="1">
        <f>SUM(OSRRefP22_11x_0)</f>
        <v>6636.88</v>
      </c>
      <c r="Q60" s="1"/>
      <c r="R60" s="5">
        <f t="shared" ref="R60:R67" si="32">IF(P$12=0,0,P60/P$12)</f>
        <v>0</v>
      </c>
      <c r="S60" s="1"/>
      <c r="T60" s="1">
        <f>SUM(OSRRefT22_11x_0)</f>
        <v>6546</v>
      </c>
      <c r="U60" s="1"/>
      <c r="V60" s="5">
        <f t="shared" ref="V60:V67" si="33">IF(T$12=0,0,T60/T$12)</f>
        <v>0</v>
      </c>
      <c r="W60" s="1"/>
      <c r="X60" s="1">
        <f t="shared" ref="X60:X67" si="34">+P60-T60</f>
        <v>90.880000000000109</v>
      </c>
      <c r="Y60" s="1"/>
      <c r="Z60" s="5">
        <f t="shared" ref="Z60:Z67" si="35">IF(T60=0,0,X60/T60)</f>
        <v>1.3883287503819142E-2</v>
      </c>
    </row>
    <row r="61" spans="1:26" s="24" customFormat="1" hidden="1" outlineLevel="2" x14ac:dyDescent="0.25">
      <c r="A61" s="29"/>
      <c r="B61" s="11" t="str">
        <f>CONCATENATE("          ", "6373", " - ", "MAINTENANCE CONTRACTS")</f>
        <v xml:space="preserve">          6373 - MAINTENANCE CONTRACTS</v>
      </c>
      <c r="C61" s="11"/>
      <c r="D61" s="6">
        <v>1484.15</v>
      </c>
      <c r="E61" s="2"/>
      <c r="F61" s="7">
        <f t="shared" si="28"/>
        <v>0</v>
      </c>
      <c r="G61" s="2"/>
      <c r="H61" s="6">
        <v>2182</v>
      </c>
      <c r="I61" s="2"/>
      <c r="J61" s="7">
        <f t="shared" si="29"/>
        <v>0</v>
      </c>
      <c r="K61" s="2"/>
      <c r="L61" s="6">
        <f t="shared" si="30"/>
        <v>-697.84999999999991</v>
      </c>
      <c r="M61" s="2"/>
      <c r="N61" s="7">
        <f t="shared" si="31"/>
        <v>-0.31982126489459206</v>
      </c>
      <c r="O61" s="11"/>
      <c r="P61" s="6">
        <v>6636.88</v>
      </c>
      <c r="Q61" s="2"/>
      <c r="R61" s="7">
        <f t="shared" si="32"/>
        <v>0</v>
      </c>
      <c r="S61" s="2"/>
      <c r="T61" s="6">
        <v>6546</v>
      </c>
      <c r="U61" s="2"/>
      <c r="V61" s="7">
        <f t="shared" si="33"/>
        <v>0</v>
      </c>
      <c r="W61" s="2"/>
      <c r="X61" s="6">
        <f t="shared" si="34"/>
        <v>90.880000000000109</v>
      </c>
      <c r="Y61" s="2"/>
      <c r="Z61" s="7">
        <f t="shared" si="35"/>
        <v>1.3883287503819142E-2</v>
      </c>
    </row>
    <row r="62" spans="1:26" s="28" customFormat="1" outlineLevel="1" collapsed="1" x14ac:dyDescent="0.25">
      <c r="A62" s="27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SUM(OSRRefD22_12x_0)</f>
        <v>0</v>
      </c>
      <c r="E62" s="1"/>
      <c r="F62" s="5">
        <f t="shared" si="28"/>
        <v>0</v>
      </c>
      <c r="G62" s="1"/>
      <c r="H62" s="1">
        <f>SUM(OSRRefH22_12x_0)</f>
        <v>0</v>
      </c>
      <c r="I62" s="1"/>
      <c r="J62" s="5">
        <f t="shared" si="29"/>
        <v>0</v>
      </c>
      <c r="K62" s="1"/>
      <c r="L62" s="1">
        <f t="shared" si="30"/>
        <v>0</v>
      </c>
      <c r="M62" s="1"/>
      <c r="N62" s="5">
        <f t="shared" si="31"/>
        <v>0</v>
      </c>
      <c r="O62" s="14"/>
      <c r="P62" s="1">
        <f>SUM(OSRRefP22_12x_0)</f>
        <v>1725</v>
      </c>
      <c r="Q62" s="1"/>
      <c r="R62" s="5">
        <f t="shared" si="32"/>
        <v>0</v>
      </c>
      <c r="S62" s="1"/>
      <c r="T62" s="1">
        <f>SUM(OSRRefT22_12x_0)</f>
        <v>1250</v>
      </c>
      <c r="U62" s="1"/>
      <c r="V62" s="5">
        <f t="shared" si="33"/>
        <v>0</v>
      </c>
      <c r="W62" s="1"/>
      <c r="X62" s="1">
        <f t="shared" si="34"/>
        <v>475</v>
      </c>
      <c r="Y62" s="1"/>
      <c r="Z62" s="5">
        <f t="shared" si="35"/>
        <v>0.38</v>
      </c>
    </row>
    <row r="63" spans="1:26" s="24" customFormat="1" hidden="1" outlineLevel="2" x14ac:dyDescent="0.25">
      <c r="A63" s="29"/>
      <c r="B63" s="11" t="str">
        <f>CONCATENATE("          ", "6258", " - ", "MEMBERSHIP DUES")</f>
        <v xml:space="preserve">          6258 - MEMBERSHIP DUES</v>
      </c>
      <c r="C63" s="11"/>
      <c r="D63" s="6"/>
      <c r="E63" s="2"/>
      <c r="F63" s="7">
        <f t="shared" si="28"/>
        <v>0</v>
      </c>
      <c r="G63" s="2"/>
      <c r="H63" s="6"/>
      <c r="I63" s="2"/>
      <c r="J63" s="7">
        <f t="shared" si="29"/>
        <v>0</v>
      </c>
      <c r="K63" s="2"/>
      <c r="L63" s="6">
        <f t="shared" si="30"/>
        <v>0</v>
      </c>
      <c r="M63" s="2"/>
      <c r="N63" s="7">
        <f t="shared" si="31"/>
        <v>0</v>
      </c>
      <c r="O63" s="11"/>
      <c r="P63" s="6">
        <v>1725</v>
      </c>
      <c r="Q63" s="2"/>
      <c r="R63" s="7">
        <f t="shared" si="32"/>
        <v>0</v>
      </c>
      <c r="S63" s="2"/>
      <c r="T63" s="6">
        <v>1250</v>
      </c>
      <c r="U63" s="2"/>
      <c r="V63" s="7">
        <f t="shared" si="33"/>
        <v>0</v>
      </c>
      <c r="W63" s="2"/>
      <c r="X63" s="6">
        <f t="shared" si="34"/>
        <v>475</v>
      </c>
      <c r="Y63" s="2"/>
      <c r="Z63" s="7">
        <f t="shared" si="35"/>
        <v>0.38</v>
      </c>
    </row>
    <row r="64" spans="1:26" s="28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SUM(OSRRefD22_13x_0)</f>
        <v>154.93</v>
      </c>
      <c r="E64" s="1"/>
      <c r="F64" s="5">
        <f t="shared" si="28"/>
        <v>0</v>
      </c>
      <c r="G64" s="1"/>
      <c r="H64" s="1">
        <f>SUM(OSRRefH22_13x_0)</f>
        <v>1500</v>
      </c>
      <c r="I64" s="1"/>
      <c r="J64" s="5">
        <f t="shared" si="29"/>
        <v>0</v>
      </c>
      <c r="K64" s="1"/>
      <c r="L64" s="1">
        <f t="shared" si="30"/>
        <v>-1345.07</v>
      </c>
      <c r="M64" s="1"/>
      <c r="N64" s="5">
        <f t="shared" si="31"/>
        <v>-0.89671333333333325</v>
      </c>
      <c r="O64" s="14"/>
      <c r="P64" s="1">
        <f>SUM(OSRRefP22_13x_0)</f>
        <v>286.94</v>
      </c>
      <c r="Q64" s="1"/>
      <c r="R64" s="5">
        <f t="shared" si="32"/>
        <v>0</v>
      </c>
      <c r="S64" s="1"/>
      <c r="T64" s="1">
        <f>SUM(OSRRefT22_13x_0)</f>
        <v>6000</v>
      </c>
      <c r="U64" s="1"/>
      <c r="V64" s="5">
        <f t="shared" si="33"/>
        <v>0</v>
      </c>
      <c r="W64" s="1"/>
      <c r="X64" s="1">
        <f t="shared" si="34"/>
        <v>-5713.06</v>
      </c>
      <c r="Y64" s="1"/>
      <c r="Z64" s="5">
        <f t="shared" si="35"/>
        <v>-0.95217666666666678</v>
      </c>
    </row>
    <row r="65" spans="1:26" s="24" customFormat="1" hidden="1" outlineLevel="2" x14ac:dyDescent="0.25">
      <c r="A65" s="29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28"/>
        <v>0</v>
      </c>
      <c r="G65" s="2"/>
      <c r="H65" s="6">
        <v>1000</v>
      </c>
      <c r="I65" s="2"/>
      <c r="J65" s="7">
        <f t="shared" si="29"/>
        <v>0</v>
      </c>
      <c r="K65" s="2"/>
      <c r="L65" s="6">
        <f t="shared" si="30"/>
        <v>-1000</v>
      </c>
      <c r="M65" s="2"/>
      <c r="N65" s="7">
        <f t="shared" si="31"/>
        <v>-1</v>
      </c>
      <c r="O65" s="11"/>
      <c r="P65" s="6"/>
      <c r="Q65" s="2"/>
      <c r="R65" s="7">
        <f t="shared" si="32"/>
        <v>0</v>
      </c>
      <c r="S65" s="2"/>
      <c r="T65" s="6">
        <v>3000</v>
      </c>
      <c r="U65" s="2"/>
      <c r="V65" s="7">
        <f t="shared" si="33"/>
        <v>0</v>
      </c>
      <c r="W65" s="2"/>
      <c r="X65" s="6">
        <f t="shared" si="34"/>
        <v>-3000</v>
      </c>
      <c r="Y65" s="2"/>
      <c r="Z65" s="7">
        <f t="shared" si="35"/>
        <v>-1</v>
      </c>
    </row>
    <row r="66" spans="1:26" s="24" customFormat="1" hidden="1" outlineLevel="2" x14ac:dyDescent="0.25">
      <c r="A66" s="29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28"/>
        <v>0</v>
      </c>
      <c r="G66" s="2"/>
      <c r="H66" s="6">
        <v>500</v>
      </c>
      <c r="I66" s="2"/>
      <c r="J66" s="7">
        <f t="shared" si="29"/>
        <v>0</v>
      </c>
      <c r="K66" s="2"/>
      <c r="L66" s="6">
        <f t="shared" si="30"/>
        <v>-500</v>
      </c>
      <c r="M66" s="2"/>
      <c r="N66" s="7">
        <f t="shared" si="31"/>
        <v>-1</v>
      </c>
      <c r="O66" s="11"/>
      <c r="P66" s="6">
        <v>106.94</v>
      </c>
      <c r="Q66" s="2"/>
      <c r="R66" s="7">
        <f t="shared" si="32"/>
        <v>0</v>
      </c>
      <c r="S66" s="2"/>
      <c r="T66" s="6">
        <v>500</v>
      </c>
      <c r="U66" s="2"/>
      <c r="V66" s="7">
        <f t="shared" si="33"/>
        <v>0</v>
      </c>
      <c r="W66" s="2"/>
      <c r="X66" s="6">
        <f t="shared" si="34"/>
        <v>-393.06</v>
      </c>
      <c r="Y66" s="2"/>
      <c r="Z66" s="7">
        <f t="shared" si="35"/>
        <v>-0.78612000000000004</v>
      </c>
    </row>
    <row r="67" spans="1:26" s="24" customFormat="1" hidden="1" outlineLevel="2" x14ac:dyDescent="0.25">
      <c r="A67" s="29"/>
      <c r="B67" s="11" t="str">
        <f>CONCATENATE("          ", "6241", " - ", "OFFICE EXPENSE")</f>
        <v xml:space="preserve">          6241 - OFFICE EXPENSE</v>
      </c>
      <c r="C67" s="11"/>
      <c r="D67" s="6">
        <v>154.93</v>
      </c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154.93</v>
      </c>
      <c r="M67" s="2"/>
      <c r="N67" s="7">
        <f t="shared" si="31"/>
        <v>0</v>
      </c>
      <c r="O67" s="11"/>
      <c r="P67" s="6">
        <v>180</v>
      </c>
      <c r="Q67" s="2"/>
      <c r="R67" s="7">
        <f t="shared" si="32"/>
        <v>0</v>
      </c>
      <c r="S67" s="2"/>
      <c r="T67" s="6">
        <v>2500</v>
      </c>
      <c r="U67" s="2"/>
      <c r="V67" s="7">
        <f t="shared" si="33"/>
        <v>0</v>
      </c>
      <c r="W67" s="2"/>
      <c r="X67" s="6">
        <f t="shared" si="34"/>
        <v>-2320</v>
      </c>
      <c r="Y67" s="2"/>
      <c r="Z67" s="7">
        <f t="shared" si="35"/>
        <v>-0.92800000000000005</v>
      </c>
    </row>
    <row r="68" spans="1:26" s="28" customFormat="1" outlineLevel="1" collapsed="1" x14ac:dyDescent="0.25">
      <c r="A68" s="27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SUM(OSRRefD22_14x_0)</f>
        <v>460.64</v>
      </c>
      <c r="E68" s="1"/>
      <c r="F68" s="5">
        <f t="shared" ref="F68:F71" si="36">IF(D$12=0,0,D68/D$12)</f>
        <v>0</v>
      </c>
      <c r="G68" s="1"/>
      <c r="H68" s="1">
        <f>SUM(OSRRefH22_14x_0)</f>
        <v>350</v>
      </c>
      <c r="I68" s="1"/>
      <c r="J68" s="5">
        <f t="shared" ref="J68:J71" si="37">IF(H$12=0,0,H68/H$12)</f>
        <v>0</v>
      </c>
      <c r="K68" s="1"/>
      <c r="L68" s="1">
        <f t="shared" ref="L68:L71" si="38">+D68-H68</f>
        <v>110.63999999999999</v>
      </c>
      <c r="M68" s="1"/>
      <c r="N68" s="5">
        <f t="shared" ref="N68:N71" si="39">IF(H68=0,0,L68/H68)</f>
        <v>0.31611428571428568</v>
      </c>
      <c r="O68" s="14"/>
      <c r="P68" s="1">
        <f>SUM(OSRRefP22_14x_0)</f>
        <v>1068.06</v>
      </c>
      <c r="Q68" s="1"/>
      <c r="R68" s="5">
        <f t="shared" ref="R68:R71" si="40">IF(P$12=0,0,P68/P$12)</f>
        <v>0</v>
      </c>
      <c r="S68" s="1"/>
      <c r="T68" s="1">
        <f>SUM(OSRRefT22_14x_0)</f>
        <v>1050</v>
      </c>
      <c r="U68" s="1"/>
      <c r="V68" s="5">
        <f t="shared" ref="V68:V71" si="41">IF(T$12=0,0,T68/T$12)</f>
        <v>0</v>
      </c>
      <c r="W68" s="1"/>
      <c r="X68" s="1">
        <f t="shared" ref="X68:X71" si="42">+P68-T68</f>
        <v>18.059999999999945</v>
      </c>
      <c r="Y68" s="1"/>
      <c r="Z68" s="5">
        <f t="shared" ref="Z68:Z71" si="43">IF(T68=0,0,X68/T68)</f>
        <v>1.7199999999999948E-2</v>
      </c>
    </row>
    <row r="69" spans="1:26" s="24" customFormat="1" hidden="1" outlineLevel="2" x14ac:dyDescent="0.25">
      <c r="A69" s="29"/>
      <c r="B69" s="11" t="str">
        <f>CONCATENATE("          ", "6309", " - ", "TELEPHONE")</f>
        <v xml:space="preserve">          6309 - TELEPHONE</v>
      </c>
      <c r="C69" s="11"/>
      <c r="D69" s="6">
        <v>460.64</v>
      </c>
      <c r="E69" s="2"/>
      <c r="F69" s="7">
        <f t="shared" si="36"/>
        <v>0</v>
      </c>
      <c r="G69" s="2"/>
      <c r="H69" s="6">
        <v>350</v>
      </c>
      <c r="I69" s="2"/>
      <c r="J69" s="7">
        <f t="shared" si="37"/>
        <v>0</v>
      </c>
      <c r="K69" s="2"/>
      <c r="L69" s="6">
        <f t="shared" si="38"/>
        <v>110.63999999999999</v>
      </c>
      <c r="M69" s="2"/>
      <c r="N69" s="7">
        <f t="shared" si="39"/>
        <v>0.31611428571428568</v>
      </c>
      <c r="O69" s="11"/>
      <c r="P69" s="6">
        <v>1068.06</v>
      </c>
      <c r="Q69" s="2"/>
      <c r="R69" s="7">
        <f t="shared" si="40"/>
        <v>0</v>
      </c>
      <c r="S69" s="2"/>
      <c r="T69" s="6">
        <v>1050</v>
      </c>
      <c r="U69" s="2"/>
      <c r="V69" s="7">
        <f t="shared" si="41"/>
        <v>0</v>
      </c>
      <c r="W69" s="2"/>
      <c r="X69" s="6">
        <f t="shared" si="42"/>
        <v>18.059999999999945</v>
      </c>
      <c r="Y69" s="2"/>
      <c r="Z69" s="7">
        <f t="shared" si="43"/>
        <v>1.7199999999999948E-2</v>
      </c>
    </row>
    <row r="70" spans="1:26" s="28" customFormat="1" outlineLevel="1" collapsed="1" x14ac:dyDescent="0.25">
      <c r="A70" s="27"/>
      <c r="B70" s="14" t="str">
        <f>CONCATENATE("     ","Travel                                            ")</f>
        <v xml:space="preserve">     Travel                                            </v>
      </c>
      <c r="C70" s="14"/>
      <c r="D70" s="1">
        <f>SUM(OSRRefD22_15x_0)</f>
        <v>0</v>
      </c>
      <c r="E70" s="1"/>
      <c r="F70" s="5">
        <f t="shared" si="36"/>
        <v>0</v>
      </c>
      <c r="G70" s="1"/>
      <c r="H70" s="1">
        <f>SUM(OSRRefH22_15x_0)</f>
        <v>100</v>
      </c>
      <c r="I70" s="1"/>
      <c r="J70" s="5">
        <f t="shared" si="37"/>
        <v>0</v>
      </c>
      <c r="K70" s="1"/>
      <c r="L70" s="1">
        <f t="shared" si="38"/>
        <v>-100</v>
      </c>
      <c r="M70" s="1"/>
      <c r="N70" s="5">
        <f t="shared" si="39"/>
        <v>-1</v>
      </c>
      <c r="O70" s="14"/>
      <c r="P70" s="1">
        <f>SUM(OSRRefP22_15x_0)</f>
        <v>0</v>
      </c>
      <c r="Q70" s="1"/>
      <c r="R70" s="5">
        <f t="shared" si="40"/>
        <v>0</v>
      </c>
      <c r="S70" s="1"/>
      <c r="T70" s="1">
        <f>SUM(OSRRefT22_15x_0)</f>
        <v>100</v>
      </c>
      <c r="U70" s="1"/>
      <c r="V70" s="5">
        <f t="shared" si="41"/>
        <v>0</v>
      </c>
      <c r="W70" s="1"/>
      <c r="X70" s="1">
        <f t="shared" si="42"/>
        <v>-100</v>
      </c>
      <c r="Y70" s="1"/>
      <c r="Z70" s="5">
        <f t="shared" si="43"/>
        <v>-1</v>
      </c>
    </row>
    <row r="71" spans="1:26" s="24" customFormat="1" hidden="1" outlineLevel="2" x14ac:dyDescent="0.25">
      <c r="A71" s="29"/>
      <c r="B71" s="11" t="str">
        <f>CONCATENATE("          ", "6294", " - ", "TRAVEL OPERATIONAL")</f>
        <v xml:space="preserve">          6294 - TRAVEL OPERATIONAL</v>
      </c>
      <c r="C71" s="11"/>
      <c r="D71" s="6"/>
      <c r="E71" s="2"/>
      <c r="F71" s="7">
        <f t="shared" si="36"/>
        <v>0</v>
      </c>
      <c r="G71" s="2"/>
      <c r="H71" s="6">
        <v>100</v>
      </c>
      <c r="I71" s="2"/>
      <c r="J71" s="7">
        <f t="shared" si="37"/>
        <v>0</v>
      </c>
      <c r="K71" s="2"/>
      <c r="L71" s="6">
        <f t="shared" si="38"/>
        <v>-100</v>
      </c>
      <c r="M71" s="2"/>
      <c r="N71" s="7">
        <f t="shared" si="39"/>
        <v>-1</v>
      </c>
      <c r="O71" s="11"/>
      <c r="P71" s="6"/>
      <c r="Q71" s="2"/>
      <c r="R71" s="7">
        <f t="shared" si="40"/>
        <v>0</v>
      </c>
      <c r="S71" s="2"/>
      <c r="T71" s="6">
        <v>100</v>
      </c>
      <c r="U71" s="2"/>
      <c r="V71" s="7">
        <f t="shared" si="41"/>
        <v>0</v>
      </c>
      <c r="W71" s="2"/>
      <c r="X71" s="6">
        <f t="shared" si="42"/>
        <v>-100</v>
      </c>
      <c r="Y71" s="2"/>
      <c r="Z71" s="7">
        <f t="shared" si="43"/>
        <v>-1</v>
      </c>
    </row>
    <row r="72" spans="1:26" s="61" customFormat="1" x14ac:dyDescent="0.25">
      <c r="A72" s="36"/>
      <c r="B72" s="36"/>
      <c r="C72" s="36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6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x14ac:dyDescent="0.25">
      <c r="A73" s="10"/>
      <c r="B73" s="25" t="s">
        <v>0</v>
      </c>
      <c r="C73" s="10"/>
      <c r="D73" s="4">
        <f>SUM(0)</f>
        <v>0</v>
      </c>
      <c r="E73" s="4"/>
      <c r="F73" s="12">
        <f>IF(D$12=0,0,D73/D$12)</f>
        <v>0</v>
      </c>
      <c r="G73" s="4"/>
      <c r="H73" s="4">
        <f>SUM(0)</f>
        <v>0</v>
      </c>
      <c r="I73" s="4"/>
      <c r="J73" s="12">
        <f>IF(H$12=0,0,H73/H$12)</f>
        <v>0</v>
      </c>
      <c r="K73" s="4"/>
      <c r="L73" s="4">
        <f>+D73-H73</f>
        <v>0</v>
      </c>
      <c r="M73" s="4"/>
      <c r="N73" s="12">
        <f>IF(H73=0,0,L73/H73)</f>
        <v>0</v>
      </c>
      <c r="O73" s="10"/>
      <c r="P73" s="4">
        <f>SUM(0)</f>
        <v>0</v>
      </c>
      <c r="Q73" s="4"/>
      <c r="R73" s="12">
        <f>IF(P$12=0,0,P73/P$12)</f>
        <v>0</v>
      </c>
      <c r="S73" s="4"/>
      <c r="T73" s="4">
        <f>SUM(0)</f>
        <v>0</v>
      </c>
      <c r="U73" s="4"/>
      <c r="V73" s="12">
        <f>IF(T$12=0,0,T73/T$12)</f>
        <v>0</v>
      </c>
      <c r="W73" s="4"/>
      <c r="X73" s="4">
        <f>+P73-T73</f>
        <v>0</v>
      </c>
      <c r="Y73" s="4"/>
      <c r="Z73" s="12">
        <f>IF(T73=0,0,X73/T73)</f>
        <v>0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10"/>
      <c r="B75" s="26" t="s">
        <v>3</v>
      </c>
      <c r="C75" s="26"/>
      <c r="D75" s="20">
        <f>+D17-D19+D73</f>
        <v>-40329.99</v>
      </c>
      <c r="E75" s="13"/>
      <c r="F75" s="21">
        <f>IF(D$12=0,0,D75/D$12)</f>
        <v>0</v>
      </c>
      <c r="G75" s="13"/>
      <c r="H75" s="20">
        <f>+H17-H19+H73</f>
        <v>-47008.044307692267</v>
      </c>
      <c r="I75" s="13"/>
      <c r="J75" s="21">
        <f>IF(H$12=0,0,H75/H$12)</f>
        <v>0</v>
      </c>
      <c r="K75" s="16"/>
      <c r="L75" s="20">
        <f>+D75-H75</f>
        <v>6678.0543076922695</v>
      </c>
      <c r="M75" s="16"/>
      <c r="N75" s="21">
        <f>IF(H75=0,0,L75/H75)</f>
        <v>-0.14206194718463305</v>
      </c>
      <c r="O75" s="25"/>
      <c r="P75" s="20">
        <f>+P17-P19+P73</f>
        <v>-107256.26000000002</v>
      </c>
      <c r="Q75" s="13"/>
      <c r="R75" s="21">
        <f>IF(P$12=0,0,P75/P$12)</f>
        <v>0</v>
      </c>
      <c r="S75" s="13"/>
      <c r="T75" s="20">
        <f>+T17-T19+T73</f>
        <v>-143243.74199999991</v>
      </c>
      <c r="U75" s="13"/>
      <c r="V75" s="21">
        <f>IF(T$12=0,0,T75/T$12)</f>
        <v>0</v>
      </c>
      <c r="W75" s="16"/>
      <c r="X75" s="20">
        <f>+P75-T75</f>
        <v>35987.481999999887</v>
      </c>
      <c r="Y75" s="16"/>
      <c r="Z75" s="21">
        <f>IF(T75=0,0,X75/T75)</f>
        <v>-0.25123249014257049</v>
      </c>
    </row>
    <row r="76" spans="1:26" x14ac:dyDescent="0.25">
      <c r="A76" s="9"/>
      <c r="B76" s="10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52"/>
      <c r="B77" s="10" t="s">
        <v>14</v>
      </c>
      <c r="C77" s="10"/>
      <c r="D77" s="4"/>
      <c r="E77" s="4"/>
      <c r="F77" s="12">
        <f>IF(D$12=0,0,D77/D$12)</f>
        <v>0</v>
      </c>
      <c r="G77" s="4"/>
      <c r="H77" s="4"/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/>
      <c r="Q77" s="4"/>
      <c r="R77" s="12">
        <f>IF(P$12=0,0,P77/P$12)</f>
        <v>0</v>
      </c>
      <c r="S77" s="4"/>
      <c r="T77" s="4"/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6" t="s">
        <v>4</v>
      </c>
      <c r="C79" s="26"/>
      <c r="D79" s="33">
        <f>+D75-D77</f>
        <v>-40329.99</v>
      </c>
      <c r="E79" s="13"/>
      <c r="F79" s="34">
        <f>IF(D$12=0,0,D79/D$12)</f>
        <v>0</v>
      </c>
      <c r="G79" s="13"/>
      <c r="H79" s="33">
        <f>+H75-H77</f>
        <v>-47008.044307692267</v>
      </c>
      <c r="I79" s="13"/>
      <c r="J79" s="34">
        <f>IF(H$12=0,0,H79/H$12)</f>
        <v>0</v>
      </c>
      <c r="K79" s="16"/>
      <c r="L79" s="33">
        <f>D79-H79</f>
        <v>6678.0543076922695</v>
      </c>
      <c r="M79" s="16"/>
      <c r="N79" s="34">
        <f>IF(H79=0,0,L79/H79)</f>
        <v>-0.14206194718463305</v>
      </c>
      <c r="O79" s="25"/>
      <c r="P79" s="33">
        <f>+P75-P77</f>
        <v>-107256.26000000002</v>
      </c>
      <c r="Q79" s="13"/>
      <c r="R79" s="34">
        <f>IF(P$12=0,0,P79/P$12)</f>
        <v>0</v>
      </c>
      <c r="S79" s="13"/>
      <c r="T79" s="33">
        <f>+T75-T77</f>
        <v>-143243.74199999991</v>
      </c>
      <c r="U79" s="13"/>
      <c r="V79" s="34">
        <f>IF(T$12=0,0,T79/T$12)</f>
        <v>0</v>
      </c>
      <c r="W79" s="16"/>
      <c r="X79" s="33">
        <f>P79-T79</f>
        <v>35987.481999999887</v>
      </c>
      <c r="Y79" s="16"/>
      <c r="Z79" s="34">
        <f>IF(T79=0,0,X79/T79)</f>
        <v>-0.25123249014257049</v>
      </c>
    </row>
    <row r="80" spans="1:26" ht="15.75" thickTop="1" x14ac:dyDescent="0.25">
      <c r="A80" s="9"/>
      <c r="B80" s="9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6" t="s">
        <v>5</v>
      </c>
      <c r="C82" s="26"/>
      <c r="D82" s="31">
        <f>SUM(D79:D81)</f>
        <v>-40329.99</v>
      </c>
      <c r="E82" s="13"/>
      <c r="F82" s="32">
        <f>IF(D$12=0,0,D82/D$12)</f>
        <v>0</v>
      </c>
      <c r="G82" s="13"/>
      <c r="H82" s="31">
        <f>SUM(H79:H81)</f>
        <v>-47008.044307692267</v>
      </c>
      <c r="I82" s="13"/>
      <c r="J82" s="32">
        <f>IF(H$12=0,0,H82/H$12)</f>
        <v>0</v>
      </c>
      <c r="K82" s="16"/>
      <c r="L82" s="31">
        <f>+D82-H82</f>
        <v>6678.0543076922695</v>
      </c>
      <c r="M82" s="16"/>
      <c r="N82" s="32">
        <f>IF(H82=0,0,L82/H82)</f>
        <v>-0.14206194718463305</v>
      </c>
      <c r="O82" s="25"/>
      <c r="P82" s="31">
        <f>SUM(P79:P81)</f>
        <v>-107256.26000000002</v>
      </c>
      <c r="Q82" s="13"/>
      <c r="R82" s="32">
        <f>IF(P$12=0,0,P82/P$12)</f>
        <v>0</v>
      </c>
      <c r="S82" s="13"/>
      <c r="T82" s="31">
        <f>SUM(T79:T81)</f>
        <v>-143243.74199999991</v>
      </c>
      <c r="U82" s="13"/>
      <c r="V82" s="32">
        <f>IF(T$12=0,0,T82/T$12)</f>
        <v>0</v>
      </c>
      <c r="W82" s="16"/>
      <c r="X82" s="31">
        <f>+P82-T82</f>
        <v>35987.481999999887</v>
      </c>
      <c r="Y82" s="16"/>
      <c r="Z82" s="32">
        <f>IF(T82=0,0,X82/T82)</f>
        <v>-0.25123249014257049</v>
      </c>
    </row>
    <row r="83" spans="1:26" ht="15.75" thickTop="1" x14ac:dyDescent="0.25">
      <c r="A83" s="9"/>
      <c r="C83" s="9"/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6" x14ac:dyDescent="0.25">
      <c r="A84" s="9"/>
      <c r="B84" s="55">
        <v>44123.571731481483</v>
      </c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6" x14ac:dyDescent="0.25">
      <c r="A85" s="9"/>
      <c r="B85" s="53" t="s">
        <v>314</v>
      </c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62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","202", " - ", "Accounting")</f>
        <v>Department 202 - Accounting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0</v>
      </c>
      <c r="E17" s="13"/>
      <c r="F17" s="21">
        <f>IF(D$12=0,0,D17/D$12)</f>
        <v>0</v>
      </c>
      <c r="G17" s="13"/>
      <c r="H17" s="20">
        <f>H12-H15</f>
        <v>0</v>
      </c>
      <c r="I17" s="13"/>
      <c r="J17" s="21">
        <f>IF(H$12=0,0,H17/H$12)</f>
        <v>0</v>
      </c>
      <c r="K17" s="16"/>
      <c r="L17" s="20">
        <f>+D17-H17</f>
        <v>0</v>
      </c>
      <c r="M17" s="16"/>
      <c r="N17" s="21">
        <f>IF(H17=0,0,L17/H17)</f>
        <v>0</v>
      </c>
      <c r="O17" s="25"/>
      <c r="P17" s="20">
        <f>P12-P15</f>
        <v>0</v>
      </c>
      <c r="Q17" s="13"/>
      <c r="R17" s="21">
        <f>IF(P$12=0,0,P17/P$12)</f>
        <v>0</v>
      </c>
      <c r="S17" s="13"/>
      <c r="T17" s="20">
        <f>T12-T15</f>
        <v>0</v>
      </c>
      <c r="U17" s="13"/>
      <c r="V17" s="21">
        <f>IF(T$12=0,0,T17/T$12)</f>
        <v>0</v>
      </c>
      <c r="W17" s="16"/>
      <c r="X17" s="20">
        <f>+P17-T17</f>
        <v>0</v>
      </c>
      <c r="Y17" s="16"/>
      <c r="Z17" s="21">
        <f>IF(T17=0,0,X17/T17)</f>
        <v>0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19">
        <f>SUM(OSRRefD22x_0)</f>
        <v>36054.399999999994</v>
      </c>
      <c r="E19" s="19"/>
      <c r="F19" s="35">
        <f t="shared" ref="F19:F29" si="4">IF(D$12=0,0,D19/D$12)</f>
        <v>0</v>
      </c>
      <c r="G19" s="19"/>
      <c r="H19" s="19">
        <f>SUM(OSRRefH22x_0)</f>
        <v>35506.791615384667</v>
      </c>
      <c r="I19" s="19"/>
      <c r="J19" s="35">
        <f t="shared" ref="J19:J29" si="5">IF(H$12=0,0,H19/H$12)</f>
        <v>0</v>
      </c>
      <c r="K19" s="4"/>
      <c r="L19" s="19">
        <f t="shared" ref="L19:L29" si="6">+D19-H19</f>
        <v>547.60838461532694</v>
      </c>
      <c r="M19" s="4"/>
      <c r="N19" s="35">
        <f t="shared" ref="N19:N29" si="7">IF(H19=0,0,L19/H19)</f>
        <v>1.5422637746240491E-2</v>
      </c>
      <c r="O19" s="10"/>
      <c r="P19" s="19">
        <f>SUM(OSRRefP22x_0)</f>
        <v>110046.29000000002</v>
      </c>
      <c r="Q19" s="19"/>
      <c r="R19" s="35">
        <f t="shared" ref="R19:R29" si="8">IF(P$12=0,0,P19/P$12)</f>
        <v>0</v>
      </c>
      <c r="S19" s="19"/>
      <c r="T19" s="19">
        <f>SUM(OSRRefT22x_0)</f>
        <v>119932.15275000012</v>
      </c>
      <c r="U19" s="19"/>
      <c r="V19" s="35">
        <f t="shared" ref="V19:V29" si="9">IF(T$12=0,0,T19/T$12)</f>
        <v>0</v>
      </c>
      <c r="W19" s="4"/>
      <c r="X19" s="19">
        <f t="shared" ref="X19:X29" si="10">+P19-T19</f>
        <v>-9885.8627500001021</v>
      </c>
      <c r="Y19" s="4"/>
      <c r="Z19" s="35">
        <f t="shared" ref="Z19:Z29" si="11">IF(T19=0,0,X19/T19)</f>
        <v>-8.2428794308456135E-2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12249.43</v>
      </c>
      <c r="E20" s="1"/>
      <c r="F20" s="5">
        <f t="shared" si="4"/>
        <v>0</v>
      </c>
      <c r="G20" s="1"/>
      <c r="H20" s="1">
        <f>SUM(OSRRefH22_0x_0)</f>
        <v>11822.176230769233</v>
      </c>
      <c r="I20" s="1"/>
      <c r="J20" s="5">
        <f t="shared" si="5"/>
        <v>0</v>
      </c>
      <c r="K20" s="1"/>
      <c r="L20" s="1">
        <f t="shared" si="6"/>
        <v>427.25376923076692</v>
      </c>
      <c r="M20" s="1"/>
      <c r="N20" s="5">
        <f t="shared" si="7"/>
        <v>3.6140027088986039E-2</v>
      </c>
      <c r="O20" s="14"/>
      <c r="P20" s="1">
        <f>SUM(OSRRefP22_0x_0)</f>
        <v>37497.020000000004</v>
      </c>
      <c r="Q20" s="1"/>
      <c r="R20" s="5">
        <f t="shared" si="8"/>
        <v>0</v>
      </c>
      <c r="S20" s="1"/>
      <c r="T20" s="1">
        <f>SUM(OSRRefT22_0x_0)</f>
        <v>35805.652750000023</v>
      </c>
      <c r="U20" s="1"/>
      <c r="V20" s="5">
        <f t="shared" si="9"/>
        <v>0</v>
      </c>
      <c r="W20" s="1"/>
      <c r="X20" s="1">
        <f t="shared" si="10"/>
        <v>1691.3672499999811</v>
      </c>
      <c r="Y20" s="1"/>
      <c r="Z20" s="5">
        <f t="shared" si="11"/>
        <v>4.7237436552528149E-2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6">
        <v>1635.95</v>
      </c>
      <c r="E21" s="2"/>
      <c r="F21" s="7">
        <f t="shared" si="4"/>
        <v>0</v>
      </c>
      <c r="G21" s="2"/>
      <c r="H21" s="6">
        <v>1625.37946153846</v>
      </c>
      <c r="I21" s="2"/>
      <c r="J21" s="7">
        <f t="shared" si="5"/>
        <v>0</v>
      </c>
      <c r="K21" s="2"/>
      <c r="L21" s="6">
        <f t="shared" si="6"/>
        <v>10.570538461540082</v>
      </c>
      <c r="M21" s="2"/>
      <c r="N21" s="7">
        <f t="shared" si="7"/>
        <v>6.5034280988974834E-3</v>
      </c>
      <c r="O21" s="11"/>
      <c r="P21" s="6">
        <v>4883.07</v>
      </c>
      <c r="Q21" s="2"/>
      <c r="R21" s="7">
        <f t="shared" si="8"/>
        <v>0</v>
      </c>
      <c r="S21" s="2"/>
      <c r="T21" s="6">
        <v>5282.4832500000002</v>
      </c>
      <c r="U21" s="2"/>
      <c r="V21" s="7">
        <f t="shared" si="9"/>
        <v>0</v>
      </c>
      <c r="W21" s="2"/>
      <c r="X21" s="6">
        <f t="shared" si="10"/>
        <v>-399.41325000000052</v>
      </c>
      <c r="Y21" s="2"/>
      <c r="Z21" s="7">
        <f t="shared" si="11"/>
        <v>-7.5610888117818548E-2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6">
        <v>70.040000000000006</v>
      </c>
      <c r="E22" s="2"/>
      <c r="F22" s="7">
        <f t="shared" si="4"/>
        <v>0</v>
      </c>
      <c r="G22" s="2"/>
      <c r="H22" s="6">
        <v>73.518923076923102</v>
      </c>
      <c r="I22" s="2"/>
      <c r="J22" s="7">
        <f t="shared" si="5"/>
        <v>0</v>
      </c>
      <c r="K22" s="2"/>
      <c r="L22" s="6">
        <f t="shared" si="6"/>
        <v>-3.4789230769230954</v>
      </c>
      <c r="M22" s="2"/>
      <c r="N22" s="7">
        <f t="shared" si="7"/>
        <v>-4.7320103876971734E-2</v>
      </c>
      <c r="O22" s="11"/>
      <c r="P22" s="6">
        <v>210.06</v>
      </c>
      <c r="Q22" s="2"/>
      <c r="R22" s="7">
        <f t="shared" si="8"/>
        <v>0</v>
      </c>
      <c r="S22" s="2"/>
      <c r="T22" s="6">
        <v>234.64650000000009</v>
      </c>
      <c r="U22" s="2"/>
      <c r="V22" s="7">
        <f t="shared" si="9"/>
        <v>0</v>
      </c>
      <c r="W22" s="2"/>
      <c r="X22" s="6">
        <f t="shared" si="10"/>
        <v>-24.586500000000086</v>
      </c>
      <c r="Y22" s="2"/>
      <c r="Z22" s="7">
        <f t="shared" si="11"/>
        <v>-0.10478102166450416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6">
        <v>5567.04</v>
      </c>
      <c r="E23" s="2"/>
      <c r="F23" s="7">
        <f t="shared" si="4"/>
        <v>0</v>
      </c>
      <c r="G23" s="2"/>
      <c r="H23" s="6">
        <v>5415</v>
      </c>
      <c r="I23" s="2"/>
      <c r="J23" s="7">
        <f t="shared" si="5"/>
        <v>0</v>
      </c>
      <c r="K23" s="2"/>
      <c r="L23" s="6">
        <f t="shared" si="6"/>
        <v>152.03999999999996</v>
      </c>
      <c r="M23" s="2"/>
      <c r="N23" s="7">
        <f t="shared" si="7"/>
        <v>2.8077562326869799E-2</v>
      </c>
      <c r="O23" s="11"/>
      <c r="P23" s="6">
        <v>16701.12</v>
      </c>
      <c r="Q23" s="2"/>
      <c r="R23" s="7">
        <f t="shared" si="8"/>
        <v>0</v>
      </c>
      <c r="S23" s="2"/>
      <c r="T23" s="6">
        <v>16245</v>
      </c>
      <c r="U23" s="2"/>
      <c r="V23" s="7">
        <f t="shared" si="9"/>
        <v>0</v>
      </c>
      <c r="W23" s="2"/>
      <c r="X23" s="6">
        <f t="shared" si="10"/>
        <v>456.11999999999898</v>
      </c>
      <c r="Y23" s="2"/>
      <c r="Z23" s="7">
        <f t="shared" si="11"/>
        <v>2.8077562326869743E-2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>
        <v>55.18</v>
      </c>
      <c r="E24" s="2"/>
      <c r="F24" s="7">
        <f t="shared" si="4"/>
        <v>0</v>
      </c>
      <c r="G24" s="2"/>
      <c r="H24" s="6">
        <v>57.923999999999999</v>
      </c>
      <c r="I24" s="2"/>
      <c r="J24" s="7">
        <f t="shared" si="5"/>
        <v>0</v>
      </c>
      <c r="K24" s="2"/>
      <c r="L24" s="6">
        <f t="shared" si="6"/>
        <v>-2.7439999999999998</v>
      </c>
      <c r="M24" s="2"/>
      <c r="N24" s="7">
        <f t="shared" si="7"/>
        <v>-4.7372419031834812E-2</v>
      </c>
      <c r="O24" s="11"/>
      <c r="P24" s="6">
        <v>165.49</v>
      </c>
      <c r="Q24" s="2"/>
      <c r="R24" s="7">
        <f t="shared" si="8"/>
        <v>0</v>
      </c>
      <c r="S24" s="2"/>
      <c r="T24" s="6">
        <v>184.87299999999999</v>
      </c>
      <c r="U24" s="2"/>
      <c r="V24" s="7">
        <f t="shared" si="9"/>
        <v>0</v>
      </c>
      <c r="W24" s="2"/>
      <c r="X24" s="6">
        <f t="shared" si="10"/>
        <v>-19.382999999999981</v>
      </c>
      <c r="Y24" s="2"/>
      <c r="Z24" s="7">
        <f t="shared" si="11"/>
        <v>-0.10484494761268537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6">
        <v>1978.76</v>
      </c>
      <c r="E25" s="2"/>
      <c r="F25" s="7">
        <f t="shared" si="4"/>
        <v>0</v>
      </c>
      <c r="G25" s="2"/>
      <c r="H25" s="6">
        <v>1826.5076923076901</v>
      </c>
      <c r="I25" s="2"/>
      <c r="J25" s="7">
        <f t="shared" si="5"/>
        <v>0</v>
      </c>
      <c r="K25" s="2"/>
      <c r="L25" s="6">
        <f t="shared" si="6"/>
        <v>152.25230769230984</v>
      </c>
      <c r="M25" s="2"/>
      <c r="N25" s="7">
        <f t="shared" si="7"/>
        <v>8.3357058025826089E-2</v>
      </c>
      <c r="O25" s="11"/>
      <c r="P25" s="6">
        <v>6925.67</v>
      </c>
      <c r="Q25" s="2"/>
      <c r="R25" s="7">
        <f t="shared" si="8"/>
        <v>0</v>
      </c>
      <c r="S25" s="2"/>
      <c r="T25" s="6">
        <v>5936.15</v>
      </c>
      <c r="U25" s="2"/>
      <c r="V25" s="7">
        <f t="shared" si="9"/>
        <v>0</v>
      </c>
      <c r="W25" s="2"/>
      <c r="X25" s="6">
        <f t="shared" si="10"/>
        <v>989.52000000000044</v>
      </c>
      <c r="Y25" s="2"/>
      <c r="Z25" s="7">
        <f t="shared" si="11"/>
        <v>0.16669390092905342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6">
        <v>1559.44</v>
      </c>
      <c r="E27" s="2"/>
      <c r="F27" s="7">
        <f t="shared" si="4"/>
        <v>0</v>
      </c>
      <c r="G27" s="2"/>
      <c r="H27" s="6">
        <v>1061.9230769230799</v>
      </c>
      <c r="I27" s="2"/>
      <c r="J27" s="7">
        <f t="shared" si="5"/>
        <v>0</v>
      </c>
      <c r="K27" s="2"/>
      <c r="L27" s="6">
        <f t="shared" si="6"/>
        <v>497.51692307692019</v>
      </c>
      <c r="M27" s="2"/>
      <c r="N27" s="7">
        <f t="shared" si="7"/>
        <v>0.46850561390800033</v>
      </c>
      <c r="O27" s="11"/>
      <c r="P27" s="6">
        <v>4678.32</v>
      </c>
      <c r="Q27" s="2"/>
      <c r="R27" s="7">
        <f t="shared" si="8"/>
        <v>0</v>
      </c>
      <c r="S27" s="2"/>
      <c r="T27" s="6">
        <v>3451.25000000001</v>
      </c>
      <c r="U27" s="2"/>
      <c r="V27" s="7">
        <f t="shared" si="9"/>
        <v>0</v>
      </c>
      <c r="W27" s="2"/>
      <c r="X27" s="6">
        <f t="shared" si="10"/>
        <v>1227.0699999999897</v>
      </c>
      <c r="Y27" s="2"/>
      <c r="Z27" s="7">
        <f t="shared" si="11"/>
        <v>0.35554364360738461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6">
        <v>979.42</v>
      </c>
      <c r="E28" s="2"/>
      <c r="F28" s="7">
        <f t="shared" si="4"/>
        <v>0</v>
      </c>
      <c r="G28" s="2"/>
      <c r="H28" s="6">
        <v>1061.9230769230799</v>
      </c>
      <c r="I28" s="2"/>
      <c r="J28" s="7">
        <f t="shared" si="5"/>
        <v>0</v>
      </c>
      <c r="K28" s="2"/>
      <c r="L28" s="6">
        <f t="shared" si="6"/>
        <v>-82.503076923079902</v>
      </c>
      <c r="M28" s="2"/>
      <c r="N28" s="7">
        <f t="shared" si="7"/>
        <v>-7.7692140528796499E-2</v>
      </c>
      <c r="O28" s="11"/>
      <c r="P28" s="6">
        <v>2938.26</v>
      </c>
      <c r="Q28" s="2"/>
      <c r="R28" s="7">
        <f t="shared" si="8"/>
        <v>0</v>
      </c>
      <c r="S28" s="2"/>
      <c r="T28" s="6">
        <v>3451.25000000001</v>
      </c>
      <c r="U28" s="2"/>
      <c r="V28" s="7">
        <f t="shared" si="9"/>
        <v>0</v>
      </c>
      <c r="W28" s="2"/>
      <c r="X28" s="6">
        <f t="shared" si="10"/>
        <v>-512.99000000000979</v>
      </c>
      <c r="Y28" s="2"/>
      <c r="Z28" s="7">
        <f t="shared" si="11"/>
        <v>-0.14863889894965832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6">
        <v>403.6</v>
      </c>
      <c r="E29" s="2"/>
      <c r="F29" s="7">
        <f t="shared" si="4"/>
        <v>0</v>
      </c>
      <c r="G29" s="2"/>
      <c r="H29" s="6">
        <v>700</v>
      </c>
      <c r="I29" s="2"/>
      <c r="J29" s="7">
        <f t="shared" si="5"/>
        <v>0</v>
      </c>
      <c r="K29" s="2"/>
      <c r="L29" s="6">
        <f t="shared" si="6"/>
        <v>-296.39999999999998</v>
      </c>
      <c r="M29" s="2"/>
      <c r="N29" s="7">
        <f t="shared" si="7"/>
        <v>-0.42342857142857138</v>
      </c>
      <c r="O29" s="11"/>
      <c r="P29" s="6">
        <v>995.03</v>
      </c>
      <c r="Q29" s="2"/>
      <c r="R29" s="7">
        <f t="shared" si="8"/>
        <v>0</v>
      </c>
      <c r="S29" s="2"/>
      <c r="T29" s="6">
        <v>1020</v>
      </c>
      <c r="U29" s="2"/>
      <c r="V29" s="7">
        <f t="shared" si="9"/>
        <v>0</v>
      </c>
      <c r="W29" s="2"/>
      <c r="X29" s="6">
        <f t="shared" si="10"/>
        <v>-24.970000000000027</v>
      </c>
      <c r="Y29" s="2"/>
      <c r="Z29" s="7">
        <f t="shared" si="11"/>
        <v>-2.4480392156862773E-2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20611.34</v>
      </c>
      <c r="E30" s="1"/>
      <c r="F30" s="5">
        <f t="shared" ref="F30:F40" si="12">IF(D$12=0,0,D30/D$12)</f>
        <v>0</v>
      </c>
      <c r="G30" s="1"/>
      <c r="H30" s="1">
        <f>SUM(OSRRefH22_1x_0)</f>
        <v>20154.61538461543</v>
      </c>
      <c r="I30" s="1"/>
      <c r="J30" s="5">
        <f t="shared" ref="J30:J40" si="13">IF(H$12=0,0,H30/H$12)</f>
        <v>0</v>
      </c>
      <c r="K30" s="1"/>
      <c r="L30" s="1">
        <f t="shared" ref="L30:L40" si="14">+D30-H30</f>
        <v>456.72461538456992</v>
      </c>
      <c r="M30" s="1"/>
      <c r="N30" s="5">
        <f t="shared" ref="N30:N40" si="15">IF(H30=0,0,L30/H30)</f>
        <v>2.2661043471620915E-2</v>
      </c>
      <c r="O30" s="14"/>
      <c r="P30" s="1">
        <f>SUM(OSRRefP22_1x_0)</f>
        <v>63307.079999999994</v>
      </c>
      <c r="Q30" s="1"/>
      <c r="R30" s="5">
        <f t="shared" ref="R30:R40" si="16">IF(P$12=0,0,P30/P$12)</f>
        <v>0</v>
      </c>
      <c r="S30" s="1"/>
      <c r="T30" s="1">
        <f>SUM(OSRRefT22_1x_0)</f>
        <v>64202.500000000102</v>
      </c>
      <c r="U30" s="1"/>
      <c r="V30" s="5">
        <f t="shared" ref="V30:V40" si="17">IF(T$12=0,0,T30/T$12)</f>
        <v>0</v>
      </c>
      <c r="W30" s="1"/>
      <c r="X30" s="1">
        <f t="shared" ref="X30:X40" si="18">+P30-T30</f>
        <v>-895.42000000010739</v>
      </c>
      <c r="Y30" s="1"/>
      <c r="Z30" s="5">
        <f t="shared" ref="Z30:Z40" si="19">IF(T30=0,0,X30/T30)</f>
        <v>-1.3946808924887753E-2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12"/>
        <v>0</v>
      </c>
      <c r="G31" s="2"/>
      <c r="H31" s="6">
        <v>5420.7692307692296</v>
      </c>
      <c r="I31" s="2"/>
      <c r="J31" s="7">
        <f t="shared" si="13"/>
        <v>0</v>
      </c>
      <c r="K31" s="2"/>
      <c r="L31" s="6">
        <f t="shared" si="14"/>
        <v>-5420.7692307692296</v>
      </c>
      <c r="M31" s="2"/>
      <c r="N31" s="7">
        <f t="shared" si="15"/>
        <v>-1</v>
      </c>
      <c r="O31" s="11"/>
      <c r="P31" s="6"/>
      <c r="Q31" s="2"/>
      <c r="R31" s="7">
        <f t="shared" si="16"/>
        <v>0</v>
      </c>
      <c r="S31" s="2"/>
      <c r="T31" s="6">
        <v>17617.5</v>
      </c>
      <c r="U31" s="2"/>
      <c r="V31" s="7">
        <f t="shared" si="17"/>
        <v>0</v>
      </c>
      <c r="W31" s="2"/>
      <c r="X31" s="6">
        <f t="shared" si="18"/>
        <v>-17617.5</v>
      </c>
      <c r="Y31" s="2"/>
      <c r="Z31" s="7">
        <f t="shared" si="19"/>
        <v>-1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6">
        <v>20449.46</v>
      </c>
      <c r="E32" s="2"/>
      <c r="F32" s="7">
        <f t="shared" si="12"/>
        <v>0</v>
      </c>
      <c r="G32" s="2"/>
      <c r="H32" s="6">
        <v>13693.846153846202</v>
      </c>
      <c r="I32" s="2"/>
      <c r="J32" s="7">
        <f t="shared" si="13"/>
        <v>0</v>
      </c>
      <c r="K32" s="2"/>
      <c r="L32" s="6">
        <f t="shared" si="14"/>
        <v>6755.6138461537976</v>
      </c>
      <c r="M32" s="2"/>
      <c r="N32" s="7">
        <f t="shared" si="15"/>
        <v>0.49333209751712764</v>
      </c>
      <c r="O32" s="11"/>
      <c r="P32" s="6">
        <v>63059.31</v>
      </c>
      <c r="Q32" s="2"/>
      <c r="R32" s="7">
        <f t="shared" si="16"/>
        <v>0</v>
      </c>
      <c r="S32" s="2"/>
      <c r="T32" s="6">
        <v>44505.000000000102</v>
      </c>
      <c r="U32" s="2"/>
      <c r="V32" s="7">
        <f t="shared" si="17"/>
        <v>0</v>
      </c>
      <c r="W32" s="2"/>
      <c r="X32" s="6">
        <f t="shared" si="18"/>
        <v>18554.309999999896</v>
      </c>
      <c r="Y32" s="2"/>
      <c r="Z32" s="7">
        <f t="shared" si="19"/>
        <v>0.41690394337714531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6">
        <v>89.49</v>
      </c>
      <c r="E35" s="2"/>
      <c r="F35" s="7">
        <f t="shared" si="12"/>
        <v>0</v>
      </c>
      <c r="G35" s="2"/>
      <c r="H35" s="6">
        <v>0</v>
      </c>
      <c r="I35" s="2"/>
      <c r="J35" s="7">
        <f t="shared" si="13"/>
        <v>0</v>
      </c>
      <c r="K35" s="2"/>
      <c r="L35" s="6">
        <f t="shared" si="14"/>
        <v>89.49</v>
      </c>
      <c r="M35" s="2"/>
      <c r="N35" s="7">
        <f t="shared" si="15"/>
        <v>0</v>
      </c>
      <c r="O35" s="11"/>
      <c r="P35" s="6">
        <v>89.49</v>
      </c>
      <c r="Q35" s="2"/>
      <c r="R35" s="7">
        <f t="shared" si="16"/>
        <v>0</v>
      </c>
      <c r="S35" s="2"/>
      <c r="T35" s="6">
        <v>0</v>
      </c>
      <c r="U35" s="2"/>
      <c r="V35" s="7">
        <f t="shared" si="17"/>
        <v>0</v>
      </c>
      <c r="W35" s="2"/>
      <c r="X35" s="6">
        <f t="shared" si="18"/>
        <v>89.49</v>
      </c>
      <c r="Y35" s="2"/>
      <c r="Z35" s="7">
        <f t="shared" si="19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2"/>
        <v>0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0</v>
      </c>
      <c r="M36" s="2"/>
      <c r="N36" s="7">
        <f t="shared" si="15"/>
        <v>0</v>
      </c>
      <c r="O36" s="11"/>
      <c r="P36" s="6"/>
      <c r="Q36" s="2"/>
      <c r="R36" s="7">
        <f t="shared" si="16"/>
        <v>0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0</v>
      </c>
      <c r="Y36" s="2"/>
      <c r="Z36" s="7">
        <f t="shared" si="19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6">
        <v>72.39</v>
      </c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72.39</v>
      </c>
      <c r="M37" s="2"/>
      <c r="N37" s="7">
        <f t="shared" si="15"/>
        <v>0</v>
      </c>
      <c r="O37" s="11"/>
      <c r="P37" s="6">
        <v>158.28</v>
      </c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158.28</v>
      </c>
      <c r="Y37" s="2"/>
      <c r="Z37" s="7">
        <f t="shared" si="19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12"/>
        <v>0</v>
      </c>
      <c r="G38" s="2"/>
      <c r="H38" s="6">
        <v>1040</v>
      </c>
      <c r="I38" s="2"/>
      <c r="J38" s="7">
        <f t="shared" si="13"/>
        <v>0</v>
      </c>
      <c r="K38" s="2"/>
      <c r="L38" s="6">
        <f t="shared" si="14"/>
        <v>-1040</v>
      </c>
      <c r="M38" s="2"/>
      <c r="N38" s="7">
        <f t="shared" si="15"/>
        <v>-1</v>
      </c>
      <c r="O38" s="11"/>
      <c r="P38" s="6"/>
      <c r="Q38" s="2"/>
      <c r="R38" s="7">
        <f t="shared" si="16"/>
        <v>0</v>
      </c>
      <c r="S38" s="2"/>
      <c r="T38" s="6">
        <v>2080</v>
      </c>
      <c r="U38" s="2"/>
      <c r="V38" s="7">
        <f t="shared" si="17"/>
        <v>0</v>
      </c>
      <c r="W38" s="2"/>
      <c r="X38" s="6">
        <f t="shared" si="18"/>
        <v>-2080</v>
      </c>
      <c r="Y38" s="2"/>
      <c r="Z38" s="7">
        <f t="shared" si="19"/>
        <v>-1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12"/>
        <v>0</v>
      </c>
      <c r="G39" s="2"/>
      <c r="H39" s="6">
        <v>0</v>
      </c>
      <c r="I39" s="2"/>
      <c r="J39" s="7">
        <f t="shared" si="13"/>
        <v>0</v>
      </c>
      <c r="K39" s="2"/>
      <c r="L39" s="6">
        <f t="shared" si="14"/>
        <v>0</v>
      </c>
      <c r="M39" s="2"/>
      <c r="N39" s="7">
        <f t="shared" si="15"/>
        <v>0</v>
      </c>
      <c r="O39" s="11"/>
      <c r="P39" s="6"/>
      <c r="Q39" s="2"/>
      <c r="R39" s="7">
        <f t="shared" si="16"/>
        <v>0</v>
      </c>
      <c r="S39" s="2"/>
      <c r="T39" s="6">
        <v>0</v>
      </c>
      <c r="U39" s="2"/>
      <c r="V39" s="7">
        <f t="shared" si="17"/>
        <v>0</v>
      </c>
      <c r="W39" s="2"/>
      <c r="X39" s="6">
        <f t="shared" si="18"/>
        <v>0</v>
      </c>
      <c r="Y39" s="2"/>
      <c r="Z39" s="7">
        <f t="shared" si="19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8" customFormat="1" outlineLevel="1" collapsed="1" x14ac:dyDescent="0.25">
      <c r="A41" s="27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SUM(OSRRefD22_2x_0)</f>
        <v>1558.88</v>
      </c>
      <c r="E41" s="1"/>
      <c r="F41" s="5">
        <f t="shared" ref="F41:F47" si="20">IF(D$12=0,0,D41/D$12)</f>
        <v>0</v>
      </c>
      <c r="G41" s="1"/>
      <c r="H41" s="1">
        <f>SUM(OSRRefH22_2x_0)</f>
        <v>1559</v>
      </c>
      <c r="I41" s="1"/>
      <c r="J41" s="5">
        <f t="shared" ref="J41:J47" si="21">IF(H$12=0,0,H41/H$12)</f>
        <v>0</v>
      </c>
      <c r="K41" s="1"/>
      <c r="L41" s="1">
        <f t="shared" ref="L41:L47" si="22">+D41-H41</f>
        <v>-0.11999999999989086</v>
      </c>
      <c r="M41" s="1"/>
      <c r="N41" s="5">
        <f t="shared" ref="N41:N47" si="23">IF(H41=0,0,L41/H41)</f>
        <v>-7.6972418216735637E-5</v>
      </c>
      <c r="O41" s="14"/>
      <c r="P41" s="1">
        <f>SUM(OSRRefP22_2x_0)</f>
        <v>4676.6400000000003</v>
      </c>
      <c r="Q41" s="1"/>
      <c r="R41" s="5">
        <f t="shared" ref="R41:R47" si="24">IF(P$12=0,0,P41/P$12)</f>
        <v>0</v>
      </c>
      <c r="S41" s="1"/>
      <c r="T41" s="1">
        <f>SUM(OSRRefT22_2x_0)</f>
        <v>4677</v>
      </c>
      <c r="U41" s="1"/>
      <c r="V41" s="5">
        <f t="shared" ref="V41:V47" si="25">IF(T$12=0,0,T41/T$12)</f>
        <v>0</v>
      </c>
      <c r="W41" s="1"/>
      <c r="X41" s="1">
        <f t="shared" ref="X41:X47" si="26">+P41-T41</f>
        <v>-0.35999999999967258</v>
      </c>
      <c r="Y41" s="1"/>
      <c r="Z41" s="5">
        <f t="shared" ref="Z41:Z47" si="27">IF(T41=0,0,X41/T41)</f>
        <v>-7.6972418216735637E-5</v>
      </c>
    </row>
    <row r="42" spans="1:26" s="24" customFormat="1" hidden="1" outlineLevel="2" x14ac:dyDescent="0.25">
      <c r="A42" s="29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1558.88</v>
      </c>
      <c r="E42" s="2"/>
      <c r="F42" s="7">
        <f t="shared" si="20"/>
        <v>0</v>
      </c>
      <c r="G42" s="2"/>
      <c r="H42" s="6">
        <v>1559</v>
      </c>
      <c r="I42" s="2"/>
      <c r="J42" s="7">
        <f t="shared" si="21"/>
        <v>0</v>
      </c>
      <c r="K42" s="2"/>
      <c r="L42" s="6">
        <f t="shared" si="22"/>
        <v>-0.11999999999989086</v>
      </c>
      <c r="M42" s="2"/>
      <c r="N42" s="7">
        <f t="shared" si="23"/>
        <v>-7.6972418216735637E-5</v>
      </c>
      <c r="O42" s="11"/>
      <c r="P42" s="6">
        <v>4676.6400000000003</v>
      </c>
      <c r="Q42" s="2"/>
      <c r="R42" s="7">
        <f t="shared" si="24"/>
        <v>0</v>
      </c>
      <c r="S42" s="2"/>
      <c r="T42" s="6">
        <v>4677</v>
      </c>
      <c r="U42" s="2"/>
      <c r="V42" s="7">
        <f t="shared" si="25"/>
        <v>0</v>
      </c>
      <c r="W42" s="2"/>
      <c r="X42" s="6">
        <f t="shared" si="26"/>
        <v>-0.35999999999967258</v>
      </c>
      <c r="Y42" s="2"/>
      <c r="Z42" s="7">
        <f t="shared" si="27"/>
        <v>-7.6972418216735637E-5</v>
      </c>
    </row>
    <row r="43" spans="1:26" s="28" customFormat="1" outlineLevel="1" collapsed="1" x14ac:dyDescent="0.25">
      <c r="A43" s="27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SUM(OSRRefD22_3x_0)</f>
        <v>91.26</v>
      </c>
      <c r="E43" s="1"/>
      <c r="F43" s="5">
        <f t="shared" si="20"/>
        <v>0</v>
      </c>
      <c r="G43" s="1"/>
      <c r="H43" s="1">
        <f>SUM(OSRRefH22_3x_0)</f>
        <v>91</v>
      </c>
      <c r="I43" s="1"/>
      <c r="J43" s="5">
        <f t="shared" si="21"/>
        <v>0</v>
      </c>
      <c r="K43" s="1"/>
      <c r="L43" s="1">
        <f t="shared" si="22"/>
        <v>0.26000000000000512</v>
      </c>
      <c r="M43" s="1"/>
      <c r="N43" s="5">
        <f t="shared" si="23"/>
        <v>2.8571428571429135E-3</v>
      </c>
      <c r="O43" s="14"/>
      <c r="P43" s="1">
        <f>SUM(OSRRefP22_3x_0)</f>
        <v>273.77999999999997</v>
      </c>
      <c r="Q43" s="1"/>
      <c r="R43" s="5">
        <f t="shared" si="24"/>
        <v>0</v>
      </c>
      <c r="S43" s="1"/>
      <c r="T43" s="1">
        <f>SUM(OSRRefT22_3x_0)</f>
        <v>273</v>
      </c>
      <c r="U43" s="1"/>
      <c r="V43" s="5">
        <f t="shared" si="25"/>
        <v>0</v>
      </c>
      <c r="W43" s="1"/>
      <c r="X43" s="1">
        <f t="shared" si="26"/>
        <v>0.77999999999997272</v>
      </c>
      <c r="Y43" s="1"/>
      <c r="Z43" s="5">
        <f t="shared" si="27"/>
        <v>2.8571428571427574E-3</v>
      </c>
    </row>
    <row r="44" spans="1:26" s="24" customFormat="1" hidden="1" outlineLevel="2" x14ac:dyDescent="0.25">
      <c r="A44" s="29"/>
      <c r="B44" s="11" t="str">
        <f>CONCATENATE("          ", "6351", " - ", "EQUIPMENT RENTAL")</f>
        <v xml:space="preserve">          6351 - EQUIPMENT RENTAL</v>
      </c>
      <c r="C44" s="11"/>
      <c r="D44" s="6">
        <v>91.26</v>
      </c>
      <c r="E44" s="2"/>
      <c r="F44" s="7">
        <f t="shared" si="20"/>
        <v>0</v>
      </c>
      <c r="G44" s="2"/>
      <c r="H44" s="6">
        <v>91</v>
      </c>
      <c r="I44" s="2"/>
      <c r="J44" s="7">
        <f t="shared" si="21"/>
        <v>0</v>
      </c>
      <c r="K44" s="2"/>
      <c r="L44" s="6">
        <f t="shared" si="22"/>
        <v>0.26000000000000512</v>
      </c>
      <c r="M44" s="2"/>
      <c r="N44" s="7">
        <f t="shared" si="23"/>
        <v>2.8571428571429135E-3</v>
      </c>
      <c r="O44" s="11"/>
      <c r="P44" s="6">
        <v>273.77999999999997</v>
      </c>
      <c r="Q44" s="2"/>
      <c r="R44" s="7">
        <f t="shared" si="24"/>
        <v>0</v>
      </c>
      <c r="S44" s="2"/>
      <c r="T44" s="6">
        <v>273</v>
      </c>
      <c r="U44" s="2"/>
      <c r="V44" s="7">
        <f t="shared" si="25"/>
        <v>0</v>
      </c>
      <c r="W44" s="2"/>
      <c r="X44" s="6">
        <f t="shared" si="26"/>
        <v>0.77999999999997272</v>
      </c>
      <c r="Y44" s="2"/>
      <c r="Z44" s="7">
        <f t="shared" si="27"/>
        <v>2.8571428571427574E-3</v>
      </c>
    </row>
    <row r="45" spans="1:26" s="28" customFormat="1" outlineLevel="1" collapsed="1" x14ac:dyDescent="0.25">
      <c r="A45" s="27"/>
      <c r="B45" s="14" t="str">
        <f>CONCATENATE("     ","Freight out/Postage                               ")</f>
        <v xml:space="preserve">     Freight out/Postage                               </v>
      </c>
      <c r="C45" s="14"/>
      <c r="D45" s="1">
        <f>SUM(OSRRefD22_4x_0)</f>
        <v>104</v>
      </c>
      <c r="E45" s="1"/>
      <c r="F45" s="5">
        <f t="shared" si="20"/>
        <v>0</v>
      </c>
      <c r="G45" s="1"/>
      <c r="H45" s="1">
        <f>SUM(OSRRefH22_4x_0)</f>
        <v>100</v>
      </c>
      <c r="I45" s="1"/>
      <c r="J45" s="5">
        <f t="shared" si="21"/>
        <v>0</v>
      </c>
      <c r="K45" s="1"/>
      <c r="L45" s="1">
        <f t="shared" si="22"/>
        <v>4</v>
      </c>
      <c r="M45" s="1"/>
      <c r="N45" s="5">
        <f t="shared" si="23"/>
        <v>0.04</v>
      </c>
      <c r="O45" s="14"/>
      <c r="P45" s="1">
        <f>SUM(OSRRefP22_4x_0)</f>
        <v>322.36</v>
      </c>
      <c r="Q45" s="1"/>
      <c r="R45" s="5">
        <f t="shared" si="24"/>
        <v>0</v>
      </c>
      <c r="S45" s="1"/>
      <c r="T45" s="1">
        <f>SUM(OSRRefT22_4x_0)</f>
        <v>300</v>
      </c>
      <c r="U45" s="1"/>
      <c r="V45" s="5">
        <f t="shared" si="25"/>
        <v>0</v>
      </c>
      <c r="W45" s="1"/>
      <c r="X45" s="1">
        <f t="shared" si="26"/>
        <v>22.360000000000014</v>
      </c>
      <c r="Y45" s="1"/>
      <c r="Z45" s="5">
        <f t="shared" si="27"/>
        <v>7.4533333333333382E-2</v>
      </c>
    </row>
    <row r="46" spans="1:26" s="24" customFormat="1" hidden="1" outlineLevel="2" x14ac:dyDescent="0.25">
      <c r="A46" s="29"/>
      <c r="B46" s="11" t="str">
        <f>CONCATENATE("          ", "6305", " - ", "FREIGHT OUT")</f>
        <v xml:space="preserve">          6305 - FREIGHT OUT</v>
      </c>
      <c r="C46" s="11"/>
      <c r="D46" s="6"/>
      <c r="E46" s="2"/>
      <c r="F46" s="7">
        <f t="shared" si="20"/>
        <v>0</v>
      </c>
      <c r="G46" s="2"/>
      <c r="H46" s="6"/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>
        <v>5.41</v>
      </c>
      <c r="Q46" s="2"/>
      <c r="R46" s="7">
        <f t="shared" si="24"/>
        <v>0</v>
      </c>
      <c r="S46" s="2"/>
      <c r="T46" s="6"/>
      <c r="U46" s="2"/>
      <c r="V46" s="7">
        <f t="shared" si="25"/>
        <v>0</v>
      </c>
      <c r="W46" s="2"/>
      <c r="X46" s="6">
        <f t="shared" si="26"/>
        <v>5.41</v>
      </c>
      <c r="Y46" s="2"/>
      <c r="Z46" s="7">
        <f t="shared" si="27"/>
        <v>0</v>
      </c>
    </row>
    <row r="47" spans="1:26" s="24" customFormat="1" hidden="1" outlineLevel="2" x14ac:dyDescent="0.25">
      <c r="A47" s="29"/>
      <c r="B47" s="11" t="str">
        <f>CONCATENATE("          ", "6307", " - ", "POSTAGE")</f>
        <v xml:space="preserve">          6307 - POSTAGE</v>
      </c>
      <c r="C47" s="11"/>
      <c r="D47" s="6">
        <v>104</v>
      </c>
      <c r="E47" s="2"/>
      <c r="F47" s="7">
        <f t="shared" si="20"/>
        <v>0</v>
      </c>
      <c r="G47" s="2"/>
      <c r="H47" s="6">
        <v>100</v>
      </c>
      <c r="I47" s="2"/>
      <c r="J47" s="7">
        <f t="shared" si="21"/>
        <v>0</v>
      </c>
      <c r="K47" s="2"/>
      <c r="L47" s="6">
        <f t="shared" si="22"/>
        <v>4</v>
      </c>
      <c r="M47" s="2"/>
      <c r="N47" s="7">
        <f t="shared" si="23"/>
        <v>0.04</v>
      </c>
      <c r="O47" s="11"/>
      <c r="P47" s="6">
        <v>316.95</v>
      </c>
      <c r="Q47" s="2"/>
      <c r="R47" s="7">
        <f t="shared" si="24"/>
        <v>0</v>
      </c>
      <c r="S47" s="2"/>
      <c r="T47" s="6">
        <v>300</v>
      </c>
      <c r="U47" s="2"/>
      <c r="V47" s="7">
        <f t="shared" si="25"/>
        <v>0</v>
      </c>
      <c r="W47" s="2"/>
      <c r="X47" s="6">
        <f t="shared" si="26"/>
        <v>16.949999999999989</v>
      </c>
      <c r="Y47" s="2"/>
      <c r="Z47" s="7">
        <f t="shared" si="27"/>
        <v>5.649999999999996E-2</v>
      </c>
    </row>
    <row r="48" spans="1:26" s="28" customFormat="1" outlineLevel="1" collapsed="1" x14ac:dyDescent="0.25">
      <c r="A48" s="27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SUM(OSRRefD22_5x_0)</f>
        <v>132.16999999999999</v>
      </c>
      <c r="E48" s="1"/>
      <c r="F48" s="5">
        <f t="shared" ref="F48:F54" si="28">IF(D$12=0,0,D48/D$12)</f>
        <v>0</v>
      </c>
      <c r="G48" s="1"/>
      <c r="H48" s="1">
        <f>SUM(OSRRefH22_5x_0)</f>
        <v>145</v>
      </c>
      <c r="I48" s="1"/>
      <c r="J48" s="5">
        <f t="shared" ref="J48:J54" si="29">IF(H$12=0,0,H48/H$12)</f>
        <v>0</v>
      </c>
      <c r="K48" s="1"/>
      <c r="L48" s="1">
        <f t="shared" ref="L48:L54" si="30">+D48-H48</f>
        <v>-12.830000000000013</v>
      </c>
      <c r="M48" s="1"/>
      <c r="N48" s="5">
        <f t="shared" ref="N48:N54" si="31">IF(H48=0,0,L48/H48)</f>
        <v>-8.8482758620689744E-2</v>
      </c>
      <c r="O48" s="14"/>
      <c r="P48" s="1">
        <f>SUM(OSRRefP22_5x_0)</f>
        <v>396.51</v>
      </c>
      <c r="Q48" s="1"/>
      <c r="R48" s="5">
        <f t="shared" ref="R48:R54" si="32">IF(P$12=0,0,P48/P$12)</f>
        <v>0</v>
      </c>
      <c r="S48" s="1"/>
      <c r="T48" s="1">
        <f>SUM(OSRRefT22_5x_0)</f>
        <v>435</v>
      </c>
      <c r="U48" s="1"/>
      <c r="V48" s="5">
        <f t="shared" ref="V48:V54" si="33">IF(T$12=0,0,T48/T$12)</f>
        <v>0</v>
      </c>
      <c r="W48" s="1"/>
      <c r="X48" s="1">
        <f t="shared" ref="X48:X54" si="34">+P48-T48</f>
        <v>-38.490000000000009</v>
      </c>
      <c r="Y48" s="1"/>
      <c r="Z48" s="5">
        <f t="shared" ref="Z48:Z54" si="35">IF(T48=0,0,X48/T48)</f>
        <v>-8.8482758620689675E-2</v>
      </c>
    </row>
    <row r="49" spans="1:26" s="24" customFormat="1" hidden="1" outlineLevel="2" x14ac:dyDescent="0.25">
      <c r="A49" s="29"/>
      <c r="B49" s="11" t="str">
        <f>CONCATENATE("          ", "6314", " - ", "LIABILITY INSURANCE")</f>
        <v xml:space="preserve">          6314 - LIABILITY INSURANCE</v>
      </c>
      <c r="C49" s="11"/>
      <c r="D49" s="6">
        <v>132.16999999999999</v>
      </c>
      <c r="E49" s="2"/>
      <c r="F49" s="7">
        <f t="shared" si="28"/>
        <v>0</v>
      </c>
      <c r="G49" s="2"/>
      <c r="H49" s="6">
        <v>145</v>
      </c>
      <c r="I49" s="2"/>
      <c r="J49" s="7">
        <f t="shared" si="29"/>
        <v>0</v>
      </c>
      <c r="K49" s="2"/>
      <c r="L49" s="6">
        <f t="shared" si="30"/>
        <v>-12.830000000000013</v>
      </c>
      <c r="M49" s="2"/>
      <c r="N49" s="7">
        <f t="shared" si="31"/>
        <v>-8.8482758620689744E-2</v>
      </c>
      <c r="O49" s="11"/>
      <c r="P49" s="6">
        <v>396.51</v>
      </c>
      <c r="Q49" s="2"/>
      <c r="R49" s="7">
        <f t="shared" si="32"/>
        <v>0</v>
      </c>
      <c r="S49" s="2"/>
      <c r="T49" s="6">
        <v>435</v>
      </c>
      <c r="U49" s="2"/>
      <c r="V49" s="7">
        <f t="shared" si="33"/>
        <v>0</v>
      </c>
      <c r="W49" s="2"/>
      <c r="X49" s="6">
        <f t="shared" si="34"/>
        <v>-38.490000000000009</v>
      </c>
      <c r="Y49" s="2"/>
      <c r="Z49" s="7">
        <f t="shared" si="35"/>
        <v>-8.8482758620689675E-2</v>
      </c>
    </row>
    <row r="50" spans="1:26" s="28" customFormat="1" outlineLevel="1" collapsed="1" x14ac:dyDescent="0.25">
      <c r="A50" s="27"/>
      <c r="B50" s="14" t="str">
        <f>CONCATENATE("     ","Professional Services                             ")</f>
        <v xml:space="preserve">     Professional Services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250</v>
      </c>
      <c r="I50" s="1"/>
      <c r="J50" s="5">
        <f t="shared" si="29"/>
        <v>0</v>
      </c>
      <c r="K50" s="1"/>
      <c r="L50" s="1">
        <f t="shared" si="30"/>
        <v>-250</v>
      </c>
      <c r="M50" s="1"/>
      <c r="N50" s="5">
        <f t="shared" si="31"/>
        <v>-1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750</v>
      </c>
      <c r="U50" s="1"/>
      <c r="V50" s="5">
        <f t="shared" si="33"/>
        <v>0</v>
      </c>
      <c r="W50" s="1"/>
      <c r="X50" s="1">
        <f t="shared" si="34"/>
        <v>-750</v>
      </c>
      <c r="Y50" s="1"/>
      <c r="Z50" s="5">
        <f t="shared" si="35"/>
        <v>-1</v>
      </c>
    </row>
    <row r="51" spans="1:26" s="24" customFormat="1" hidden="1" outlineLevel="2" x14ac:dyDescent="0.25">
      <c r="A51" s="29"/>
      <c r="B51" s="11" t="str">
        <f>CONCATENATE("          ", "6332", " - ", "CONSULTANT FEES")</f>
        <v xml:space="preserve">          6332 - CONSULTANT FEES</v>
      </c>
      <c r="C51" s="11"/>
      <c r="D51" s="6"/>
      <c r="E51" s="2"/>
      <c r="F51" s="7">
        <f t="shared" si="28"/>
        <v>0</v>
      </c>
      <c r="G51" s="2"/>
      <c r="H51" s="6">
        <v>250</v>
      </c>
      <c r="I51" s="2"/>
      <c r="J51" s="7">
        <f t="shared" si="29"/>
        <v>0</v>
      </c>
      <c r="K51" s="2"/>
      <c r="L51" s="6">
        <f t="shared" si="30"/>
        <v>-250</v>
      </c>
      <c r="M51" s="2"/>
      <c r="N51" s="7">
        <f t="shared" si="31"/>
        <v>-1</v>
      </c>
      <c r="O51" s="11"/>
      <c r="P51" s="6"/>
      <c r="Q51" s="2"/>
      <c r="R51" s="7">
        <f t="shared" si="32"/>
        <v>0</v>
      </c>
      <c r="S51" s="2"/>
      <c r="T51" s="6">
        <v>750</v>
      </c>
      <c r="U51" s="2"/>
      <c r="V51" s="7">
        <f t="shared" si="33"/>
        <v>0</v>
      </c>
      <c r="W51" s="2"/>
      <c r="X51" s="6">
        <f t="shared" si="34"/>
        <v>-750</v>
      </c>
      <c r="Y51" s="2"/>
      <c r="Z51" s="7">
        <f t="shared" si="35"/>
        <v>-1</v>
      </c>
    </row>
    <row r="52" spans="1:26" s="28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81.44</v>
      </c>
      <c r="E52" s="1"/>
      <c r="F52" s="5">
        <f t="shared" si="28"/>
        <v>0</v>
      </c>
      <c r="G52" s="1"/>
      <c r="H52" s="1">
        <f>SUM(OSRRefH22_7x_0)</f>
        <v>60</v>
      </c>
      <c r="I52" s="1"/>
      <c r="J52" s="5">
        <f t="shared" si="29"/>
        <v>0</v>
      </c>
      <c r="K52" s="1"/>
      <c r="L52" s="1">
        <f t="shared" si="30"/>
        <v>21.439999999999998</v>
      </c>
      <c r="M52" s="1"/>
      <c r="N52" s="5">
        <f t="shared" si="31"/>
        <v>0.35733333333333328</v>
      </c>
      <c r="O52" s="14"/>
      <c r="P52" s="1">
        <f>SUM(OSRRefP22_7x_0)</f>
        <v>417.48</v>
      </c>
      <c r="Q52" s="1"/>
      <c r="R52" s="5">
        <f t="shared" si="32"/>
        <v>0</v>
      </c>
      <c r="S52" s="1"/>
      <c r="T52" s="1">
        <f>SUM(OSRRefT22_7x_0)</f>
        <v>180</v>
      </c>
      <c r="U52" s="1"/>
      <c r="V52" s="5">
        <f t="shared" si="33"/>
        <v>0</v>
      </c>
      <c r="W52" s="1"/>
      <c r="X52" s="1">
        <f t="shared" si="34"/>
        <v>237.48000000000002</v>
      </c>
      <c r="Y52" s="1"/>
      <c r="Z52" s="5">
        <f t="shared" si="35"/>
        <v>1.3193333333333335</v>
      </c>
    </row>
    <row r="53" spans="1:26" s="24" customFormat="1" hidden="1" outlineLevel="2" x14ac:dyDescent="0.25">
      <c r="A53" s="29"/>
      <c r="B53" s="11" t="str">
        <f>CONCATENATE("          ", "6371", " - ", "COMPUTER SOFTWARE MAINTENANCE")</f>
        <v xml:space="preserve">          6371 - COMPUTER SOFTWARE MAINTENANCE</v>
      </c>
      <c r="C53" s="11"/>
      <c r="D53" s="6">
        <v>59.95</v>
      </c>
      <c r="E53" s="2"/>
      <c r="F53" s="7">
        <f t="shared" si="28"/>
        <v>0</v>
      </c>
      <c r="G53" s="2"/>
      <c r="H53" s="6">
        <v>60</v>
      </c>
      <c r="I53" s="2"/>
      <c r="J53" s="7">
        <f t="shared" si="29"/>
        <v>0</v>
      </c>
      <c r="K53" s="2"/>
      <c r="L53" s="6">
        <f t="shared" si="30"/>
        <v>-4.9999999999997158E-2</v>
      </c>
      <c r="M53" s="2"/>
      <c r="N53" s="7">
        <f t="shared" si="31"/>
        <v>-8.3333333333328601E-4</v>
      </c>
      <c r="O53" s="11"/>
      <c r="P53" s="6">
        <v>386.1</v>
      </c>
      <c r="Q53" s="2"/>
      <c r="R53" s="7">
        <f t="shared" si="32"/>
        <v>0</v>
      </c>
      <c r="S53" s="2"/>
      <c r="T53" s="6">
        <v>180</v>
      </c>
      <c r="U53" s="2"/>
      <c r="V53" s="7">
        <f t="shared" si="33"/>
        <v>0</v>
      </c>
      <c r="W53" s="2"/>
      <c r="X53" s="6">
        <f t="shared" si="34"/>
        <v>206.10000000000002</v>
      </c>
      <c r="Y53" s="2"/>
      <c r="Z53" s="7">
        <f t="shared" si="35"/>
        <v>1.145</v>
      </c>
    </row>
    <row r="54" spans="1:26" s="24" customFormat="1" hidden="1" outlineLevel="2" x14ac:dyDescent="0.25">
      <c r="A54" s="29"/>
      <c r="B54" s="11" t="str">
        <f>CONCATENATE("          ", "6373", " - ", "MAINTENANCE CONTRACTS")</f>
        <v xml:space="preserve">          6373 - MAINTENANCE CONTRACTS</v>
      </c>
      <c r="C54" s="11"/>
      <c r="D54" s="6">
        <v>21.49</v>
      </c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21.49</v>
      </c>
      <c r="M54" s="2"/>
      <c r="N54" s="7">
        <f t="shared" si="31"/>
        <v>0</v>
      </c>
      <c r="O54" s="11"/>
      <c r="P54" s="6">
        <v>31.38</v>
      </c>
      <c r="Q54" s="2"/>
      <c r="R54" s="7">
        <f t="shared" si="32"/>
        <v>0</v>
      </c>
      <c r="S54" s="2"/>
      <c r="T54" s="6"/>
      <c r="U54" s="2"/>
      <c r="V54" s="7">
        <f t="shared" si="33"/>
        <v>0</v>
      </c>
      <c r="W54" s="2"/>
      <c r="X54" s="6">
        <f t="shared" si="34"/>
        <v>31.38</v>
      </c>
      <c r="Y54" s="2"/>
      <c r="Z54" s="7">
        <f t="shared" si="35"/>
        <v>0</v>
      </c>
    </row>
    <row r="55" spans="1:26" s="28" customFormat="1" outlineLevel="1" collapsed="1" x14ac:dyDescent="0.2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512.48</v>
      </c>
      <c r="E55" s="1"/>
      <c r="F55" s="5">
        <f t="shared" ref="F55:F60" si="36">IF(D$12=0,0,D55/D$12)</f>
        <v>0</v>
      </c>
      <c r="G55" s="1"/>
      <c r="H55" s="1">
        <f>SUM(OSRRefH22_8x_0)</f>
        <v>500</v>
      </c>
      <c r="I55" s="1"/>
      <c r="J55" s="5">
        <f t="shared" ref="J55:J60" si="37">IF(H$12=0,0,H55/H$12)</f>
        <v>0</v>
      </c>
      <c r="K55" s="1"/>
      <c r="L55" s="1">
        <f t="shared" ref="L55:L60" si="38">+D55-H55</f>
        <v>12.480000000000018</v>
      </c>
      <c r="M55" s="1"/>
      <c r="N55" s="5">
        <f t="shared" ref="N55:N60" si="39">IF(H55=0,0,L55/H55)</f>
        <v>2.4960000000000038E-2</v>
      </c>
      <c r="O55" s="14"/>
      <c r="P55" s="1">
        <f>SUM(OSRRefP22_8x_0)</f>
        <v>1024.96</v>
      </c>
      <c r="Q55" s="1"/>
      <c r="R55" s="5">
        <f t="shared" ref="R55:R60" si="40">IF(P$12=0,0,P55/P$12)</f>
        <v>0</v>
      </c>
      <c r="S55" s="1"/>
      <c r="T55" s="1">
        <f>SUM(OSRRefT22_8x_0)</f>
        <v>1500</v>
      </c>
      <c r="U55" s="1"/>
      <c r="V55" s="5">
        <f t="shared" ref="V55:V60" si="41">IF(T$12=0,0,T55/T$12)</f>
        <v>0</v>
      </c>
      <c r="W55" s="1"/>
      <c r="X55" s="1">
        <f t="shared" ref="X55:X60" si="42">+P55-T55</f>
        <v>-475.03999999999996</v>
      </c>
      <c r="Y55" s="1"/>
      <c r="Z55" s="5">
        <f t="shared" ref="Z55:Z60" si="43">IF(T55=0,0,X55/T55)</f>
        <v>-0.31669333333333333</v>
      </c>
    </row>
    <row r="56" spans="1:26" s="24" customFormat="1" hidden="1" outlineLevel="2" x14ac:dyDescent="0.25">
      <c r="A56" s="29"/>
      <c r="B56" s="11" t="str">
        <f>CONCATENATE("          ", "6281", " - ", "STORAGE FEE")</f>
        <v xml:space="preserve">          6281 - STORAGE FEE</v>
      </c>
      <c r="C56" s="11"/>
      <c r="D56" s="6">
        <v>512.48</v>
      </c>
      <c r="E56" s="2"/>
      <c r="F56" s="7">
        <f t="shared" si="36"/>
        <v>0</v>
      </c>
      <c r="G56" s="2"/>
      <c r="H56" s="6">
        <v>500</v>
      </c>
      <c r="I56" s="2"/>
      <c r="J56" s="7">
        <f t="shared" si="37"/>
        <v>0</v>
      </c>
      <c r="K56" s="2"/>
      <c r="L56" s="6">
        <f t="shared" si="38"/>
        <v>12.480000000000018</v>
      </c>
      <c r="M56" s="2"/>
      <c r="N56" s="7">
        <f t="shared" si="39"/>
        <v>2.4960000000000038E-2</v>
      </c>
      <c r="O56" s="11"/>
      <c r="P56" s="6">
        <v>1024.96</v>
      </c>
      <c r="Q56" s="2"/>
      <c r="R56" s="7">
        <f t="shared" si="40"/>
        <v>0</v>
      </c>
      <c r="S56" s="2"/>
      <c r="T56" s="6">
        <v>1500</v>
      </c>
      <c r="U56" s="2"/>
      <c r="V56" s="7">
        <f t="shared" si="41"/>
        <v>0</v>
      </c>
      <c r="W56" s="2"/>
      <c r="X56" s="6">
        <f t="shared" si="42"/>
        <v>-475.03999999999996</v>
      </c>
      <c r="Y56" s="2"/>
      <c r="Z56" s="7">
        <f t="shared" si="43"/>
        <v>-0.31669333333333333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SUM(OSRRefD22_9x_0)</f>
        <v>89.4</v>
      </c>
      <c r="E57" s="1"/>
      <c r="F57" s="5">
        <f t="shared" si="36"/>
        <v>0</v>
      </c>
      <c r="G57" s="1"/>
      <c r="H57" s="1">
        <f>SUM(OSRRefH22_9x_0)</f>
        <v>200</v>
      </c>
      <c r="I57" s="1"/>
      <c r="J57" s="5">
        <f t="shared" si="37"/>
        <v>0</v>
      </c>
      <c r="K57" s="1"/>
      <c r="L57" s="1">
        <f t="shared" si="38"/>
        <v>-110.6</v>
      </c>
      <c r="M57" s="1"/>
      <c r="N57" s="5">
        <f t="shared" si="39"/>
        <v>-0.55299999999999994</v>
      </c>
      <c r="O57" s="14"/>
      <c r="P57" s="1">
        <f>SUM(OSRRefP22_9x_0)</f>
        <v>647.46</v>
      </c>
      <c r="Q57" s="1"/>
      <c r="R57" s="5">
        <f t="shared" si="40"/>
        <v>0</v>
      </c>
      <c r="S57" s="1"/>
      <c r="T57" s="1">
        <f>SUM(OSRRefT22_9x_0)</f>
        <v>10184</v>
      </c>
      <c r="U57" s="1"/>
      <c r="V57" s="5">
        <f t="shared" si="41"/>
        <v>0</v>
      </c>
      <c r="W57" s="1"/>
      <c r="X57" s="1">
        <f t="shared" si="42"/>
        <v>-9536.5400000000009</v>
      </c>
      <c r="Y57" s="1"/>
      <c r="Z57" s="5">
        <f t="shared" si="43"/>
        <v>-0.9364238020424196</v>
      </c>
    </row>
    <row r="58" spans="1:26" s="24" customFormat="1" hidden="1" outlineLevel="2" x14ac:dyDescent="0.25">
      <c r="A58" s="29"/>
      <c r="B58" s="11" t="str">
        <f>CONCATENATE("          ", "6234", " - ", "EXPENDABLE SUPPLIES &amp; EQUIPMEN")</f>
        <v xml:space="preserve">          6234 - EXPENDABLE SUPPLIES &amp; EQUIPMEN</v>
      </c>
      <c r="C58" s="11"/>
      <c r="D58" s="6"/>
      <c r="E58" s="2"/>
      <c r="F58" s="7">
        <f t="shared" si="36"/>
        <v>0</v>
      </c>
      <c r="G58" s="2"/>
      <c r="H58" s="6"/>
      <c r="I58" s="2"/>
      <c r="J58" s="7">
        <f t="shared" si="37"/>
        <v>0</v>
      </c>
      <c r="K58" s="2"/>
      <c r="L58" s="6">
        <f t="shared" si="38"/>
        <v>0</v>
      </c>
      <c r="M58" s="2"/>
      <c r="N58" s="7">
        <f t="shared" si="39"/>
        <v>0</v>
      </c>
      <c r="O58" s="11"/>
      <c r="P58" s="6"/>
      <c r="Q58" s="2"/>
      <c r="R58" s="7">
        <f t="shared" si="40"/>
        <v>0</v>
      </c>
      <c r="S58" s="2"/>
      <c r="T58" s="6">
        <v>9584</v>
      </c>
      <c r="U58" s="2"/>
      <c r="V58" s="7">
        <f t="shared" si="41"/>
        <v>0</v>
      </c>
      <c r="W58" s="2"/>
      <c r="X58" s="6">
        <f t="shared" si="42"/>
        <v>-9584</v>
      </c>
      <c r="Y58" s="2"/>
      <c r="Z58" s="7">
        <f t="shared" si="43"/>
        <v>-1</v>
      </c>
    </row>
    <row r="59" spans="1:26" s="24" customFormat="1" hidden="1" outlineLevel="2" x14ac:dyDescent="0.25">
      <c r="A59" s="29"/>
      <c r="B59" s="11" t="str">
        <f>CONCATENATE("          ", "6235", " - ", "COVID-19 EXPENSES")</f>
        <v xml:space="preserve">          6235 - COVID-19 EXPENSES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>
        <v>426.66</v>
      </c>
      <c r="Q59" s="2"/>
      <c r="R59" s="7">
        <f t="shared" si="40"/>
        <v>0</v>
      </c>
      <c r="S59" s="2"/>
      <c r="T59" s="6"/>
      <c r="U59" s="2"/>
      <c r="V59" s="7">
        <f t="shared" si="41"/>
        <v>0</v>
      </c>
      <c r="W59" s="2"/>
      <c r="X59" s="6">
        <f t="shared" si="42"/>
        <v>426.66</v>
      </c>
      <c r="Y59" s="2"/>
      <c r="Z59" s="7">
        <f t="shared" si="43"/>
        <v>0</v>
      </c>
    </row>
    <row r="60" spans="1:26" s="24" customFormat="1" hidden="1" outlineLevel="2" x14ac:dyDescent="0.25">
      <c r="A60" s="29"/>
      <c r="B60" s="11" t="str">
        <f>CONCATENATE("          ", "6241", " - ", "OFFICE EXPENSE")</f>
        <v xml:space="preserve">          6241 - OFFICE EXPENSE</v>
      </c>
      <c r="C60" s="11"/>
      <c r="D60" s="6">
        <v>89.4</v>
      </c>
      <c r="E60" s="2"/>
      <c r="F60" s="7">
        <f t="shared" si="36"/>
        <v>0</v>
      </c>
      <c r="G60" s="2"/>
      <c r="H60" s="6">
        <v>200</v>
      </c>
      <c r="I60" s="2"/>
      <c r="J60" s="7">
        <f t="shared" si="37"/>
        <v>0</v>
      </c>
      <c r="K60" s="2"/>
      <c r="L60" s="6">
        <f t="shared" si="38"/>
        <v>-110.6</v>
      </c>
      <c r="M60" s="2"/>
      <c r="N60" s="7">
        <f t="shared" si="39"/>
        <v>-0.55299999999999994</v>
      </c>
      <c r="O60" s="11"/>
      <c r="P60" s="6">
        <v>220.8</v>
      </c>
      <c r="Q60" s="2"/>
      <c r="R60" s="7">
        <f t="shared" si="40"/>
        <v>0</v>
      </c>
      <c r="S60" s="2"/>
      <c r="T60" s="6">
        <v>600</v>
      </c>
      <c r="U60" s="2"/>
      <c r="V60" s="7">
        <f t="shared" si="41"/>
        <v>0</v>
      </c>
      <c r="W60" s="2"/>
      <c r="X60" s="6">
        <f t="shared" si="42"/>
        <v>-379.2</v>
      </c>
      <c r="Y60" s="2"/>
      <c r="Z60" s="7">
        <f t="shared" si="43"/>
        <v>-0.63200000000000001</v>
      </c>
    </row>
    <row r="61" spans="1:26" s="28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SUM(OSRRefD22_10x_0)</f>
        <v>425</v>
      </c>
      <c r="E61" s="1"/>
      <c r="F61" s="5">
        <f t="shared" ref="F61:F66" si="44">IF(D$12=0,0,D61/D$12)</f>
        <v>0</v>
      </c>
      <c r="G61" s="1"/>
      <c r="H61" s="1">
        <f>SUM(OSRRefH22_10x_0)</f>
        <v>375</v>
      </c>
      <c r="I61" s="1"/>
      <c r="J61" s="5">
        <f t="shared" ref="J61:J66" si="45">IF(H$12=0,0,H61/H$12)</f>
        <v>0</v>
      </c>
      <c r="K61" s="1"/>
      <c r="L61" s="1">
        <f t="shared" ref="L61:L66" si="46">+D61-H61</f>
        <v>50</v>
      </c>
      <c r="M61" s="1"/>
      <c r="N61" s="5">
        <f t="shared" ref="N61:N66" si="47">IF(H61=0,0,L61/H61)</f>
        <v>0.13333333333333333</v>
      </c>
      <c r="O61" s="14"/>
      <c r="P61" s="1">
        <f>SUM(OSRRefP22_10x_0)</f>
        <v>1266.45</v>
      </c>
      <c r="Q61" s="1"/>
      <c r="R61" s="5">
        <f t="shared" ref="R61:R66" si="48">IF(P$12=0,0,P61/P$12)</f>
        <v>0</v>
      </c>
      <c r="S61" s="1"/>
      <c r="T61" s="1">
        <f>SUM(OSRRefT22_10x_0)</f>
        <v>1125</v>
      </c>
      <c r="U61" s="1"/>
      <c r="V61" s="5">
        <f t="shared" ref="V61:V66" si="49">IF(T$12=0,0,T61/T$12)</f>
        <v>0</v>
      </c>
      <c r="W61" s="1"/>
      <c r="X61" s="1">
        <f t="shared" ref="X61:X66" si="50">+P61-T61</f>
        <v>141.45000000000005</v>
      </c>
      <c r="Y61" s="1"/>
      <c r="Z61" s="5">
        <f t="shared" ref="Z61:Z66" si="51">IF(T61=0,0,X61/T61)</f>
        <v>0.12573333333333336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6">
        <v>425</v>
      </c>
      <c r="E62" s="2"/>
      <c r="F62" s="7">
        <f t="shared" si="44"/>
        <v>0</v>
      </c>
      <c r="G62" s="2"/>
      <c r="H62" s="6">
        <v>375</v>
      </c>
      <c r="I62" s="2"/>
      <c r="J62" s="7">
        <f t="shared" si="45"/>
        <v>0</v>
      </c>
      <c r="K62" s="2"/>
      <c r="L62" s="6">
        <f t="shared" si="46"/>
        <v>50</v>
      </c>
      <c r="M62" s="2"/>
      <c r="N62" s="7">
        <f t="shared" si="47"/>
        <v>0.13333333333333333</v>
      </c>
      <c r="O62" s="11"/>
      <c r="P62" s="6">
        <v>1266.45</v>
      </c>
      <c r="Q62" s="2"/>
      <c r="R62" s="7">
        <f t="shared" si="48"/>
        <v>0</v>
      </c>
      <c r="S62" s="2"/>
      <c r="T62" s="6">
        <v>1125</v>
      </c>
      <c r="U62" s="2"/>
      <c r="V62" s="7">
        <f t="shared" si="49"/>
        <v>0</v>
      </c>
      <c r="W62" s="2"/>
      <c r="X62" s="6">
        <f t="shared" si="50"/>
        <v>141.45000000000005</v>
      </c>
      <c r="Y62" s="2"/>
      <c r="Z62" s="7">
        <f t="shared" si="51"/>
        <v>0.12573333333333336</v>
      </c>
    </row>
    <row r="63" spans="1:26" s="28" customFormat="1" outlineLevel="1" collapsed="1" x14ac:dyDescent="0.2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SUM(OSRRefD22_11x_0)</f>
        <v>199</v>
      </c>
      <c r="E63" s="1"/>
      <c r="F63" s="5">
        <f t="shared" si="44"/>
        <v>0</v>
      </c>
      <c r="G63" s="1"/>
      <c r="H63" s="1">
        <f>SUM(OSRRefH22_11x_0)</f>
        <v>250</v>
      </c>
      <c r="I63" s="1"/>
      <c r="J63" s="5">
        <f t="shared" si="45"/>
        <v>0</v>
      </c>
      <c r="K63" s="1"/>
      <c r="L63" s="1">
        <f t="shared" si="46"/>
        <v>-51</v>
      </c>
      <c r="M63" s="1"/>
      <c r="N63" s="5">
        <f t="shared" si="47"/>
        <v>-0.20399999999999999</v>
      </c>
      <c r="O63" s="14"/>
      <c r="P63" s="1">
        <f>SUM(OSRRefP22_11x_0)</f>
        <v>199</v>
      </c>
      <c r="Q63" s="1"/>
      <c r="R63" s="5">
        <f t="shared" si="48"/>
        <v>0</v>
      </c>
      <c r="S63" s="1"/>
      <c r="T63" s="1">
        <f>SUM(OSRRefT22_11x_0)</f>
        <v>500</v>
      </c>
      <c r="U63" s="1"/>
      <c r="V63" s="5">
        <f t="shared" si="49"/>
        <v>0</v>
      </c>
      <c r="W63" s="1"/>
      <c r="X63" s="1">
        <f t="shared" si="50"/>
        <v>-301</v>
      </c>
      <c r="Y63" s="1"/>
      <c r="Z63" s="5">
        <f t="shared" si="51"/>
        <v>-0.60199999999999998</v>
      </c>
    </row>
    <row r="64" spans="1:26" s="24" customFormat="1" hidden="1" outlineLevel="2" x14ac:dyDescent="0.25">
      <c r="A64" s="29"/>
      <c r="B64" s="11" t="str">
        <f>CONCATENATE("          ", "6376", " - ", "TRAINING")</f>
        <v xml:space="preserve">          6376 - TRAINING</v>
      </c>
      <c r="C64" s="11"/>
      <c r="D64" s="6">
        <v>199</v>
      </c>
      <c r="E64" s="2"/>
      <c r="F64" s="7">
        <f t="shared" si="44"/>
        <v>0</v>
      </c>
      <c r="G64" s="2"/>
      <c r="H64" s="6">
        <v>250</v>
      </c>
      <c r="I64" s="2"/>
      <c r="J64" s="7">
        <f t="shared" si="45"/>
        <v>0</v>
      </c>
      <c r="K64" s="2"/>
      <c r="L64" s="6">
        <f t="shared" si="46"/>
        <v>-51</v>
      </c>
      <c r="M64" s="2"/>
      <c r="N64" s="7">
        <f t="shared" si="47"/>
        <v>-0.20399999999999999</v>
      </c>
      <c r="O64" s="11"/>
      <c r="P64" s="6">
        <v>199</v>
      </c>
      <c r="Q64" s="2"/>
      <c r="R64" s="7">
        <f t="shared" si="48"/>
        <v>0</v>
      </c>
      <c r="S64" s="2"/>
      <c r="T64" s="6">
        <v>500</v>
      </c>
      <c r="U64" s="2"/>
      <c r="V64" s="7">
        <f t="shared" si="49"/>
        <v>0</v>
      </c>
      <c r="W64" s="2"/>
      <c r="X64" s="6">
        <f t="shared" si="50"/>
        <v>-301</v>
      </c>
      <c r="Y64" s="2"/>
      <c r="Z64" s="7">
        <f t="shared" si="51"/>
        <v>-0.60199999999999998</v>
      </c>
    </row>
    <row r="65" spans="1:26" s="28" customFormat="1" outlineLevel="1" collapsed="1" x14ac:dyDescent="0.25">
      <c r="A65" s="27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SUM(OSRRefD22_12x_0)</f>
        <v>0</v>
      </c>
      <c r="E65" s="1"/>
      <c r="F65" s="5">
        <f t="shared" si="44"/>
        <v>0</v>
      </c>
      <c r="G65" s="1"/>
      <c r="H65" s="1">
        <f>SUM(OSRRefH22_12x_0)</f>
        <v>0</v>
      </c>
      <c r="I65" s="1"/>
      <c r="J65" s="5">
        <f t="shared" si="45"/>
        <v>0</v>
      </c>
      <c r="K65" s="1"/>
      <c r="L65" s="1">
        <f t="shared" si="46"/>
        <v>0</v>
      </c>
      <c r="M65" s="1"/>
      <c r="N65" s="5">
        <f t="shared" si="47"/>
        <v>0</v>
      </c>
      <c r="O65" s="14"/>
      <c r="P65" s="1">
        <f>SUM(OSRRefP22_12x_0)</f>
        <v>17.55</v>
      </c>
      <c r="Q65" s="1"/>
      <c r="R65" s="5">
        <f t="shared" si="48"/>
        <v>0</v>
      </c>
      <c r="S65" s="1"/>
      <c r="T65" s="1">
        <f>SUM(OSRRefT22_12x_0)</f>
        <v>0</v>
      </c>
      <c r="U65" s="1"/>
      <c r="V65" s="5">
        <f t="shared" si="49"/>
        <v>0</v>
      </c>
      <c r="W65" s="1"/>
      <c r="X65" s="1">
        <f t="shared" si="50"/>
        <v>17.55</v>
      </c>
      <c r="Y65" s="1"/>
      <c r="Z65" s="5">
        <f t="shared" si="51"/>
        <v>0</v>
      </c>
    </row>
    <row r="66" spans="1:26" s="24" customFormat="1" hidden="1" outlineLevel="2" x14ac:dyDescent="0.25">
      <c r="A66" s="29"/>
      <c r="B66" s="11" t="str">
        <f>CONCATENATE("          ", "6294", " - ", "TRAVEL OPERATIONAL")</f>
        <v xml:space="preserve">          6294 - TRAVEL OPERATIONAL</v>
      </c>
      <c r="C66" s="11"/>
      <c r="D66" s="6"/>
      <c r="E66" s="2"/>
      <c r="F66" s="7">
        <f t="shared" si="44"/>
        <v>0</v>
      </c>
      <c r="G66" s="2"/>
      <c r="H66" s="6"/>
      <c r="I66" s="2"/>
      <c r="J66" s="7">
        <f t="shared" si="45"/>
        <v>0</v>
      </c>
      <c r="K66" s="2"/>
      <c r="L66" s="6">
        <f t="shared" si="46"/>
        <v>0</v>
      </c>
      <c r="M66" s="2"/>
      <c r="N66" s="7">
        <f t="shared" si="47"/>
        <v>0</v>
      </c>
      <c r="O66" s="11"/>
      <c r="P66" s="6">
        <v>17.55</v>
      </c>
      <c r="Q66" s="2"/>
      <c r="R66" s="7">
        <f t="shared" si="48"/>
        <v>0</v>
      </c>
      <c r="S66" s="2"/>
      <c r="T66" s="6"/>
      <c r="U66" s="2"/>
      <c r="V66" s="7">
        <f t="shared" si="49"/>
        <v>0</v>
      </c>
      <c r="W66" s="2"/>
      <c r="X66" s="6">
        <f t="shared" si="50"/>
        <v>17.55</v>
      </c>
      <c r="Y66" s="2"/>
      <c r="Z66" s="7">
        <f t="shared" si="51"/>
        <v>0</v>
      </c>
    </row>
    <row r="67" spans="1:26" s="61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5" t="s">
        <v>0</v>
      </c>
      <c r="C68" s="10"/>
      <c r="D68" s="4">
        <f>SUM(OSRRefD25x_0)</f>
        <v>0</v>
      </c>
      <c r="E68" s="4"/>
      <c r="F68" s="12">
        <f t="shared" ref="F68:F71" si="52">IF(D$12=0,0,D68/D$12)</f>
        <v>0</v>
      </c>
      <c r="G68" s="4"/>
      <c r="H68" s="4">
        <f>SUM(OSRRefH25x_0)</f>
        <v>0</v>
      </c>
      <c r="I68" s="4"/>
      <c r="J68" s="12">
        <f t="shared" ref="J68:J71" si="53">IF(H$12=0,0,H68/H$12)</f>
        <v>0</v>
      </c>
      <c r="K68" s="4"/>
      <c r="L68" s="4">
        <f t="shared" ref="L68:L71" si="54">+D68-H68</f>
        <v>0</v>
      </c>
      <c r="M68" s="4"/>
      <c r="N68" s="12">
        <f t="shared" ref="N68:N71" si="55">IF(H68=0,0,L68/H68)</f>
        <v>0</v>
      </c>
      <c r="O68" s="10"/>
      <c r="P68" s="4">
        <f>SUM(OSRRefP25x_0)</f>
        <v>0</v>
      </c>
      <c r="Q68" s="4"/>
      <c r="R68" s="12">
        <f t="shared" ref="R68:R71" si="56">IF(P$12=0,0,P68/P$12)</f>
        <v>0</v>
      </c>
      <c r="S68" s="4"/>
      <c r="T68" s="4">
        <f>SUM(OSRRefT25x_0)</f>
        <v>0</v>
      </c>
      <c r="U68" s="4"/>
      <c r="V68" s="12">
        <f t="shared" ref="V68:V71" si="57">IF(T$12=0,0,T68/T$12)</f>
        <v>0</v>
      </c>
      <c r="W68" s="4"/>
      <c r="X68" s="4">
        <f t="shared" ref="X68:X71" si="58">+P68-T68</f>
        <v>0</v>
      </c>
      <c r="Y68" s="4"/>
      <c r="Z68" s="12">
        <f t="shared" ref="Z68:Z71" si="59">IF(T68=0,0,X68/T68)</f>
        <v>0</v>
      </c>
    </row>
    <row r="69" spans="1:26" s="24" customFormat="1" hidden="1" outlineLevel="1" x14ac:dyDescent="0.25">
      <c r="A69" s="51"/>
      <c r="B69" s="11" t="str">
        <f>CONCATENATE("          ", "9150", " - ", "MISC. INCOME")</f>
        <v xml:space="preserve">          9150 - MISC. INCOME</v>
      </c>
      <c r="C69" s="11"/>
      <c r="D69" s="2">
        <f t="shared" ref="D69:D71" si="60">0</f>
        <v>0</v>
      </c>
      <c r="E69" s="2"/>
      <c r="F69" s="22">
        <f t="shared" si="52"/>
        <v>0</v>
      </c>
      <c r="G69" s="2"/>
      <c r="H69" s="2"/>
      <c r="I69" s="2"/>
      <c r="J69" s="22">
        <f t="shared" si="53"/>
        <v>0</v>
      </c>
      <c r="K69" s="2"/>
      <c r="L69" s="2">
        <f t="shared" si="54"/>
        <v>0</v>
      </c>
      <c r="M69" s="2"/>
      <c r="N69" s="22">
        <f t="shared" si="55"/>
        <v>0</v>
      </c>
      <c r="O69" s="11"/>
      <c r="P69" s="2">
        <f t="shared" ref="P69:P71" si="61">0</f>
        <v>0</v>
      </c>
      <c r="Q69" s="2"/>
      <c r="R69" s="22">
        <f t="shared" si="56"/>
        <v>0</v>
      </c>
      <c r="S69" s="2"/>
      <c r="T69" s="2">
        <v>0</v>
      </c>
      <c r="U69" s="2"/>
      <c r="V69" s="22">
        <f t="shared" si="57"/>
        <v>0</v>
      </c>
      <c r="W69" s="2"/>
      <c r="X69" s="2">
        <f t="shared" si="58"/>
        <v>0</v>
      </c>
      <c r="Y69" s="2"/>
      <c r="Z69" s="22">
        <f t="shared" si="59"/>
        <v>0</v>
      </c>
    </row>
    <row r="70" spans="1:26" s="24" customFormat="1" hidden="1" outlineLevel="1" x14ac:dyDescent="0.25">
      <c r="A70" s="51"/>
      <c r="B70" s="11" t="str">
        <f>CONCATENATE("          ", "9151", " - ", "MISC. INCOME")</f>
        <v xml:space="preserve">          9151 - MISC. INCOME</v>
      </c>
      <c r="C70" s="11"/>
      <c r="D70" s="2">
        <f t="shared" si="60"/>
        <v>0</v>
      </c>
      <c r="E70" s="2"/>
      <c r="F70" s="22">
        <f t="shared" si="52"/>
        <v>0</v>
      </c>
      <c r="G70" s="2"/>
      <c r="H70" s="2"/>
      <c r="I70" s="2"/>
      <c r="J70" s="22">
        <f t="shared" si="53"/>
        <v>0</v>
      </c>
      <c r="K70" s="2"/>
      <c r="L70" s="2">
        <f t="shared" si="54"/>
        <v>0</v>
      </c>
      <c r="M70" s="2"/>
      <c r="N70" s="22">
        <f t="shared" si="55"/>
        <v>0</v>
      </c>
      <c r="O70" s="11"/>
      <c r="P70" s="2">
        <f t="shared" si="61"/>
        <v>0</v>
      </c>
      <c r="Q70" s="2"/>
      <c r="R70" s="22">
        <f t="shared" si="56"/>
        <v>0</v>
      </c>
      <c r="S70" s="2"/>
      <c r="T70" s="2">
        <v>0</v>
      </c>
      <c r="U70" s="2"/>
      <c r="V70" s="22">
        <f t="shared" si="57"/>
        <v>0</v>
      </c>
      <c r="W70" s="2"/>
      <c r="X70" s="2">
        <f t="shared" si="58"/>
        <v>0</v>
      </c>
      <c r="Y70" s="2"/>
      <c r="Z70" s="22">
        <f t="shared" si="59"/>
        <v>0</v>
      </c>
    </row>
    <row r="71" spans="1:26" s="24" customFormat="1" hidden="1" outlineLevel="1" x14ac:dyDescent="0.25">
      <c r="A71" s="51"/>
      <c r="B71" s="11" t="str">
        <f>CONCATENATE("          ", "9160", " - ", "MISC. INCOME")</f>
        <v xml:space="preserve">          9160 - MISC. INCOME</v>
      </c>
      <c r="C71" s="11"/>
      <c r="D71" s="2">
        <f t="shared" si="60"/>
        <v>0</v>
      </c>
      <c r="E71" s="2"/>
      <c r="F71" s="22">
        <f t="shared" si="52"/>
        <v>0</v>
      </c>
      <c r="G71" s="2"/>
      <c r="H71" s="2"/>
      <c r="I71" s="2"/>
      <c r="J71" s="22">
        <f t="shared" si="53"/>
        <v>0</v>
      </c>
      <c r="K71" s="2"/>
      <c r="L71" s="2">
        <f t="shared" si="54"/>
        <v>0</v>
      </c>
      <c r="M71" s="2"/>
      <c r="N71" s="22">
        <f t="shared" si="55"/>
        <v>0</v>
      </c>
      <c r="O71" s="11"/>
      <c r="P71" s="2">
        <f t="shared" si="61"/>
        <v>0</v>
      </c>
      <c r="Q71" s="2"/>
      <c r="R71" s="22">
        <f t="shared" si="56"/>
        <v>0</v>
      </c>
      <c r="S71" s="2"/>
      <c r="T71" s="2">
        <v>0</v>
      </c>
      <c r="U71" s="2"/>
      <c r="V71" s="22">
        <f t="shared" si="57"/>
        <v>0</v>
      </c>
      <c r="W71" s="2"/>
      <c r="X71" s="2">
        <f t="shared" si="58"/>
        <v>0</v>
      </c>
      <c r="Y71" s="2"/>
      <c r="Z71" s="22">
        <f t="shared" si="59"/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3</v>
      </c>
      <c r="C73" s="26"/>
      <c r="D73" s="20">
        <f>+D17-D19+D68</f>
        <v>-36054.399999999994</v>
      </c>
      <c r="E73" s="13"/>
      <c r="F73" s="21">
        <f>IF(D$12=0,0,D73/D$12)</f>
        <v>0</v>
      </c>
      <c r="G73" s="13"/>
      <c r="H73" s="20">
        <f>+H17-H19+H68</f>
        <v>-35506.791615384667</v>
      </c>
      <c r="I73" s="13"/>
      <c r="J73" s="21">
        <f>IF(H$12=0,0,H73/H$12)</f>
        <v>0</v>
      </c>
      <c r="K73" s="16"/>
      <c r="L73" s="20">
        <f>+D73-H73</f>
        <v>-547.60838461532694</v>
      </c>
      <c r="M73" s="16"/>
      <c r="N73" s="21">
        <f>IF(H73=0,0,L73/H73)</f>
        <v>1.5422637746240491E-2</v>
      </c>
      <c r="O73" s="25"/>
      <c r="P73" s="20">
        <f>+P17-P19+P68</f>
        <v>-110046.29000000002</v>
      </c>
      <c r="Q73" s="13"/>
      <c r="R73" s="21">
        <f>IF(P$12=0,0,P73/P$12)</f>
        <v>0</v>
      </c>
      <c r="S73" s="13"/>
      <c r="T73" s="20">
        <f>+T17-T19+T68</f>
        <v>-119932.15275000012</v>
      </c>
      <c r="U73" s="13"/>
      <c r="V73" s="21">
        <f>IF(T$12=0,0,T73/T$12)</f>
        <v>0</v>
      </c>
      <c r="W73" s="16"/>
      <c r="X73" s="20">
        <f>+P73-T73</f>
        <v>9885.8627500001021</v>
      </c>
      <c r="Y73" s="16"/>
      <c r="Z73" s="21">
        <f>IF(T73=0,0,X73/T73)</f>
        <v>-8.2428794308456135E-2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4</v>
      </c>
      <c r="C77" s="26"/>
      <c r="D77" s="33">
        <f>+D73-D75</f>
        <v>-36054.399999999994</v>
      </c>
      <c r="E77" s="13"/>
      <c r="F77" s="34">
        <f>IF(D$12=0,0,D77/D$12)</f>
        <v>0</v>
      </c>
      <c r="G77" s="13"/>
      <c r="H77" s="33">
        <f>+H73-H75</f>
        <v>-35506.791615384667</v>
      </c>
      <c r="I77" s="13"/>
      <c r="J77" s="34">
        <f>IF(H$12=0,0,H77/H$12)</f>
        <v>0</v>
      </c>
      <c r="K77" s="16"/>
      <c r="L77" s="33">
        <f>D77-H77</f>
        <v>-547.60838461532694</v>
      </c>
      <c r="M77" s="16"/>
      <c r="N77" s="34">
        <f>IF(H77=0,0,L77/H77)</f>
        <v>1.5422637746240491E-2</v>
      </c>
      <c r="O77" s="25"/>
      <c r="P77" s="33">
        <f>+P73-P75</f>
        <v>-110046.29000000002</v>
      </c>
      <c r="Q77" s="13"/>
      <c r="R77" s="34">
        <f>IF(P$12=0,0,P77/P$12)</f>
        <v>0</v>
      </c>
      <c r="S77" s="13"/>
      <c r="T77" s="33">
        <f>+T73-T75</f>
        <v>-119932.15275000012</v>
      </c>
      <c r="U77" s="13"/>
      <c r="V77" s="34">
        <f>IF(T$12=0,0,T77/T$12)</f>
        <v>0</v>
      </c>
      <c r="W77" s="16"/>
      <c r="X77" s="33">
        <f>P77-T77</f>
        <v>9885.8627500001021</v>
      </c>
      <c r="Y77" s="16"/>
      <c r="Z77" s="34">
        <f>IF(T77=0,0,X77/T77)</f>
        <v>-8.2428794308456135E-2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5</v>
      </c>
      <c r="C80" s="26"/>
      <c r="D80" s="31">
        <f>SUM(D77:D79)</f>
        <v>-36054.399999999994</v>
      </c>
      <c r="E80" s="13"/>
      <c r="F80" s="32">
        <f>IF(D$12=0,0,D80/D$12)</f>
        <v>0</v>
      </c>
      <c r="G80" s="13"/>
      <c r="H80" s="31">
        <f>SUM(H77:H79)</f>
        <v>-35506.791615384667</v>
      </c>
      <c r="I80" s="13"/>
      <c r="J80" s="32">
        <f>IF(H$12=0,0,H80/H$12)</f>
        <v>0</v>
      </c>
      <c r="K80" s="16"/>
      <c r="L80" s="31">
        <f>+D80-H80</f>
        <v>-547.60838461532694</v>
      </c>
      <c r="M80" s="16"/>
      <c r="N80" s="32">
        <f>IF(H80=0,0,L80/H80)</f>
        <v>1.5422637746240491E-2</v>
      </c>
      <c r="O80" s="25"/>
      <c r="P80" s="31">
        <f>SUM(P77:P79)</f>
        <v>-110046.29000000002</v>
      </c>
      <c r="Q80" s="13"/>
      <c r="R80" s="32">
        <f>IF(P$12=0,0,P80/P$12)</f>
        <v>0</v>
      </c>
      <c r="S80" s="13"/>
      <c r="T80" s="31">
        <f>SUM(T77:T79)</f>
        <v>-119932.15275000012</v>
      </c>
      <c r="U80" s="13"/>
      <c r="V80" s="32">
        <f>IF(T$12=0,0,T80/T$12)</f>
        <v>0</v>
      </c>
      <c r="W80" s="16"/>
      <c r="X80" s="31">
        <f>+P80-T80</f>
        <v>9885.8627500001021</v>
      </c>
      <c r="Y80" s="16"/>
      <c r="Z80" s="32">
        <f>IF(T80=0,0,X80/T80)</f>
        <v>-8.2428794308456135E-2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5">
        <v>44123.571746180554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53" t="s">
        <v>314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A84" s="9"/>
      <c r="B84" s="62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25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","203", " - ", "Human Resources")</f>
        <v>Department 203 - Human Resources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42643.45</v>
      </c>
      <c r="E18" s="19"/>
      <c r="F18" s="35">
        <f t="shared" ref="F18:F29" si="0">IF(D$12=0,0,D18/D$12)</f>
        <v>0</v>
      </c>
      <c r="G18" s="19"/>
      <c r="H18" s="19">
        <f>SUM(OSRRefH22x_0)</f>
        <v>49905.525784615391</v>
      </c>
      <c r="I18" s="19"/>
      <c r="J18" s="35">
        <f t="shared" ref="J18:J29" si="1">IF(H$12=0,0,H18/H$12)</f>
        <v>0</v>
      </c>
      <c r="K18" s="4"/>
      <c r="L18" s="19">
        <f t="shared" ref="L18:L29" si="2">+D18-H18</f>
        <v>-7262.0757846153938</v>
      </c>
      <c r="M18" s="4"/>
      <c r="N18" s="35">
        <f t="shared" ref="N18:N29" si="3">IF(H18=0,0,L18/H18)</f>
        <v>-0.14551646677278587</v>
      </c>
      <c r="O18" s="10"/>
      <c r="P18" s="19">
        <f>SUM(OSRRefP22x_0)</f>
        <v>134979.03999999998</v>
      </c>
      <c r="Q18" s="19"/>
      <c r="R18" s="35">
        <f t="shared" ref="R18:R29" si="4">IF(P$12=0,0,P18/P$12)</f>
        <v>0</v>
      </c>
      <c r="S18" s="19"/>
      <c r="T18" s="19">
        <f>SUM(OSRRefT22x_0)</f>
        <v>158924.20880000008</v>
      </c>
      <c r="U18" s="19"/>
      <c r="V18" s="35">
        <f t="shared" ref="V18:V29" si="5">IF(T$12=0,0,T18/T$12)</f>
        <v>0</v>
      </c>
      <c r="W18" s="4"/>
      <c r="X18" s="19">
        <f t="shared" ref="X18:X29" si="6">+P18-T18</f>
        <v>-23945.168800000101</v>
      </c>
      <c r="Y18" s="4"/>
      <c r="Z18" s="35">
        <f t="shared" ref="Z18:Z29" si="7">IF(T18=0,0,X18/T18)</f>
        <v>-0.15067036659049324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12403.79</v>
      </c>
      <c r="E19" s="1"/>
      <c r="F19" s="5">
        <f t="shared" si="0"/>
        <v>0</v>
      </c>
      <c r="G19" s="1"/>
      <c r="H19" s="1">
        <f>SUM(OSRRefH22_0x_0)</f>
        <v>10515.895015384624</v>
      </c>
      <c r="I19" s="1"/>
      <c r="J19" s="5">
        <f t="shared" si="1"/>
        <v>0</v>
      </c>
      <c r="K19" s="1"/>
      <c r="L19" s="1">
        <f t="shared" si="2"/>
        <v>1887.8949846153773</v>
      </c>
      <c r="M19" s="1"/>
      <c r="N19" s="5">
        <f t="shared" si="3"/>
        <v>0.17952775126162923</v>
      </c>
      <c r="O19" s="14"/>
      <c r="P19" s="1">
        <f>SUM(OSRRefP22_0x_0)</f>
        <v>36781.879999999997</v>
      </c>
      <c r="Q19" s="1"/>
      <c r="R19" s="5">
        <f t="shared" si="4"/>
        <v>0</v>
      </c>
      <c r="S19" s="1"/>
      <c r="T19" s="1">
        <f>SUM(OSRRefT22_0x_0)</f>
        <v>33550.408800000019</v>
      </c>
      <c r="U19" s="1"/>
      <c r="V19" s="5">
        <f t="shared" si="5"/>
        <v>0</v>
      </c>
      <c r="W19" s="1"/>
      <c r="X19" s="1">
        <f t="shared" si="6"/>
        <v>3231.4711999999781</v>
      </c>
      <c r="Y19" s="1"/>
      <c r="Z19" s="5">
        <f t="shared" si="7"/>
        <v>9.631689495240893E-2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2070.71</v>
      </c>
      <c r="E20" s="2"/>
      <c r="F20" s="7">
        <f t="shared" si="0"/>
        <v>0</v>
      </c>
      <c r="G20" s="2"/>
      <c r="H20" s="6">
        <v>1518.5906769230799</v>
      </c>
      <c r="I20" s="2"/>
      <c r="J20" s="7">
        <f t="shared" si="1"/>
        <v>0</v>
      </c>
      <c r="K20" s="2"/>
      <c r="L20" s="6">
        <f t="shared" si="2"/>
        <v>552.11932307692018</v>
      </c>
      <c r="M20" s="2"/>
      <c r="N20" s="7">
        <f t="shared" si="3"/>
        <v>0.36357349710298947</v>
      </c>
      <c r="O20" s="11"/>
      <c r="P20" s="6">
        <v>5974.04</v>
      </c>
      <c r="Q20" s="2"/>
      <c r="R20" s="7">
        <f t="shared" si="4"/>
        <v>0</v>
      </c>
      <c r="S20" s="2"/>
      <c r="T20" s="6">
        <v>4935.4197000000104</v>
      </c>
      <c r="U20" s="2"/>
      <c r="V20" s="7">
        <f t="shared" si="5"/>
        <v>0</v>
      </c>
      <c r="W20" s="2"/>
      <c r="X20" s="6">
        <f t="shared" si="6"/>
        <v>1038.6202999999896</v>
      </c>
      <c r="Y20" s="2"/>
      <c r="Z20" s="7">
        <f t="shared" si="7"/>
        <v>0.21044214335003514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87.64</v>
      </c>
      <c r="E21" s="2"/>
      <c r="F21" s="7">
        <f t="shared" si="0"/>
        <v>0</v>
      </c>
      <c r="G21" s="2"/>
      <c r="H21" s="6">
        <v>91.129753846153889</v>
      </c>
      <c r="I21" s="2"/>
      <c r="J21" s="7">
        <f t="shared" si="1"/>
        <v>0</v>
      </c>
      <c r="K21" s="2"/>
      <c r="L21" s="6">
        <f t="shared" si="2"/>
        <v>-3.4897538461538886</v>
      </c>
      <c r="M21" s="2"/>
      <c r="N21" s="7">
        <f t="shared" si="3"/>
        <v>-3.8294340748964643E-2</v>
      </c>
      <c r="O21" s="11"/>
      <c r="P21" s="6">
        <v>255.71</v>
      </c>
      <c r="Q21" s="2"/>
      <c r="R21" s="7">
        <f t="shared" si="4"/>
        <v>0</v>
      </c>
      <c r="S21" s="2"/>
      <c r="T21" s="6">
        <v>296.17169999999982</v>
      </c>
      <c r="U21" s="2"/>
      <c r="V21" s="7">
        <f t="shared" si="5"/>
        <v>0</v>
      </c>
      <c r="W21" s="2"/>
      <c r="X21" s="6">
        <f t="shared" si="6"/>
        <v>-40.461699999999809</v>
      </c>
      <c r="Y21" s="2"/>
      <c r="Z21" s="7">
        <f t="shared" si="7"/>
        <v>-0.13661568610370212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6091.67</v>
      </c>
      <c r="E22" s="2"/>
      <c r="F22" s="7">
        <f t="shared" si="0"/>
        <v>0</v>
      </c>
      <c r="G22" s="2"/>
      <c r="H22" s="6">
        <v>5635.3846153846198</v>
      </c>
      <c r="I22" s="2"/>
      <c r="J22" s="7">
        <f t="shared" si="1"/>
        <v>0</v>
      </c>
      <c r="K22" s="2"/>
      <c r="L22" s="6">
        <f t="shared" si="2"/>
        <v>456.28538461538028</v>
      </c>
      <c r="M22" s="2"/>
      <c r="N22" s="7">
        <f t="shared" si="3"/>
        <v>8.096792246792163E-2</v>
      </c>
      <c r="O22" s="11"/>
      <c r="P22" s="6">
        <v>18275.009999999998</v>
      </c>
      <c r="Q22" s="2"/>
      <c r="R22" s="7">
        <f t="shared" si="4"/>
        <v>0</v>
      </c>
      <c r="S22" s="2"/>
      <c r="T22" s="6">
        <v>17820.000000000011</v>
      </c>
      <c r="U22" s="2"/>
      <c r="V22" s="7">
        <f t="shared" si="5"/>
        <v>0</v>
      </c>
      <c r="W22" s="2"/>
      <c r="X22" s="6">
        <f t="shared" si="6"/>
        <v>455.00999999998749</v>
      </c>
      <c r="Y22" s="2"/>
      <c r="Z22" s="7">
        <f t="shared" si="7"/>
        <v>2.5533670033669315E-2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69.05</v>
      </c>
      <c r="E23" s="2"/>
      <c r="F23" s="7">
        <f t="shared" si="0"/>
        <v>0</v>
      </c>
      <c r="G23" s="2"/>
      <c r="H23" s="6">
        <v>71.799199999999999</v>
      </c>
      <c r="I23" s="2"/>
      <c r="J23" s="7">
        <f t="shared" si="1"/>
        <v>0</v>
      </c>
      <c r="K23" s="2"/>
      <c r="L23" s="6">
        <f t="shared" si="2"/>
        <v>-2.7492000000000019</v>
      </c>
      <c r="M23" s="2"/>
      <c r="N23" s="7">
        <f t="shared" si="3"/>
        <v>-3.8290120224180796E-2</v>
      </c>
      <c r="O23" s="11"/>
      <c r="P23" s="6">
        <v>201.47</v>
      </c>
      <c r="Q23" s="2"/>
      <c r="R23" s="7">
        <f t="shared" si="4"/>
        <v>0</v>
      </c>
      <c r="S23" s="2"/>
      <c r="T23" s="6">
        <v>233.34739999999999</v>
      </c>
      <c r="U23" s="2"/>
      <c r="V23" s="7">
        <f t="shared" si="5"/>
        <v>0</v>
      </c>
      <c r="W23" s="2"/>
      <c r="X23" s="6">
        <f t="shared" si="6"/>
        <v>-31.877399999999994</v>
      </c>
      <c r="Y23" s="2"/>
      <c r="Z23" s="7">
        <f t="shared" si="7"/>
        <v>-0.13660919298865123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1091.48</v>
      </c>
      <c r="E24" s="2"/>
      <c r="F24" s="7">
        <f t="shared" si="0"/>
        <v>0</v>
      </c>
      <c r="G24" s="2"/>
      <c r="H24" s="6">
        <v>853.38461538461502</v>
      </c>
      <c r="I24" s="2"/>
      <c r="J24" s="7">
        <f t="shared" si="1"/>
        <v>0</v>
      </c>
      <c r="K24" s="2"/>
      <c r="L24" s="6">
        <f t="shared" si="2"/>
        <v>238.095384615385</v>
      </c>
      <c r="M24" s="2"/>
      <c r="N24" s="7">
        <f t="shared" si="3"/>
        <v>0.27900126194339342</v>
      </c>
      <c r="O24" s="11"/>
      <c r="P24" s="6">
        <v>3820.18</v>
      </c>
      <c r="Q24" s="2"/>
      <c r="R24" s="7">
        <f t="shared" si="4"/>
        <v>0</v>
      </c>
      <c r="S24" s="2"/>
      <c r="T24" s="6">
        <v>2773.5</v>
      </c>
      <c r="U24" s="2"/>
      <c r="V24" s="7">
        <f t="shared" si="5"/>
        <v>0</v>
      </c>
      <c r="W24" s="2"/>
      <c r="X24" s="6">
        <f t="shared" si="6"/>
        <v>1046.6799999999998</v>
      </c>
      <c r="Y24" s="2"/>
      <c r="Z24" s="7">
        <f t="shared" si="7"/>
        <v>0.37738597440057681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6">
        <v>640.66999999999996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640.66999999999996</v>
      </c>
      <c r="M26" s="2"/>
      <c r="N26" s="7">
        <f t="shared" si="3"/>
        <v>0</v>
      </c>
      <c r="O26" s="11"/>
      <c r="P26" s="6">
        <v>2077.13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2077.13</v>
      </c>
      <c r="Y26" s="2"/>
      <c r="Z26" s="7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6">
        <v>1392.7</v>
      </c>
      <c r="E27" s="2"/>
      <c r="F27" s="7">
        <f t="shared" si="0"/>
        <v>0</v>
      </c>
      <c r="G27" s="2"/>
      <c r="H27" s="6">
        <v>992.15384615384596</v>
      </c>
      <c r="I27" s="2"/>
      <c r="J27" s="7">
        <f t="shared" si="1"/>
        <v>0</v>
      </c>
      <c r="K27" s="2"/>
      <c r="L27" s="6">
        <f t="shared" si="2"/>
        <v>400.54615384615408</v>
      </c>
      <c r="M27" s="2"/>
      <c r="N27" s="7">
        <f t="shared" si="3"/>
        <v>0.40371375407039883</v>
      </c>
      <c r="O27" s="11"/>
      <c r="P27" s="6">
        <v>3339.53</v>
      </c>
      <c r="Q27" s="2"/>
      <c r="R27" s="7">
        <f t="shared" si="4"/>
        <v>0</v>
      </c>
      <c r="S27" s="2"/>
      <c r="T27" s="6">
        <v>3224.5000000000023</v>
      </c>
      <c r="U27" s="2"/>
      <c r="V27" s="7">
        <f t="shared" si="5"/>
        <v>0</v>
      </c>
      <c r="W27" s="2"/>
      <c r="X27" s="6">
        <f t="shared" si="6"/>
        <v>115.02999999999793</v>
      </c>
      <c r="Y27" s="2"/>
      <c r="Z27" s="7">
        <f t="shared" si="7"/>
        <v>3.5673747867885824E-2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6">
        <v>908.12</v>
      </c>
      <c r="E28" s="2"/>
      <c r="F28" s="7">
        <f t="shared" si="0"/>
        <v>0</v>
      </c>
      <c r="G28" s="2"/>
      <c r="H28" s="6">
        <v>828.45230769230795</v>
      </c>
      <c r="I28" s="2"/>
      <c r="J28" s="7">
        <f t="shared" si="1"/>
        <v>0</v>
      </c>
      <c r="K28" s="2"/>
      <c r="L28" s="6">
        <f t="shared" si="2"/>
        <v>79.66769230769205</v>
      </c>
      <c r="M28" s="2"/>
      <c r="N28" s="7">
        <f t="shared" si="3"/>
        <v>9.6164488369415102E-2</v>
      </c>
      <c r="O28" s="11"/>
      <c r="P28" s="6">
        <v>2724.36</v>
      </c>
      <c r="Q28" s="2"/>
      <c r="R28" s="7">
        <f t="shared" si="4"/>
        <v>0</v>
      </c>
      <c r="S28" s="2"/>
      <c r="T28" s="6">
        <v>2692.4699999999957</v>
      </c>
      <c r="U28" s="2"/>
      <c r="V28" s="7">
        <f t="shared" si="5"/>
        <v>0</v>
      </c>
      <c r="W28" s="2"/>
      <c r="X28" s="6">
        <f t="shared" si="6"/>
        <v>31.89000000000442</v>
      </c>
      <c r="Y28" s="2"/>
      <c r="Z28" s="7">
        <f t="shared" si="7"/>
        <v>1.1844143110231301E-2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6">
        <v>51.75</v>
      </c>
      <c r="E29" s="2"/>
      <c r="F29" s="7">
        <f t="shared" si="0"/>
        <v>0</v>
      </c>
      <c r="G29" s="2"/>
      <c r="H29" s="6">
        <v>525</v>
      </c>
      <c r="I29" s="2"/>
      <c r="J29" s="7">
        <f t="shared" si="1"/>
        <v>0</v>
      </c>
      <c r="K29" s="2"/>
      <c r="L29" s="6">
        <f t="shared" si="2"/>
        <v>-473.25</v>
      </c>
      <c r="M29" s="2"/>
      <c r="N29" s="7">
        <f t="shared" si="3"/>
        <v>-0.90142857142857147</v>
      </c>
      <c r="O29" s="11"/>
      <c r="P29" s="6">
        <v>114.45</v>
      </c>
      <c r="Q29" s="2"/>
      <c r="R29" s="7">
        <f t="shared" si="4"/>
        <v>0</v>
      </c>
      <c r="S29" s="2"/>
      <c r="T29" s="6">
        <v>1575</v>
      </c>
      <c r="U29" s="2"/>
      <c r="V29" s="7">
        <f t="shared" si="5"/>
        <v>0</v>
      </c>
      <c r="W29" s="2"/>
      <c r="X29" s="6">
        <f t="shared" si="6"/>
        <v>-1460.55</v>
      </c>
      <c r="Y29" s="2"/>
      <c r="Z29" s="7">
        <f t="shared" si="7"/>
        <v>-0.92733333333333334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24815.739999999998</v>
      </c>
      <c r="E30" s="1"/>
      <c r="F30" s="5">
        <f t="shared" ref="F30:F40" si="8">IF(D$12=0,0,D30/D$12)</f>
        <v>0</v>
      </c>
      <c r="G30" s="1"/>
      <c r="H30" s="1">
        <f>SUM(OSRRefH22_1x_0)</f>
        <v>26027.630769230767</v>
      </c>
      <c r="I30" s="1"/>
      <c r="J30" s="5">
        <f t="shared" ref="J30:J40" si="9">IF(H$12=0,0,H30/H$12)</f>
        <v>0</v>
      </c>
      <c r="K30" s="1"/>
      <c r="L30" s="1">
        <f t="shared" ref="L30:L40" si="10">+D30-H30</f>
        <v>-1211.8907692307694</v>
      </c>
      <c r="M30" s="1"/>
      <c r="N30" s="5">
        <f t="shared" ref="N30:N40" si="11">IF(H30=0,0,L30/H30)</f>
        <v>-4.6561701292590844E-2</v>
      </c>
      <c r="O30" s="14"/>
      <c r="P30" s="1">
        <f>SUM(OSRRefP22_1x_0)</f>
        <v>81351.070000000007</v>
      </c>
      <c r="Q30" s="1"/>
      <c r="R30" s="5">
        <f t="shared" ref="R30:R40" si="12">IF(P$12=0,0,P30/P$12)</f>
        <v>0</v>
      </c>
      <c r="S30" s="1"/>
      <c r="T30" s="1">
        <f>SUM(OSRRefT22_1x_0)</f>
        <v>84589.800000000047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-3238.7300000000396</v>
      </c>
      <c r="Y30" s="1"/>
      <c r="Z30" s="5">
        <f t="shared" ref="Z30:Z40" si="15">IF(T30=0,0,X30/T30)</f>
        <v>-3.8287476740694951E-2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6">
        <v>8410.48</v>
      </c>
      <c r="E31" s="2"/>
      <c r="F31" s="7">
        <f t="shared" si="8"/>
        <v>0</v>
      </c>
      <c r="G31" s="2"/>
      <c r="H31" s="6">
        <v>9129.2307692307695</v>
      </c>
      <c r="I31" s="2"/>
      <c r="J31" s="7">
        <f t="shared" si="9"/>
        <v>0</v>
      </c>
      <c r="K31" s="2"/>
      <c r="L31" s="6">
        <f t="shared" si="10"/>
        <v>-718.75076923076995</v>
      </c>
      <c r="M31" s="2"/>
      <c r="N31" s="7">
        <f t="shared" si="11"/>
        <v>-7.8730704415234318E-2</v>
      </c>
      <c r="O31" s="11"/>
      <c r="P31" s="6">
        <v>29684.380000000005</v>
      </c>
      <c r="Q31" s="2"/>
      <c r="R31" s="7">
        <f t="shared" si="12"/>
        <v>0</v>
      </c>
      <c r="S31" s="2"/>
      <c r="T31" s="6">
        <v>29670.00000000004</v>
      </c>
      <c r="U31" s="2"/>
      <c r="V31" s="7">
        <f t="shared" si="13"/>
        <v>0</v>
      </c>
      <c r="W31" s="2"/>
      <c r="X31" s="6">
        <f t="shared" si="14"/>
        <v>14.379999999964639</v>
      </c>
      <c r="Y31" s="2"/>
      <c r="Z31" s="7">
        <f t="shared" si="15"/>
        <v>4.8466464442078257E-4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6">
        <v>11094.14</v>
      </c>
      <c r="E34" s="2"/>
      <c r="F34" s="7">
        <f t="shared" si="8"/>
        <v>0</v>
      </c>
      <c r="G34" s="2"/>
      <c r="H34" s="6">
        <v>9126.4</v>
      </c>
      <c r="I34" s="2"/>
      <c r="J34" s="7">
        <f t="shared" si="9"/>
        <v>0</v>
      </c>
      <c r="K34" s="2"/>
      <c r="L34" s="6">
        <f t="shared" si="10"/>
        <v>1967.7399999999998</v>
      </c>
      <c r="M34" s="2"/>
      <c r="N34" s="7">
        <f t="shared" si="11"/>
        <v>0.21560965988779801</v>
      </c>
      <c r="O34" s="11"/>
      <c r="P34" s="6">
        <v>30335.489999999998</v>
      </c>
      <c r="Q34" s="2"/>
      <c r="R34" s="7">
        <f t="shared" si="12"/>
        <v>0</v>
      </c>
      <c r="S34" s="2"/>
      <c r="T34" s="6">
        <v>29660.799999999999</v>
      </c>
      <c r="U34" s="2"/>
      <c r="V34" s="7">
        <f t="shared" si="13"/>
        <v>0</v>
      </c>
      <c r="W34" s="2"/>
      <c r="X34" s="6">
        <f t="shared" si="14"/>
        <v>674.68999999999869</v>
      </c>
      <c r="Y34" s="2"/>
      <c r="Z34" s="7">
        <f t="shared" si="15"/>
        <v>2.2746857805588477E-2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6">
        <v>5985.12</v>
      </c>
      <c r="E35" s="2"/>
      <c r="F35" s="7">
        <f t="shared" si="8"/>
        <v>0</v>
      </c>
      <c r="G35" s="2"/>
      <c r="H35" s="6">
        <v>7772</v>
      </c>
      <c r="I35" s="2"/>
      <c r="J35" s="7">
        <f t="shared" si="9"/>
        <v>0</v>
      </c>
      <c r="K35" s="2"/>
      <c r="L35" s="6">
        <f t="shared" si="10"/>
        <v>-1786.88</v>
      </c>
      <c r="M35" s="2"/>
      <c r="N35" s="7">
        <f t="shared" si="11"/>
        <v>-0.22991250643335051</v>
      </c>
      <c r="O35" s="11"/>
      <c r="P35" s="6">
        <v>17625.2</v>
      </c>
      <c r="Q35" s="2"/>
      <c r="R35" s="7">
        <f t="shared" si="12"/>
        <v>0</v>
      </c>
      <c r="S35" s="2"/>
      <c r="T35" s="6">
        <v>25259</v>
      </c>
      <c r="U35" s="2"/>
      <c r="V35" s="7">
        <f t="shared" si="13"/>
        <v>0</v>
      </c>
      <c r="W35" s="2"/>
      <c r="X35" s="6">
        <f t="shared" si="14"/>
        <v>-7633.7999999999993</v>
      </c>
      <c r="Y35" s="2"/>
      <c r="Z35" s="7">
        <f t="shared" si="15"/>
        <v>-0.30222099053802604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6">
        <v>-674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-674</v>
      </c>
      <c r="M37" s="2"/>
      <c r="N37" s="7">
        <f t="shared" si="11"/>
        <v>0</v>
      </c>
      <c r="O37" s="11"/>
      <c r="P37" s="6">
        <v>3706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3706</v>
      </c>
      <c r="Y37" s="2"/>
      <c r="Z37" s="7">
        <f t="shared" si="15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3" si="16">IF(D$12=0,0,D41/D$12)</f>
        <v>0</v>
      </c>
      <c r="G41" s="1"/>
      <c r="H41" s="1">
        <f>SUM(OSRRefH22_2x_0)</f>
        <v>250</v>
      </c>
      <c r="I41" s="1"/>
      <c r="J41" s="5">
        <f t="shared" ref="J41:J53" si="17">IF(H$12=0,0,H41/H$12)</f>
        <v>0</v>
      </c>
      <c r="K41" s="1"/>
      <c r="L41" s="1">
        <f t="shared" ref="L41:L53" si="18">+D41-H41</f>
        <v>-250</v>
      </c>
      <c r="M41" s="1"/>
      <c r="N41" s="5">
        <f t="shared" ref="N41:N53" si="19">IF(H41=0,0,L41/H41)</f>
        <v>-1</v>
      </c>
      <c r="O41" s="14"/>
      <c r="P41" s="1">
        <f>SUM(OSRRefP22_2x_0)</f>
        <v>0</v>
      </c>
      <c r="Q41" s="1"/>
      <c r="R41" s="5">
        <f t="shared" ref="R41:R53" si="20">IF(P$12=0,0,P41/P$12)</f>
        <v>0</v>
      </c>
      <c r="S41" s="1"/>
      <c r="T41" s="1">
        <f>SUM(OSRRefT22_2x_0)</f>
        <v>750</v>
      </c>
      <c r="U41" s="1"/>
      <c r="V41" s="5">
        <f t="shared" ref="V41:V53" si="21">IF(T$12=0,0,T41/T$12)</f>
        <v>0</v>
      </c>
      <c r="W41" s="1"/>
      <c r="X41" s="1">
        <f t="shared" ref="X41:X53" si="22">+P41-T41</f>
        <v>-750</v>
      </c>
      <c r="Y41" s="1"/>
      <c r="Z41" s="5">
        <f t="shared" ref="Z41:Z53" si="23">IF(T41=0,0,X41/T41)</f>
        <v>-1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>
        <v>250</v>
      </c>
      <c r="I42" s="2"/>
      <c r="J42" s="7">
        <f t="shared" si="17"/>
        <v>0</v>
      </c>
      <c r="K42" s="2"/>
      <c r="L42" s="6">
        <f t="shared" si="18"/>
        <v>-250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750</v>
      </c>
      <c r="U42" s="2"/>
      <c r="V42" s="7">
        <f t="shared" si="21"/>
        <v>0</v>
      </c>
      <c r="W42" s="2"/>
      <c r="X42" s="6">
        <f t="shared" si="22"/>
        <v>-750</v>
      </c>
      <c r="Y42" s="2"/>
      <c r="Z42" s="7">
        <f t="shared" si="23"/>
        <v>-1</v>
      </c>
    </row>
    <row r="43" spans="1:26" s="28" customFormat="1" outlineLevel="1" collapsed="1" x14ac:dyDescent="0.25">
      <c r="A43" s="27"/>
      <c r="B43" s="14" t="str">
        <f>CONCATENATE("     ","Employees' Appreciation                           ")</f>
        <v xml:space="preserve">     Employees' Appreciation                           </v>
      </c>
      <c r="C43" s="14"/>
      <c r="D43" s="1">
        <f>SUM(OSRRefD22_3x_0)</f>
        <v>0</v>
      </c>
      <c r="E43" s="1"/>
      <c r="F43" s="5">
        <f t="shared" si="16"/>
        <v>0</v>
      </c>
      <c r="G43" s="1"/>
      <c r="H43" s="1">
        <f>SUM(OSRRefH22_3x_0)</f>
        <v>0</v>
      </c>
      <c r="I43" s="1"/>
      <c r="J43" s="5">
        <f t="shared" si="17"/>
        <v>0</v>
      </c>
      <c r="K43" s="1"/>
      <c r="L43" s="1">
        <f t="shared" si="18"/>
        <v>0</v>
      </c>
      <c r="M43" s="1"/>
      <c r="N43" s="5">
        <f t="shared" si="19"/>
        <v>0</v>
      </c>
      <c r="O43" s="14"/>
      <c r="P43" s="1">
        <f>SUM(OSRRefP22_3x_0)</f>
        <v>81.56</v>
      </c>
      <c r="Q43" s="1"/>
      <c r="R43" s="5">
        <f t="shared" si="20"/>
        <v>0</v>
      </c>
      <c r="S43" s="1"/>
      <c r="T43" s="1">
        <f>SUM(OSRRefT22_3x_0)</f>
        <v>0</v>
      </c>
      <c r="U43" s="1"/>
      <c r="V43" s="5">
        <f t="shared" si="21"/>
        <v>0</v>
      </c>
      <c r="W43" s="1"/>
      <c r="X43" s="1">
        <f t="shared" si="22"/>
        <v>81.56</v>
      </c>
      <c r="Y43" s="1"/>
      <c r="Z43" s="5">
        <f t="shared" si="23"/>
        <v>0</v>
      </c>
    </row>
    <row r="44" spans="1:26" s="24" customFormat="1" hidden="1" outlineLevel="2" x14ac:dyDescent="0.25">
      <c r="A44" s="29"/>
      <c r="B44" s="11" t="str">
        <f>CONCATENATE("          ", "6277", " - ", "EMPLOYEE APPRECIATION")</f>
        <v xml:space="preserve">          6277 - EMPLOYEE APPRECIATION</v>
      </c>
      <c r="C44" s="11"/>
      <c r="D44" s="6"/>
      <c r="E44" s="2"/>
      <c r="F44" s="7">
        <f t="shared" si="16"/>
        <v>0</v>
      </c>
      <c r="G44" s="2"/>
      <c r="H44" s="6">
        <v>0</v>
      </c>
      <c r="I44" s="2"/>
      <c r="J44" s="7">
        <f t="shared" si="17"/>
        <v>0</v>
      </c>
      <c r="K44" s="2"/>
      <c r="L44" s="6">
        <f t="shared" si="18"/>
        <v>0</v>
      </c>
      <c r="M44" s="2"/>
      <c r="N44" s="7">
        <f t="shared" si="19"/>
        <v>0</v>
      </c>
      <c r="O44" s="11"/>
      <c r="P44" s="6">
        <v>81.56</v>
      </c>
      <c r="Q44" s="2"/>
      <c r="R44" s="7">
        <f t="shared" si="20"/>
        <v>0</v>
      </c>
      <c r="S44" s="2"/>
      <c r="T44" s="6">
        <v>0</v>
      </c>
      <c r="U44" s="2"/>
      <c r="V44" s="7">
        <f t="shared" si="21"/>
        <v>0</v>
      </c>
      <c r="W44" s="2"/>
      <c r="X44" s="6">
        <f t="shared" si="22"/>
        <v>81.56</v>
      </c>
      <c r="Y44" s="2"/>
      <c r="Z44" s="7">
        <f t="shared" si="23"/>
        <v>0</v>
      </c>
    </row>
    <row r="45" spans="1:26" s="28" customFormat="1" outlineLevel="1" collapsed="1" x14ac:dyDescent="0.25">
      <c r="A45" s="27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SUM(OSRRefD22_4x_0)</f>
        <v>0</v>
      </c>
      <c r="E45" s="1"/>
      <c r="F45" s="5">
        <f t="shared" si="16"/>
        <v>0</v>
      </c>
      <c r="G45" s="1"/>
      <c r="H45" s="1">
        <f>SUM(OSRRefH22_4x_0)</f>
        <v>82</v>
      </c>
      <c r="I45" s="1"/>
      <c r="J45" s="5">
        <f t="shared" si="17"/>
        <v>0</v>
      </c>
      <c r="K45" s="1"/>
      <c r="L45" s="1">
        <f t="shared" si="18"/>
        <v>-82</v>
      </c>
      <c r="M45" s="1"/>
      <c r="N45" s="5">
        <f t="shared" si="19"/>
        <v>-1</v>
      </c>
      <c r="O45" s="14"/>
      <c r="P45" s="1">
        <f>SUM(OSRRefP22_4x_0)</f>
        <v>0</v>
      </c>
      <c r="Q45" s="1"/>
      <c r="R45" s="5">
        <f t="shared" si="20"/>
        <v>0</v>
      </c>
      <c r="S45" s="1"/>
      <c r="T45" s="1">
        <f>SUM(OSRRefT22_4x_0)</f>
        <v>164</v>
      </c>
      <c r="U45" s="1"/>
      <c r="V45" s="5">
        <f t="shared" si="21"/>
        <v>0</v>
      </c>
      <c r="W45" s="1"/>
      <c r="X45" s="1">
        <f t="shared" si="22"/>
        <v>-164</v>
      </c>
      <c r="Y45" s="1"/>
      <c r="Z45" s="5">
        <f t="shared" si="23"/>
        <v>-1</v>
      </c>
    </row>
    <row r="46" spans="1:26" s="24" customFormat="1" hidden="1" outlineLevel="2" x14ac:dyDescent="0.25">
      <c r="A46" s="29"/>
      <c r="B46" s="11" t="str">
        <f>CONCATENATE("          ", "6351", " - ", "EQUIPMENT RENTAL")</f>
        <v xml:space="preserve">          6351 - EQUIPMENT RENTAL</v>
      </c>
      <c r="C46" s="11"/>
      <c r="D46" s="6"/>
      <c r="E46" s="2"/>
      <c r="F46" s="7">
        <f t="shared" si="16"/>
        <v>0</v>
      </c>
      <c r="G46" s="2"/>
      <c r="H46" s="6">
        <v>82</v>
      </c>
      <c r="I46" s="2"/>
      <c r="J46" s="7">
        <f t="shared" si="17"/>
        <v>0</v>
      </c>
      <c r="K46" s="2"/>
      <c r="L46" s="6">
        <f t="shared" si="18"/>
        <v>-82</v>
      </c>
      <c r="M46" s="2"/>
      <c r="N46" s="7">
        <f t="shared" si="19"/>
        <v>-1</v>
      </c>
      <c r="O46" s="11"/>
      <c r="P46" s="6"/>
      <c r="Q46" s="2"/>
      <c r="R46" s="7">
        <f t="shared" si="20"/>
        <v>0</v>
      </c>
      <c r="S46" s="2"/>
      <c r="T46" s="6">
        <v>164</v>
      </c>
      <c r="U46" s="2"/>
      <c r="V46" s="7">
        <f t="shared" si="21"/>
        <v>0</v>
      </c>
      <c r="W46" s="2"/>
      <c r="X46" s="6">
        <f t="shared" si="22"/>
        <v>-164</v>
      </c>
      <c r="Y46" s="2"/>
      <c r="Z46" s="7">
        <f t="shared" si="23"/>
        <v>-1</v>
      </c>
    </row>
    <row r="47" spans="1:26" s="28" customFormat="1" outlineLevel="1" collapsed="1" x14ac:dyDescent="0.25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SUM(OSRRefD22_5x_0)</f>
        <v>12.15</v>
      </c>
      <c r="E47" s="1"/>
      <c r="F47" s="5">
        <f t="shared" si="16"/>
        <v>0</v>
      </c>
      <c r="G47" s="1"/>
      <c r="H47" s="1">
        <f>SUM(OSRRefH22_5x_0)</f>
        <v>83</v>
      </c>
      <c r="I47" s="1"/>
      <c r="J47" s="5">
        <f t="shared" si="17"/>
        <v>0</v>
      </c>
      <c r="K47" s="1"/>
      <c r="L47" s="1">
        <f t="shared" si="18"/>
        <v>-70.849999999999994</v>
      </c>
      <c r="M47" s="1"/>
      <c r="N47" s="5">
        <f t="shared" si="19"/>
        <v>-0.85361445783132528</v>
      </c>
      <c r="O47" s="14"/>
      <c r="P47" s="1">
        <f>SUM(OSRRefP22_5x_0)</f>
        <v>51.8</v>
      </c>
      <c r="Q47" s="1"/>
      <c r="R47" s="5">
        <f t="shared" si="20"/>
        <v>0</v>
      </c>
      <c r="S47" s="1"/>
      <c r="T47" s="1">
        <f>SUM(OSRRefT22_5x_0)</f>
        <v>249</v>
      </c>
      <c r="U47" s="1"/>
      <c r="V47" s="5">
        <f t="shared" si="21"/>
        <v>0</v>
      </c>
      <c r="W47" s="1"/>
      <c r="X47" s="1">
        <f t="shared" si="22"/>
        <v>-197.2</v>
      </c>
      <c r="Y47" s="1"/>
      <c r="Z47" s="5">
        <f t="shared" si="23"/>
        <v>-0.79196787148594372</v>
      </c>
    </row>
    <row r="48" spans="1:26" s="24" customFormat="1" hidden="1" outlineLevel="2" x14ac:dyDescent="0.25">
      <c r="A48" s="29"/>
      <c r="B48" s="11" t="str">
        <f>CONCATENATE("          ", "6307", " - ", "POSTAGE")</f>
        <v xml:space="preserve">          6307 - POSTAGE</v>
      </c>
      <c r="C48" s="11"/>
      <c r="D48" s="6">
        <v>12.15</v>
      </c>
      <c r="E48" s="2"/>
      <c r="F48" s="7">
        <f t="shared" si="16"/>
        <v>0</v>
      </c>
      <c r="G48" s="2"/>
      <c r="H48" s="6">
        <v>83</v>
      </c>
      <c r="I48" s="2"/>
      <c r="J48" s="7">
        <f t="shared" si="17"/>
        <v>0</v>
      </c>
      <c r="K48" s="2"/>
      <c r="L48" s="6">
        <f t="shared" si="18"/>
        <v>-70.849999999999994</v>
      </c>
      <c r="M48" s="2"/>
      <c r="N48" s="7">
        <f t="shared" si="19"/>
        <v>-0.85361445783132528</v>
      </c>
      <c r="O48" s="11"/>
      <c r="P48" s="6">
        <v>51.8</v>
      </c>
      <c r="Q48" s="2"/>
      <c r="R48" s="7">
        <f t="shared" si="20"/>
        <v>0</v>
      </c>
      <c r="S48" s="2"/>
      <c r="T48" s="6">
        <v>249</v>
      </c>
      <c r="U48" s="2"/>
      <c r="V48" s="7">
        <f t="shared" si="21"/>
        <v>0</v>
      </c>
      <c r="W48" s="2"/>
      <c r="X48" s="6">
        <f t="shared" si="22"/>
        <v>-197.2</v>
      </c>
      <c r="Y48" s="2"/>
      <c r="Z48" s="7">
        <f t="shared" si="23"/>
        <v>-0.79196787148594372</v>
      </c>
    </row>
    <row r="49" spans="1:26" s="28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SUM(OSRRefD22_6x_0)</f>
        <v>850.54</v>
      </c>
      <c r="E49" s="1"/>
      <c r="F49" s="5">
        <f t="shared" si="16"/>
        <v>0</v>
      </c>
      <c r="G49" s="1"/>
      <c r="H49" s="1">
        <f>SUM(OSRRefH22_6x_0)</f>
        <v>333</v>
      </c>
      <c r="I49" s="1"/>
      <c r="J49" s="5">
        <f t="shared" si="17"/>
        <v>0</v>
      </c>
      <c r="K49" s="1"/>
      <c r="L49" s="1">
        <f t="shared" si="18"/>
        <v>517.54</v>
      </c>
      <c r="M49" s="1"/>
      <c r="N49" s="5">
        <f t="shared" si="19"/>
        <v>1.5541741741741741</v>
      </c>
      <c r="O49" s="14"/>
      <c r="P49" s="1">
        <f>SUM(OSRRefP22_6x_0)</f>
        <v>166.54</v>
      </c>
      <c r="Q49" s="1"/>
      <c r="R49" s="5">
        <f t="shared" si="20"/>
        <v>0</v>
      </c>
      <c r="S49" s="1"/>
      <c r="T49" s="1">
        <f>SUM(OSRRefT22_6x_0)</f>
        <v>999</v>
      </c>
      <c r="U49" s="1"/>
      <c r="V49" s="5">
        <f t="shared" si="21"/>
        <v>0</v>
      </c>
      <c r="W49" s="1"/>
      <c r="X49" s="1">
        <f t="shared" si="22"/>
        <v>-832.46</v>
      </c>
      <c r="Y49" s="1"/>
      <c r="Z49" s="5">
        <f t="shared" si="23"/>
        <v>-0.83329329329329338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6">
        <v>850.54</v>
      </c>
      <c r="E50" s="2"/>
      <c r="F50" s="7">
        <f t="shared" si="16"/>
        <v>0</v>
      </c>
      <c r="G50" s="2"/>
      <c r="H50" s="6">
        <v>333</v>
      </c>
      <c r="I50" s="2"/>
      <c r="J50" s="7">
        <f t="shared" si="17"/>
        <v>0</v>
      </c>
      <c r="K50" s="2"/>
      <c r="L50" s="6">
        <f t="shared" si="18"/>
        <v>517.54</v>
      </c>
      <c r="M50" s="2"/>
      <c r="N50" s="7">
        <f t="shared" si="19"/>
        <v>1.5541741741741741</v>
      </c>
      <c r="O50" s="11"/>
      <c r="P50" s="6">
        <v>166.54</v>
      </c>
      <c r="Q50" s="2"/>
      <c r="R50" s="7">
        <f t="shared" si="20"/>
        <v>0</v>
      </c>
      <c r="S50" s="2"/>
      <c r="T50" s="6">
        <v>999</v>
      </c>
      <c r="U50" s="2"/>
      <c r="V50" s="7">
        <f t="shared" si="21"/>
        <v>0</v>
      </c>
      <c r="W50" s="2"/>
      <c r="X50" s="6">
        <f t="shared" si="22"/>
        <v>-832.46</v>
      </c>
      <c r="Y50" s="2"/>
      <c r="Z50" s="7">
        <f t="shared" si="23"/>
        <v>-0.83329329329329338</v>
      </c>
    </row>
    <row r="51" spans="1:26" s="28" customFormat="1" outlineLevel="1" collapsed="1" x14ac:dyDescent="0.25">
      <c r="A51" s="27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65.47</v>
      </c>
      <c r="E51" s="1"/>
      <c r="F51" s="5">
        <f t="shared" si="16"/>
        <v>0</v>
      </c>
      <c r="G51" s="1"/>
      <c r="H51" s="1">
        <f>SUM(OSRRefH22_7x_0)</f>
        <v>73</v>
      </c>
      <c r="I51" s="1"/>
      <c r="J51" s="5">
        <f t="shared" si="17"/>
        <v>0</v>
      </c>
      <c r="K51" s="1"/>
      <c r="L51" s="1">
        <f t="shared" si="18"/>
        <v>-7.5300000000000011</v>
      </c>
      <c r="M51" s="1"/>
      <c r="N51" s="5">
        <f t="shared" si="19"/>
        <v>-0.10315068493150686</v>
      </c>
      <c r="O51" s="14"/>
      <c r="P51" s="1">
        <f>SUM(OSRRefP22_7x_0)</f>
        <v>196.41</v>
      </c>
      <c r="Q51" s="1"/>
      <c r="R51" s="5">
        <f t="shared" si="20"/>
        <v>0</v>
      </c>
      <c r="S51" s="1"/>
      <c r="T51" s="1">
        <f>SUM(OSRRefT22_7x_0)</f>
        <v>999</v>
      </c>
      <c r="U51" s="1"/>
      <c r="V51" s="5">
        <f t="shared" si="21"/>
        <v>0</v>
      </c>
      <c r="W51" s="1"/>
      <c r="X51" s="1">
        <f t="shared" si="22"/>
        <v>-802.59</v>
      </c>
      <c r="Y51" s="1"/>
      <c r="Z51" s="5">
        <f t="shared" si="23"/>
        <v>-0.80339339339339344</v>
      </c>
    </row>
    <row r="52" spans="1:26" s="24" customFormat="1" hidden="1" outlineLevel="2" x14ac:dyDescent="0.25">
      <c r="A52" s="29"/>
      <c r="B52" s="11" t="str">
        <f>CONCATENATE("          ", "6312", " - ", "FIRE &amp; THEFT INSURANCE")</f>
        <v xml:space="preserve">          6312 - FIRE &amp; THEFT INSURANCE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/>
      <c r="Q52" s="2"/>
      <c r="R52" s="7">
        <f t="shared" si="20"/>
        <v>0</v>
      </c>
      <c r="S52" s="2"/>
      <c r="T52" s="6">
        <v>780</v>
      </c>
      <c r="U52" s="2"/>
      <c r="V52" s="7">
        <f t="shared" si="21"/>
        <v>0</v>
      </c>
      <c r="W52" s="2"/>
      <c r="X52" s="6">
        <f t="shared" si="22"/>
        <v>-780</v>
      </c>
      <c r="Y52" s="2"/>
      <c r="Z52" s="7">
        <f t="shared" si="23"/>
        <v>-1</v>
      </c>
    </row>
    <row r="53" spans="1:26" s="24" customFormat="1" hidden="1" outlineLevel="2" x14ac:dyDescent="0.25">
      <c r="A53" s="29"/>
      <c r="B53" s="11" t="str">
        <f>CONCATENATE("          ", "6314", " - ", "LIABILITY INSURANCE")</f>
        <v xml:space="preserve">          6314 - LIABILITY INSURANCE</v>
      </c>
      <c r="C53" s="11"/>
      <c r="D53" s="6">
        <v>65.47</v>
      </c>
      <c r="E53" s="2"/>
      <c r="F53" s="7">
        <f t="shared" si="16"/>
        <v>0</v>
      </c>
      <c r="G53" s="2"/>
      <c r="H53" s="6">
        <v>73</v>
      </c>
      <c r="I53" s="2"/>
      <c r="J53" s="7">
        <f t="shared" si="17"/>
        <v>0</v>
      </c>
      <c r="K53" s="2"/>
      <c r="L53" s="6">
        <f t="shared" si="18"/>
        <v>-7.5300000000000011</v>
      </c>
      <c r="M53" s="2"/>
      <c r="N53" s="7">
        <f t="shared" si="19"/>
        <v>-0.10315068493150686</v>
      </c>
      <c r="O53" s="11"/>
      <c r="P53" s="6">
        <v>196.41</v>
      </c>
      <c r="Q53" s="2"/>
      <c r="R53" s="7">
        <f t="shared" si="20"/>
        <v>0</v>
      </c>
      <c r="S53" s="2"/>
      <c r="T53" s="6">
        <v>219</v>
      </c>
      <c r="U53" s="2"/>
      <c r="V53" s="7">
        <f t="shared" si="21"/>
        <v>0</v>
      </c>
      <c r="W53" s="2"/>
      <c r="X53" s="6">
        <f t="shared" si="22"/>
        <v>-22.590000000000003</v>
      </c>
      <c r="Y53" s="2"/>
      <c r="Z53" s="7">
        <f t="shared" si="23"/>
        <v>-0.10315068493150686</v>
      </c>
    </row>
    <row r="54" spans="1:26" s="28" customFormat="1" outlineLevel="1" collapsed="1" x14ac:dyDescent="0.25">
      <c r="A54" s="27"/>
      <c r="B54" s="14" t="str">
        <f>CONCATENATE("     ","Professional Services                             ")</f>
        <v xml:space="preserve">     Professional Services                             </v>
      </c>
      <c r="C54" s="14"/>
      <c r="D54" s="1">
        <f>SUM(OSRRefD22_8x_0)</f>
        <v>579.16999999999996</v>
      </c>
      <c r="E54" s="1"/>
      <c r="F54" s="5">
        <f t="shared" ref="F54:F57" si="24">IF(D$12=0,0,D54/D$12)</f>
        <v>0</v>
      </c>
      <c r="G54" s="1"/>
      <c r="H54" s="1">
        <f>SUM(OSRRefH22_8x_0)</f>
        <v>2083</v>
      </c>
      <c r="I54" s="1"/>
      <c r="J54" s="5">
        <f t="shared" ref="J54:J57" si="25">IF(H$12=0,0,H54/H$12)</f>
        <v>0</v>
      </c>
      <c r="K54" s="1"/>
      <c r="L54" s="1">
        <f t="shared" ref="L54:L57" si="26">+D54-H54</f>
        <v>-1503.83</v>
      </c>
      <c r="M54" s="1"/>
      <c r="N54" s="5">
        <f t="shared" ref="N54:N57" si="27">IF(H54=0,0,L54/H54)</f>
        <v>-0.72195391262602016</v>
      </c>
      <c r="O54" s="14"/>
      <c r="P54" s="1">
        <f>SUM(OSRRefP22_8x_0)</f>
        <v>2581.2600000000002</v>
      </c>
      <c r="Q54" s="1"/>
      <c r="R54" s="5">
        <f t="shared" ref="R54:R57" si="28">IF(P$12=0,0,P54/P$12)</f>
        <v>0</v>
      </c>
      <c r="S54" s="1"/>
      <c r="T54" s="1">
        <f>SUM(OSRRefT22_8x_0)</f>
        <v>6249</v>
      </c>
      <c r="U54" s="1"/>
      <c r="V54" s="5">
        <f t="shared" ref="V54:V57" si="29">IF(T$12=0,0,T54/T$12)</f>
        <v>0</v>
      </c>
      <c r="W54" s="1"/>
      <c r="X54" s="1">
        <f t="shared" ref="X54:X57" si="30">+P54-T54</f>
        <v>-3667.74</v>
      </c>
      <c r="Y54" s="1"/>
      <c r="Z54" s="5">
        <f t="shared" ref="Z54:Z57" si="31">IF(T54=0,0,X54/T54)</f>
        <v>-0.58693230916946704</v>
      </c>
    </row>
    <row r="55" spans="1:26" s="24" customFormat="1" hidden="1" outlineLevel="2" x14ac:dyDescent="0.25">
      <c r="A55" s="29"/>
      <c r="B55" s="11" t="str">
        <f>CONCATENATE("          ", "6332", " - ", "CONSULTANT FEES")</f>
        <v xml:space="preserve">          6332 - CONSULTANT FEES</v>
      </c>
      <c r="C55" s="11"/>
      <c r="D55" s="6"/>
      <c r="E55" s="2"/>
      <c r="F55" s="7">
        <f t="shared" si="24"/>
        <v>0</v>
      </c>
      <c r="G55" s="2"/>
      <c r="H55" s="6">
        <v>0</v>
      </c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/>
      <c r="Q55" s="2"/>
      <c r="R55" s="7">
        <f t="shared" si="28"/>
        <v>0</v>
      </c>
      <c r="S55" s="2"/>
      <c r="T55" s="6">
        <v>0</v>
      </c>
      <c r="U55" s="2"/>
      <c r="V55" s="7">
        <f t="shared" si="29"/>
        <v>0</v>
      </c>
      <c r="W55" s="2"/>
      <c r="X55" s="6">
        <f t="shared" si="30"/>
        <v>0</v>
      </c>
      <c r="Y55" s="2"/>
      <c r="Z55" s="7">
        <f t="shared" si="31"/>
        <v>0</v>
      </c>
    </row>
    <row r="56" spans="1:26" s="24" customFormat="1" hidden="1" outlineLevel="2" x14ac:dyDescent="0.25">
      <c r="A56" s="29"/>
      <c r="B56" s="11" t="str">
        <f>CONCATENATE("          ", "6334", " - ", "LEGAL COUNCIL EXPENSE")</f>
        <v xml:space="preserve">          6334 - LEGAL COUNCIL EXPENSE</v>
      </c>
      <c r="C56" s="11"/>
      <c r="D56" s="6"/>
      <c r="E56" s="2"/>
      <c r="F56" s="7">
        <f t="shared" si="24"/>
        <v>0</v>
      </c>
      <c r="G56" s="2"/>
      <c r="H56" s="6">
        <v>833</v>
      </c>
      <c r="I56" s="2"/>
      <c r="J56" s="7">
        <f t="shared" si="25"/>
        <v>0</v>
      </c>
      <c r="K56" s="2"/>
      <c r="L56" s="6">
        <f t="shared" si="26"/>
        <v>-833</v>
      </c>
      <c r="M56" s="2"/>
      <c r="N56" s="7">
        <f t="shared" si="27"/>
        <v>-1</v>
      </c>
      <c r="O56" s="11"/>
      <c r="P56" s="6"/>
      <c r="Q56" s="2"/>
      <c r="R56" s="7">
        <f t="shared" si="28"/>
        <v>0</v>
      </c>
      <c r="S56" s="2"/>
      <c r="T56" s="6">
        <v>2499</v>
      </c>
      <c r="U56" s="2"/>
      <c r="V56" s="7">
        <f t="shared" si="29"/>
        <v>0</v>
      </c>
      <c r="W56" s="2"/>
      <c r="X56" s="6">
        <f t="shared" si="30"/>
        <v>-2499</v>
      </c>
      <c r="Y56" s="2"/>
      <c r="Z56" s="7">
        <f t="shared" si="31"/>
        <v>-1</v>
      </c>
    </row>
    <row r="57" spans="1:26" s="24" customFormat="1" hidden="1" outlineLevel="2" x14ac:dyDescent="0.25">
      <c r="A57" s="29"/>
      <c r="B57" s="11" t="str">
        <f>CONCATENATE("          ", "6336", " - ", "PROFESSIONAL SERVICES")</f>
        <v xml:space="preserve">          6336 - PROFESSIONAL SERVICES</v>
      </c>
      <c r="C57" s="11"/>
      <c r="D57" s="6">
        <v>579.16999999999996</v>
      </c>
      <c r="E57" s="2"/>
      <c r="F57" s="7">
        <f t="shared" si="24"/>
        <v>0</v>
      </c>
      <c r="G57" s="2"/>
      <c r="H57" s="6">
        <v>1250</v>
      </c>
      <c r="I57" s="2"/>
      <c r="J57" s="7">
        <f t="shared" si="25"/>
        <v>0</v>
      </c>
      <c r="K57" s="2"/>
      <c r="L57" s="6">
        <f t="shared" si="26"/>
        <v>-670.83</v>
      </c>
      <c r="M57" s="2"/>
      <c r="N57" s="7">
        <f t="shared" si="27"/>
        <v>-0.53666400000000003</v>
      </c>
      <c r="O57" s="11"/>
      <c r="P57" s="6">
        <v>2581.2600000000002</v>
      </c>
      <c r="Q57" s="2"/>
      <c r="R57" s="7">
        <f t="shared" si="28"/>
        <v>0</v>
      </c>
      <c r="S57" s="2"/>
      <c r="T57" s="6">
        <v>3750</v>
      </c>
      <c r="U57" s="2"/>
      <c r="V57" s="7">
        <f t="shared" si="29"/>
        <v>0</v>
      </c>
      <c r="W57" s="2"/>
      <c r="X57" s="6">
        <f t="shared" si="30"/>
        <v>-1168.7399999999998</v>
      </c>
      <c r="Y57" s="2"/>
      <c r="Z57" s="7">
        <f t="shared" si="31"/>
        <v>-0.31166399999999994</v>
      </c>
    </row>
    <row r="58" spans="1:26" s="28" customFormat="1" outlineLevel="1" collapsed="1" x14ac:dyDescent="0.25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SUM(OSRRefD22_9x_0)</f>
        <v>3603.2</v>
      </c>
      <c r="E58" s="1"/>
      <c r="F58" s="5">
        <f t="shared" ref="F58:F65" si="32">IF(D$12=0,0,D58/D$12)</f>
        <v>0</v>
      </c>
      <c r="G58" s="1"/>
      <c r="H58" s="1">
        <f>SUM(OSRRefH22_9x_0)</f>
        <v>7083</v>
      </c>
      <c r="I58" s="1"/>
      <c r="J58" s="5">
        <f t="shared" ref="J58:J65" si="33">IF(H$12=0,0,H58/H$12)</f>
        <v>0</v>
      </c>
      <c r="K58" s="1"/>
      <c r="L58" s="1">
        <f t="shared" ref="L58:L65" si="34">+D58-H58</f>
        <v>-3479.8</v>
      </c>
      <c r="M58" s="1"/>
      <c r="N58" s="5">
        <f t="shared" ref="N58:N65" si="35">IF(H58=0,0,L58/H58)</f>
        <v>-0.49128900183538049</v>
      </c>
      <c r="O58" s="14"/>
      <c r="P58" s="1">
        <f>SUM(OSRRefP22_9x_0)</f>
        <v>11754.91</v>
      </c>
      <c r="Q58" s="1"/>
      <c r="R58" s="5">
        <f t="shared" ref="R58:R65" si="36">IF(P$12=0,0,P58/P$12)</f>
        <v>0</v>
      </c>
      <c r="S58" s="1"/>
      <c r="T58" s="1">
        <f>SUM(OSRRefT22_9x_0)</f>
        <v>21249</v>
      </c>
      <c r="U58" s="1"/>
      <c r="V58" s="5">
        <f t="shared" ref="V58:V65" si="37">IF(T$12=0,0,T58/T$12)</f>
        <v>0</v>
      </c>
      <c r="W58" s="1"/>
      <c r="X58" s="1">
        <f t="shared" ref="X58:X65" si="38">+P58-T58</f>
        <v>-9494.09</v>
      </c>
      <c r="Y58" s="1"/>
      <c r="Z58" s="5">
        <f t="shared" ref="Z58:Z65" si="39">IF(T58=0,0,X58/T58)</f>
        <v>-0.44680173184620453</v>
      </c>
    </row>
    <row r="59" spans="1:26" s="24" customFormat="1" hidden="1" outlineLevel="2" x14ac:dyDescent="0.25">
      <c r="A59" s="29"/>
      <c r="B59" s="11" t="str">
        <f>CONCATENATE("          ", "6371", " - ", "COMPUTER SOFTWARE MAINTENANCE")</f>
        <v xml:space="preserve">          6371 - COMPUTER SOFTWARE MAINTENANCE</v>
      </c>
      <c r="C59" s="11"/>
      <c r="D59" s="6">
        <v>3603.2</v>
      </c>
      <c r="E59" s="2"/>
      <c r="F59" s="7">
        <f t="shared" si="32"/>
        <v>0</v>
      </c>
      <c r="G59" s="2"/>
      <c r="H59" s="6">
        <v>7083</v>
      </c>
      <c r="I59" s="2"/>
      <c r="J59" s="7">
        <f t="shared" si="33"/>
        <v>0</v>
      </c>
      <c r="K59" s="2"/>
      <c r="L59" s="6">
        <f t="shared" si="34"/>
        <v>-3479.8</v>
      </c>
      <c r="M59" s="2"/>
      <c r="N59" s="7">
        <f t="shared" si="35"/>
        <v>-0.49128900183538049</v>
      </c>
      <c r="O59" s="11"/>
      <c r="P59" s="6">
        <v>11754.91</v>
      </c>
      <c r="Q59" s="2"/>
      <c r="R59" s="7">
        <f t="shared" si="36"/>
        <v>0</v>
      </c>
      <c r="S59" s="2"/>
      <c r="T59" s="6">
        <v>21249</v>
      </c>
      <c r="U59" s="2"/>
      <c r="V59" s="7">
        <f t="shared" si="37"/>
        <v>0</v>
      </c>
      <c r="W59" s="2"/>
      <c r="X59" s="6">
        <f t="shared" si="38"/>
        <v>-9494.09</v>
      </c>
      <c r="Y59" s="2"/>
      <c r="Z59" s="7">
        <f t="shared" si="39"/>
        <v>-0.44680173184620453</v>
      </c>
    </row>
    <row r="60" spans="1:26" s="28" customFormat="1" outlineLevel="1" collapsed="1" x14ac:dyDescent="0.25">
      <c r="A60" s="27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SUM(OSRRefD22_10x_0)</f>
        <v>0</v>
      </c>
      <c r="E60" s="1"/>
      <c r="F60" s="5">
        <f t="shared" si="32"/>
        <v>0</v>
      </c>
      <c r="G60" s="1"/>
      <c r="H60" s="1">
        <f>SUM(OSRRefH22_10x_0)</f>
        <v>55</v>
      </c>
      <c r="I60" s="1"/>
      <c r="J60" s="5">
        <f t="shared" si="33"/>
        <v>0</v>
      </c>
      <c r="K60" s="1"/>
      <c r="L60" s="1">
        <f t="shared" si="34"/>
        <v>-55</v>
      </c>
      <c r="M60" s="1"/>
      <c r="N60" s="5">
        <f t="shared" si="35"/>
        <v>-1</v>
      </c>
      <c r="O60" s="14"/>
      <c r="P60" s="1">
        <f>SUM(OSRRefP22_10x_0)</f>
        <v>0</v>
      </c>
      <c r="Q60" s="1"/>
      <c r="R60" s="5">
        <f t="shared" si="36"/>
        <v>0</v>
      </c>
      <c r="S60" s="1"/>
      <c r="T60" s="1">
        <f>SUM(OSRRefT22_10x_0)</f>
        <v>165</v>
      </c>
      <c r="U60" s="1"/>
      <c r="V60" s="5">
        <f t="shared" si="37"/>
        <v>0</v>
      </c>
      <c r="W60" s="1"/>
      <c r="X60" s="1">
        <f t="shared" si="38"/>
        <v>-165</v>
      </c>
      <c r="Y60" s="1"/>
      <c r="Z60" s="5">
        <f t="shared" si="39"/>
        <v>-1</v>
      </c>
    </row>
    <row r="61" spans="1:26" s="24" customFormat="1" hidden="1" outlineLevel="2" x14ac:dyDescent="0.25">
      <c r="A61" s="29"/>
      <c r="B61" s="11" t="str">
        <f>CONCATENATE("          ", "6258", " - ", "MEMBERSHIP DUES")</f>
        <v xml:space="preserve">          6258 - MEMBERSHIP DUES</v>
      </c>
      <c r="C61" s="11"/>
      <c r="D61" s="6"/>
      <c r="E61" s="2"/>
      <c r="F61" s="7">
        <f t="shared" si="32"/>
        <v>0</v>
      </c>
      <c r="G61" s="2"/>
      <c r="H61" s="6">
        <v>55</v>
      </c>
      <c r="I61" s="2"/>
      <c r="J61" s="7">
        <f t="shared" si="33"/>
        <v>0</v>
      </c>
      <c r="K61" s="2"/>
      <c r="L61" s="6">
        <f t="shared" si="34"/>
        <v>-55</v>
      </c>
      <c r="M61" s="2"/>
      <c r="N61" s="7">
        <f t="shared" si="35"/>
        <v>-1</v>
      </c>
      <c r="O61" s="11"/>
      <c r="P61" s="6"/>
      <c r="Q61" s="2"/>
      <c r="R61" s="7">
        <f t="shared" si="36"/>
        <v>0</v>
      </c>
      <c r="S61" s="2"/>
      <c r="T61" s="6">
        <v>165</v>
      </c>
      <c r="U61" s="2"/>
      <c r="V61" s="7">
        <f t="shared" si="37"/>
        <v>0</v>
      </c>
      <c r="W61" s="2"/>
      <c r="X61" s="6">
        <f t="shared" si="38"/>
        <v>-165</v>
      </c>
      <c r="Y61" s="2"/>
      <c r="Z61" s="7">
        <f t="shared" si="39"/>
        <v>-1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SUM(OSRRefD22_11x_0)</f>
        <v>70.39</v>
      </c>
      <c r="E62" s="1"/>
      <c r="F62" s="5">
        <f t="shared" si="32"/>
        <v>0</v>
      </c>
      <c r="G62" s="1"/>
      <c r="H62" s="1">
        <f>SUM(OSRRefH22_11x_0)</f>
        <v>2084</v>
      </c>
      <c r="I62" s="1"/>
      <c r="J62" s="5">
        <f t="shared" si="33"/>
        <v>0</v>
      </c>
      <c r="K62" s="1"/>
      <c r="L62" s="1">
        <f t="shared" si="34"/>
        <v>-2013.61</v>
      </c>
      <c r="M62" s="1"/>
      <c r="N62" s="5">
        <f t="shared" si="35"/>
        <v>-0.96622360844529742</v>
      </c>
      <c r="O62" s="14"/>
      <c r="P62" s="1">
        <f>SUM(OSRRefP22_11x_0)</f>
        <v>1107.21</v>
      </c>
      <c r="Q62" s="1"/>
      <c r="R62" s="5">
        <f t="shared" si="36"/>
        <v>0</v>
      </c>
      <c r="S62" s="1"/>
      <c r="T62" s="1">
        <f>SUM(OSRRefT22_11x_0)</f>
        <v>6252</v>
      </c>
      <c r="U62" s="1"/>
      <c r="V62" s="5">
        <f t="shared" si="37"/>
        <v>0</v>
      </c>
      <c r="W62" s="1"/>
      <c r="X62" s="1">
        <f t="shared" si="38"/>
        <v>-5144.79</v>
      </c>
      <c r="Y62" s="1"/>
      <c r="Z62" s="5">
        <f t="shared" si="39"/>
        <v>-0.82290307101727445</v>
      </c>
    </row>
    <row r="63" spans="1:26" s="24" customFormat="1" hidden="1" outlineLevel="2" x14ac:dyDescent="0.25">
      <c r="A63" s="29"/>
      <c r="B63" s="11" t="str">
        <f>CONCATENATE("          ", "6235", " - ", "COVID-19 EXPENSES")</f>
        <v xml:space="preserve">          6235 - COVID-19 EXPENSES</v>
      </c>
      <c r="C63" s="11"/>
      <c r="D63" s="6"/>
      <c r="E63" s="2"/>
      <c r="F63" s="7">
        <f t="shared" si="32"/>
        <v>0</v>
      </c>
      <c r="G63" s="2"/>
      <c r="H63" s="6">
        <v>417</v>
      </c>
      <c r="I63" s="2"/>
      <c r="J63" s="7">
        <f t="shared" si="33"/>
        <v>0</v>
      </c>
      <c r="K63" s="2"/>
      <c r="L63" s="6">
        <f t="shared" si="34"/>
        <v>-417</v>
      </c>
      <c r="M63" s="2"/>
      <c r="N63" s="7">
        <f t="shared" si="35"/>
        <v>-1</v>
      </c>
      <c r="O63" s="11"/>
      <c r="P63" s="6">
        <v>210.58</v>
      </c>
      <c r="Q63" s="2"/>
      <c r="R63" s="7">
        <f t="shared" si="36"/>
        <v>0</v>
      </c>
      <c r="S63" s="2"/>
      <c r="T63" s="6">
        <v>1251</v>
      </c>
      <c r="U63" s="2"/>
      <c r="V63" s="7">
        <f t="shared" si="37"/>
        <v>0</v>
      </c>
      <c r="W63" s="2"/>
      <c r="X63" s="6">
        <f t="shared" si="38"/>
        <v>-1040.42</v>
      </c>
      <c r="Y63" s="2"/>
      <c r="Z63" s="7">
        <f t="shared" si="39"/>
        <v>-0.83167066346922469</v>
      </c>
    </row>
    <row r="64" spans="1:26" s="24" customFormat="1" hidden="1" outlineLevel="2" x14ac:dyDescent="0.25">
      <c r="A64" s="29"/>
      <c r="B64" s="11" t="str">
        <f>CONCATENATE("          ", "6241", " - ", "OFFICE EXPENSE")</f>
        <v xml:space="preserve">          6241 - OFFICE EXPENSE</v>
      </c>
      <c r="C64" s="11"/>
      <c r="D64" s="6">
        <v>20.39</v>
      </c>
      <c r="E64" s="2"/>
      <c r="F64" s="7">
        <f t="shared" si="32"/>
        <v>0</v>
      </c>
      <c r="G64" s="2"/>
      <c r="H64" s="6">
        <v>1250</v>
      </c>
      <c r="I64" s="2"/>
      <c r="J64" s="7">
        <f t="shared" si="33"/>
        <v>0</v>
      </c>
      <c r="K64" s="2"/>
      <c r="L64" s="6">
        <f t="shared" si="34"/>
        <v>-1229.6099999999999</v>
      </c>
      <c r="M64" s="2"/>
      <c r="N64" s="7">
        <f t="shared" si="35"/>
        <v>-0.9836879999999999</v>
      </c>
      <c r="O64" s="11"/>
      <c r="P64" s="6">
        <v>698.92</v>
      </c>
      <c r="Q64" s="2"/>
      <c r="R64" s="7">
        <f t="shared" si="36"/>
        <v>0</v>
      </c>
      <c r="S64" s="2"/>
      <c r="T64" s="6">
        <v>3750</v>
      </c>
      <c r="U64" s="2"/>
      <c r="V64" s="7">
        <f t="shared" si="37"/>
        <v>0</v>
      </c>
      <c r="W64" s="2"/>
      <c r="X64" s="6">
        <f t="shared" si="38"/>
        <v>-3051.08</v>
      </c>
      <c r="Y64" s="2"/>
      <c r="Z64" s="7">
        <f t="shared" si="39"/>
        <v>-0.81362133333333331</v>
      </c>
    </row>
    <row r="65" spans="1:26" s="24" customFormat="1" hidden="1" outlineLevel="2" x14ac:dyDescent="0.25">
      <c r="A65" s="29"/>
      <c r="B65" s="11" t="str">
        <f>CONCATENATE("          ", "6244", " - ", "SAFETY SUPPLY EXPENSE")</f>
        <v xml:space="preserve">          6244 - SAFETY SUPPLY EXPENSE</v>
      </c>
      <c r="C65" s="11"/>
      <c r="D65" s="6">
        <v>50</v>
      </c>
      <c r="E65" s="2"/>
      <c r="F65" s="7">
        <f t="shared" si="32"/>
        <v>0</v>
      </c>
      <c r="G65" s="2"/>
      <c r="H65" s="6">
        <v>417</v>
      </c>
      <c r="I65" s="2"/>
      <c r="J65" s="7">
        <f t="shared" si="33"/>
        <v>0</v>
      </c>
      <c r="K65" s="2"/>
      <c r="L65" s="6">
        <f t="shared" si="34"/>
        <v>-367</v>
      </c>
      <c r="M65" s="2"/>
      <c r="N65" s="7">
        <f t="shared" si="35"/>
        <v>-0.88009592326139086</v>
      </c>
      <c r="O65" s="11"/>
      <c r="P65" s="6">
        <v>197.71</v>
      </c>
      <c r="Q65" s="2"/>
      <c r="R65" s="7">
        <f t="shared" si="36"/>
        <v>0</v>
      </c>
      <c r="S65" s="2"/>
      <c r="T65" s="6">
        <v>1251</v>
      </c>
      <c r="U65" s="2"/>
      <c r="V65" s="7">
        <f t="shared" si="37"/>
        <v>0</v>
      </c>
      <c r="W65" s="2"/>
      <c r="X65" s="6">
        <f t="shared" si="38"/>
        <v>-1053.29</v>
      </c>
      <c r="Y65" s="2"/>
      <c r="Z65" s="7">
        <f t="shared" si="39"/>
        <v>-0.84195843325339725</v>
      </c>
    </row>
    <row r="66" spans="1:26" s="28" customFormat="1" outlineLevel="1" collapsed="1" x14ac:dyDescent="0.25">
      <c r="A66" s="27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SUM(OSRRefD22_12x_0)</f>
        <v>340</v>
      </c>
      <c r="E66" s="1"/>
      <c r="F66" s="5">
        <f t="shared" ref="F66:F69" si="40">IF(D$12=0,0,D66/D$12)</f>
        <v>0</v>
      </c>
      <c r="G66" s="1"/>
      <c r="H66" s="1">
        <f>SUM(OSRRefH22_12x_0)</f>
        <v>290</v>
      </c>
      <c r="I66" s="1"/>
      <c r="J66" s="5">
        <f t="shared" ref="J66:J69" si="41">IF(H$12=0,0,H66/H$12)</f>
        <v>0</v>
      </c>
      <c r="K66" s="1"/>
      <c r="L66" s="1">
        <f t="shared" ref="L66:L69" si="42">+D66-H66</f>
        <v>50</v>
      </c>
      <c r="M66" s="1"/>
      <c r="N66" s="5">
        <f t="shared" ref="N66:N69" si="43">IF(H66=0,0,L66/H66)</f>
        <v>0.17241379310344829</v>
      </c>
      <c r="O66" s="14"/>
      <c r="P66" s="1">
        <f>SUM(OSRRefP22_12x_0)</f>
        <v>1003.4</v>
      </c>
      <c r="Q66" s="1"/>
      <c r="R66" s="5">
        <f t="shared" ref="R66:R69" si="44">IF(P$12=0,0,P66/P$12)</f>
        <v>0</v>
      </c>
      <c r="S66" s="1"/>
      <c r="T66" s="1">
        <f>SUM(OSRRefT22_12x_0)</f>
        <v>870</v>
      </c>
      <c r="U66" s="1"/>
      <c r="V66" s="5">
        <f t="shared" ref="V66:V69" si="45">IF(T$12=0,0,T66/T$12)</f>
        <v>0</v>
      </c>
      <c r="W66" s="1"/>
      <c r="X66" s="1">
        <f t="shared" ref="X66:X69" si="46">+P66-T66</f>
        <v>133.39999999999998</v>
      </c>
      <c r="Y66" s="1"/>
      <c r="Z66" s="5">
        <f t="shared" ref="Z66:Z69" si="47">IF(T66=0,0,X66/T66)</f>
        <v>0.15333333333333329</v>
      </c>
    </row>
    <row r="67" spans="1:26" s="24" customFormat="1" hidden="1" outlineLevel="2" x14ac:dyDescent="0.25">
      <c r="A67" s="29"/>
      <c r="B67" s="11" t="str">
        <f>CONCATENATE("          ", "6309", " - ", "TELEPHONE")</f>
        <v xml:space="preserve">          6309 - TELEPHONE</v>
      </c>
      <c r="C67" s="11"/>
      <c r="D67" s="6">
        <v>340</v>
      </c>
      <c r="E67" s="2"/>
      <c r="F67" s="7">
        <f t="shared" si="40"/>
        <v>0</v>
      </c>
      <c r="G67" s="2"/>
      <c r="H67" s="6">
        <v>290</v>
      </c>
      <c r="I67" s="2"/>
      <c r="J67" s="7">
        <f t="shared" si="41"/>
        <v>0</v>
      </c>
      <c r="K67" s="2"/>
      <c r="L67" s="6">
        <f t="shared" si="42"/>
        <v>50</v>
      </c>
      <c r="M67" s="2"/>
      <c r="N67" s="7">
        <f t="shared" si="43"/>
        <v>0.17241379310344829</v>
      </c>
      <c r="O67" s="11"/>
      <c r="P67" s="6">
        <v>1003.4</v>
      </c>
      <c r="Q67" s="2"/>
      <c r="R67" s="7">
        <f t="shared" si="44"/>
        <v>0</v>
      </c>
      <c r="S67" s="2"/>
      <c r="T67" s="6">
        <v>870</v>
      </c>
      <c r="U67" s="2"/>
      <c r="V67" s="7">
        <f t="shared" si="45"/>
        <v>0</v>
      </c>
      <c r="W67" s="2"/>
      <c r="X67" s="6">
        <f t="shared" si="46"/>
        <v>133.39999999999998</v>
      </c>
      <c r="Y67" s="2"/>
      <c r="Z67" s="7">
        <f t="shared" si="47"/>
        <v>0.15333333333333329</v>
      </c>
    </row>
    <row r="68" spans="1:26" s="28" customFormat="1" outlineLevel="1" collapsed="1" x14ac:dyDescent="0.25">
      <c r="A68" s="27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SUM(OSRRefD22_13x_0)</f>
        <v>-97</v>
      </c>
      <c r="E68" s="1"/>
      <c r="F68" s="5">
        <f t="shared" si="40"/>
        <v>0</v>
      </c>
      <c r="G68" s="1"/>
      <c r="H68" s="1">
        <f>SUM(OSRRefH22_13x_0)</f>
        <v>946</v>
      </c>
      <c r="I68" s="1"/>
      <c r="J68" s="5">
        <f t="shared" si="41"/>
        <v>0</v>
      </c>
      <c r="K68" s="1"/>
      <c r="L68" s="1">
        <f t="shared" si="42"/>
        <v>-1043</v>
      </c>
      <c r="M68" s="1"/>
      <c r="N68" s="5">
        <f t="shared" si="43"/>
        <v>-1.102536997885835</v>
      </c>
      <c r="O68" s="14"/>
      <c r="P68" s="1">
        <f>SUM(OSRRefP22_13x_0)</f>
        <v>-97</v>
      </c>
      <c r="Q68" s="1"/>
      <c r="R68" s="5">
        <f t="shared" si="44"/>
        <v>0</v>
      </c>
      <c r="S68" s="1"/>
      <c r="T68" s="1">
        <f>SUM(OSRRefT22_13x_0)</f>
        <v>2838</v>
      </c>
      <c r="U68" s="1"/>
      <c r="V68" s="5">
        <f t="shared" si="45"/>
        <v>0</v>
      </c>
      <c r="W68" s="1"/>
      <c r="X68" s="1">
        <f t="shared" si="46"/>
        <v>-2935</v>
      </c>
      <c r="Y68" s="1"/>
      <c r="Z68" s="5">
        <f t="shared" si="47"/>
        <v>-1.0341789992952783</v>
      </c>
    </row>
    <row r="69" spans="1:26" s="24" customFormat="1" hidden="1" outlineLevel="2" x14ac:dyDescent="0.25">
      <c r="A69" s="29"/>
      <c r="B69" s="11" t="str">
        <f>CONCATENATE("          ", "6376", " - ", "TRAINING")</f>
        <v xml:space="preserve">          6376 - TRAINING</v>
      </c>
      <c r="C69" s="11"/>
      <c r="D69" s="6">
        <v>-97</v>
      </c>
      <c r="E69" s="2"/>
      <c r="F69" s="7">
        <f t="shared" si="40"/>
        <v>0</v>
      </c>
      <c r="G69" s="2"/>
      <c r="H69" s="6">
        <v>946</v>
      </c>
      <c r="I69" s="2"/>
      <c r="J69" s="7">
        <f t="shared" si="41"/>
        <v>0</v>
      </c>
      <c r="K69" s="2"/>
      <c r="L69" s="6">
        <f t="shared" si="42"/>
        <v>-1043</v>
      </c>
      <c r="M69" s="2"/>
      <c r="N69" s="7">
        <f t="shared" si="43"/>
        <v>-1.102536997885835</v>
      </c>
      <c r="O69" s="11"/>
      <c r="P69" s="6">
        <v>-97</v>
      </c>
      <c r="Q69" s="2"/>
      <c r="R69" s="7">
        <f t="shared" si="44"/>
        <v>0</v>
      </c>
      <c r="S69" s="2"/>
      <c r="T69" s="6">
        <v>2838</v>
      </c>
      <c r="U69" s="2"/>
      <c r="V69" s="7">
        <f t="shared" si="45"/>
        <v>0</v>
      </c>
      <c r="W69" s="2"/>
      <c r="X69" s="6">
        <f t="shared" si="46"/>
        <v>-2935</v>
      </c>
      <c r="Y69" s="2"/>
      <c r="Z69" s="7">
        <f t="shared" si="47"/>
        <v>-1.0341789992952783</v>
      </c>
    </row>
    <row r="70" spans="1:26" s="61" customFormat="1" x14ac:dyDescent="0.25">
      <c r="A70" s="36"/>
      <c r="B70" s="36"/>
      <c r="C70" s="36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6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5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3</v>
      </c>
      <c r="C73" s="26"/>
      <c r="D73" s="20">
        <f>+D16-D18+D71</f>
        <v>-42643.45</v>
      </c>
      <c r="E73" s="13"/>
      <c r="F73" s="21">
        <f>IF(D$12=0,0,D73/D$12)</f>
        <v>0</v>
      </c>
      <c r="G73" s="13"/>
      <c r="H73" s="20">
        <f>+H16-H18+H71</f>
        <v>-49905.525784615391</v>
      </c>
      <c r="I73" s="13"/>
      <c r="J73" s="21">
        <f>IF(H$12=0,0,H73/H$12)</f>
        <v>0</v>
      </c>
      <c r="K73" s="16"/>
      <c r="L73" s="20">
        <f>+D73-H73</f>
        <v>7262.0757846153938</v>
      </c>
      <c r="M73" s="16"/>
      <c r="N73" s="21">
        <f>IF(H73=0,0,L73/H73)</f>
        <v>-0.14551646677278587</v>
      </c>
      <c r="O73" s="25"/>
      <c r="P73" s="20">
        <f>+P16-P18+P71</f>
        <v>-134979.03999999998</v>
      </c>
      <c r="Q73" s="13"/>
      <c r="R73" s="21">
        <f>IF(P$12=0,0,P73/P$12)</f>
        <v>0</v>
      </c>
      <c r="S73" s="13"/>
      <c r="T73" s="20">
        <f>+T16-T18+T71</f>
        <v>-158924.20880000008</v>
      </c>
      <c r="U73" s="13"/>
      <c r="V73" s="21">
        <f>IF(T$12=0,0,T73/T$12)</f>
        <v>0</v>
      </c>
      <c r="W73" s="16"/>
      <c r="X73" s="20">
        <f>+P73-T73</f>
        <v>23945.168800000101</v>
      </c>
      <c r="Y73" s="16"/>
      <c r="Z73" s="21">
        <f>IF(T73=0,0,X73/T73)</f>
        <v>-0.15067036659049324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2"/>
      <c r="B75" s="10" t="s">
        <v>14</v>
      </c>
      <c r="C75" s="10"/>
      <c r="D75" s="4"/>
      <c r="E75" s="4"/>
      <c r="F75" s="12">
        <f>IF(D$12=0,0,D75/D$12)</f>
        <v>0</v>
      </c>
      <c r="G75" s="4"/>
      <c r="H75" s="4"/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/>
      <c r="Q75" s="4"/>
      <c r="R75" s="12">
        <f>IF(P$12=0,0,P75/P$12)</f>
        <v>0</v>
      </c>
      <c r="S75" s="4"/>
      <c r="T75" s="4"/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4</v>
      </c>
      <c r="C77" s="26"/>
      <c r="D77" s="33">
        <f>+D73-D75</f>
        <v>-42643.45</v>
      </c>
      <c r="E77" s="13"/>
      <c r="F77" s="34">
        <f>IF(D$12=0,0,D77/D$12)</f>
        <v>0</v>
      </c>
      <c r="G77" s="13"/>
      <c r="H77" s="33">
        <f>+H73-H75</f>
        <v>-49905.525784615391</v>
      </c>
      <c r="I77" s="13"/>
      <c r="J77" s="34">
        <f>IF(H$12=0,0,H77/H$12)</f>
        <v>0</v>
      </c>
      <c r="K77" s="16"/>
      <c r="L77" s="33">
        <f>D77-H77</f>
        <v>7262.0757846153938</v>
      </c>
      <c r="M77" s="16"/>
      <c r="N77" s="34">
        <f>IF(H77=0,0,L77/H77)</f>
        <v>-0.14551646677278587</v>
      </c>
      <c r="O77" s="25"/>
      <c r="P77" s="33">
        <f>+P73-P75</f>
        <v>-134979.03999999998</v>
      </c>
      <c r="Q77" s="13"/>
      <c r="R77" s="34">
        <f>IF(P$12=0,0,P77/P$12)</f>
        <v>0</v>
      </c>
      <c r="S77" s="13"/>
      <c r="T77" s="33">
        <f>+T73-T75</f>
        <v>-158924.20880000008</v>
      </c>
      <c r="U77" s="13"/>
      <c r="V77" s="34">
        <f>IF(T$12=0,0,T77/T$12)</f>
        <v>0</v>
      </c>
      <c r="W77" s="16"/>
      <c r="X77" s="33">
        <f>P77-T77</f>
        <v>23945.168800000101</v>
      </c>
      <c r="Y77" s="16"/>
      <c r="Z77" s="34">
        <f>IF(T77=0,0,X77/T77)</f>
        <v>-0.15067036659049324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5</v>
      </c>
      <c r="C80" s="26"/>
      <c r="D80" s="31">
        <f>SUM(D77:D79)</f>
        <v>-42643.45</v>
      </c>
      <c r="E80" s="13"/>
      <c r="F80" s="32">
        <f>IF(D$12=0,0,D80/D$12)</f>
        <v>0</v>
      </c>
      <c r="G80" s="13"/>
      <c r="H80" s="31">
        <f>SUM(H77:H79)</f>
        <v>-49905.525784615391</v>
      </c>
      <c r="I80" s="13"/>
      <c r="J80" s="32">
        <f>IF(H$12=0,0,H80/H$12)</f>
        <v>0</v>
      </c>
      <c r="K80" s="16"/>
      <c r="L80" s="31">
        <f>+D80-H80</f>
        <v>7262.0757846153938</v>
      </c>
      <c r="M80" s="16"/>
      <c r="N80" s="32">
        <f>IF(H80=0,0,L80/H80)</f>
        <v>-0.14551646677278587</v>
      </c>
      <c r="O80" s="25"/>
      <c r="P80" s="31">
        <f>SUM(P77:P79)</f>
        <v>-134979.03999999998</v>
      </c>
      <c r="Q80" s="13"/>
      <c r="R80" s="32">
        <f>IF(P$12=0,0,P80/P$12)</f>
        <v>0</v>
      </c>
      <c r="S80" s="13"/>
      <c r="T80" s="31">
        <f>SUM(T77:T79)</f>
        <v>-158924.20880000008</v>
      </c>
      <c r="U80" s="13"/>
      <c r="V80" s="32">
        <f>IF(T$12=0,0,T80/T$12)</f>
        <v>0</v>
      </c>
      <c r="W80" s="16"/>
      <c r="X80" s="31">
        <f>+P80-T80</f>
        <v>23945.168800000101</v>
      </c>
      <c r="Y80" s="16"/>
      <c r="Z80" s="32">
        <f>IF(T80=0,0,X80/T80)</f>
        <v>-0.15067036659049324</v>
      </c>
    </row>
    <row r="81" spans="1:24" ht="15.75" thickTop="1" x14ac:dyDescent="0.25">
      <c r="A81" s="9"/>
      <c r="C81" s="9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A82" s="9"/>
      <c r="B82" s="55">
        <v>44123.571762581021</v>
      </c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  <row r="83" spans="1:24" x14ac:dyDescent="0.25">
      <c r="A83" s="9"/>
      <c r="B83" s="53" t="s">
        <v>314</v>
      </c>
      <c r="D83" s="17"/>
      <c r="E83" s="17"/>
      <c r="G83" s="17"/>
      <c r="H83" s="17"/>
      <c r="I83" s="17"/>
      <c r="J83" s="43"/>
      <c r="K83" s="17"/>
      <c r="L83" s="17"/>
      <c r="M83" s="17"/>
      <c r="P83" s="17"/>
      <c r="Q83" s="17"/>
      <c r="R83" s="43"/>
      <c r="S83" s="17"/>
      <c r="T83" s="17"/>
      <c r="U83" s="17"/>
      <c r="V83" s="43"/>
      <c r="W83" s="17"/>
      <c r="X83" s="17"/>
    </row>
    <row r="84" spans="1:24" x14ac:dyDescent="0.25">
      <c r="A84" s="9"/>
      <c r="B84" s="62"/>
      <c r="D84" s="17"/>
      <c r="E84" s="17"/>
      <c r="G84" s="17"/>
      <c r="H84" s="17"/>
      <c r="I84" s="17"/>
      <c r="J84" s="43"/>
      <c r="K84" s="17"/>
      <c r="L84" s="17"/>
      <c r="M84" s="17"/>
      <c r="P84" s="17"/>
      <c r="Q84" s="17"/>
      <c r="R84" s="43"/>
      <c r="S84" s="17"/>
      <c r="T84" s="17"/>
      <c r="U84" s="17"/>
      <c r="V84" s="43"/>
      <c r="W84" s="17"/>
      <c r="X84" s="17"/>
    </row>
    <row r="85" spans="1:24" x14ac:dyDescent="0.25"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","204", " - ", "Information Technology")</f>
        <v>Department 204 - Information Technology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43962.689999999995</v>
      </c>
      <c r="E18" s="19"/>
      <c r="F18" s="35">
        <f t="shared" ref="F18:F29" si="0">IF(D$12=0,0,D18/D$12)</f>
        <v>0</v>
      </c>
      <c r="G18" s="19"/>
      <c r="H18" s="19">
        <f>SUM(OSRRefH22x_0)</f>
        <v>51727.722846153818</v>
      </c>
      <c r="I18" s="19"/>
      <c r="J18" s="35">
        <f t="shared" ref="J18:J29" si="1">IF(H$12=0,0,H18/H$12)</f>
        <v>0</v>
      </c>
      <c r="K18" s="4"/>
      <c r="L18" s="19">
        <f t="shared" ref="L18:L29" si="2">+D18-H18</f>
        <v>-7765.0328461538229</v>
      </c>
      <c r="M18" s="4"/>
      <c r="N18" s="35">
        <f t="shared" ref="N18:N29" si="3">IF(H18=0,0,L18/H18)</f>
        <v>-0.15011356423417713</v>
      </c>
      <c r="O18" s="10"/>
      <c r="P18" s="19">
        <f>SUM(OSRRefP22x_0)</f>
        <v>150767.32</v>
      </c>
      <c r="Q18" s="19"/>
      <c r="R18" s="35">
        <f t="shared" ref="R18:R29" si="4">IF(P$12=0,0,P18/P$12)</f>
        <v>0</v>
      </c>
      <c r="S18" s="19"/>
      <c r="T18" s="19">
        <f>SUM(OSRRefT22x_0)</f>
        <v>153457.48961538461</v>
      </c>
      <c r="U18" s="19"/>
      <c r="V18" s="35">
        <f t="shared" ref="V18:V29" si="5">IF(T$12=0,0,T18/T$12)</f>
        <v>0</v>
      </c>
      <c r="W18" s="4"/>
      <c r="X18" s="19">
        <f t="shared" ref="X18:X29" si="6">+P18-T18</f>
        <v>-2690.1696153845987</v>
      </c>
      <c r="Y18" s="4"/>
      <c r="Z18" s="35">
        <f t="shared" ref="Z18:Z29" si="7">IF(T18=0,0,X18/T18)</f>
        <v>-1.7530389830610785E-2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12086.330000000002</v>
      </c>
      <c r="E19" s="1"/>
      <c r="F19" s="5">
        <f t="shared" si="0"/>
        <v>0</v>
      </c>
      <c r="G19" s="1"/>
      <c r="H19" s="1">
        <f>SUM(OSRRefH22_0x_0)</f>
        <v>10981.645923076914</v>
      </c>
      <c r="I19" s="1"/>
      <c r="J19" s="5">
        <f t="shared" si="1"/>
        <v>0</v>
      </c>
      <c r="K19" s="1"/>
      <c r="L19" s="1">
        <f t="shared" si="2"/>
        <v>1104.6840769230876</v>
      </c>
      <c r="M19" s="1"/>
      <c r="N19" s="5">
        <f t="shared" si="3"/>
        <v>0.10059367099076615</v>
      </c>
      <c r="O19" s="14"/>
      <c r="P19" s="1">
        <f>SUM(OSRRefP22_0x_0)</f>
        <v>37221</v>
      </c>
      <c r="Q19" s="1"/>
      <c r="R19" s="5">
        <f t="shared" si="4"/>
        <v>0</v>
      </c>
      <c r="S19" s="1"/>
      <c r="T19" s="1">
        <f>SUM(OSRRefT22_0x_0)</f>
        <v>37221.489615384598</v>
      </c>
      <c r="U19" s="1"/>
      <c r="V19" s="5">
        <f t="shared" si="5"/>
        <v>0</v>
      </c>
      <c r="W19" s="1"/>
      <c r="X19" s="1">
        <f t="shared" si="6"/>
        <v>-0.48961538459843723</v>
      </c>
      <c r="Y19" s="1"/>
      <c r="Z19" s="5">
        <f t="shared" si="7"/>
        <v>-1.3154105052154243E-5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1548.72</v>
      </c>
      <c r="E20" s="2"/>
      <c r="F20" s="7">
        <f t="shared" si="0"/>
        <v>0</v>
      </c>
      <c r="G20" s="2"/>
      <c r="H20" s="6">
        <v>1606.5413076923101</v>
      </c>
      <c r="I20" s="2"/>
      <c r="J20" s="7">
        <f t="shared" si="1"/>
        <v>0</v>
      </c>
      <c r="K20" s="2"/>
      <c r="L20" s="6">
        <f t="shared" si="2"/>
        <v>-57.821307692310029</v>
      </c>
      <c r="M20" s="2"/>
      <c r="N20" s="7">
        <f t="shared" si="3"/>
        <v>-3.5991173968235216E-2</v>
      </c>
      <c r="O20" s="11"/>
      <c r="P20" s="6">
        <v>4854.8</v>
      </c>
      <c r="Q20" s="2"/>
      <c r="R20" s="7">
        <f t="shared" si="4"/>
        <v>0</v>
      </c>
      <c r="S20" s="2"/>
      <c r="T20" s="6">
        <v>5624.9549999999999</v>
      </c>
      <c r="U20" s="2"/>
      <c r="V20" s="7">
        <f t="shared" si="5"/>
        <v>0</v>
      </c>
      <c r="W20" s="2"/>
      <c r="X20" s="6">
        <f t="shared" si="6"/>
        <v>-770.15499999999975</v>
      </c>
      <c r="Y20" s="2"/>
      <c r="Z20" s="7">
        <f t="shared" si="7"/>
        <v>-0.13691753978476268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71.3</v>
      </c>
      <c r="E21" s="2"/>
      <c r="F21" s="7">
        <f t="shared" si="0"/>
        <v>0</v>
      </c>
      <c r="G21" s="2"/>
      <c r="H21" s="6">
        <v>69.274615384615402</v>
      </c>
      <c r="I21" s="2"/>
      <c r="J21" s="7">
        <f t="shared" si="1"/>
        <v>0</v>
      </c>
      <c r="K21" s="2"/>
      <c r="L21" s="6">
        <f t="shared" si="2"/>
        <v>2.0253846153845956</v>
      </c>
      <c r="M21" s="2"/>
      <c r="N21" s="7">
        <f t="shared" si="3"/>
        <v>2.923703876433785E-2</v>
      </c>
      <c r="O21" s="11"/>
      <c r="P21" s="6">
        <v>213.91</v>
      </c>
      <c r="Q21" s="2"/>
      <c r="R21" s="7">
        <f t="shared" si="4"/>
        <v>0</v>
      </c>
      <c r="S21" s="2"/>
      <c r="T21" s="6">
        <v>242.54999999999978</v>
      </c>
      <c r="U21" s="2"/>
      <c r="V21" s="7">
        <f t="shared" si="5"/>
        <v>0</v>
      </c>
      <c r="W21" s="2"/>
      <c r="X21" s="6">
        <f t="shared" si="6"/>
        <v>-28.639999999999787</v>
      </c>
      <c r="Y21" s="2"/>
      <c r="Z21" s="7">
        <f t="shared" si="7"/>
        <v>-0.11807874665017445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5567.87</v>
      </c>
      <c r="E22" s="2"/>
      <c r="F22" s="7">
        <f t="shared" si="0"/>
        <v>0</v>
      </c>
      <c r="G22" s="2"/>
      <c r="H22" s="6">
        <v>4730.4807692307704</v>
      </c>
      <c r="I22" s="2"/>
      <c r="J22" s="7">
        <f t="shared" si="1"/>
        <v>0</v>
      </c>
      <c r="K22" s="2"/>
      <c r="L22" s="6">
        <f t="shared" si="2"/>
        <v>837.38923076922947</v>
      </c>
      <c r="M22" s="2"/>
      <c r="N22" s="7">
        <f t="shared" si="3"/>
        <v>0.17701989958737291</v>
      </c>
      <c r="O22" s="11"/>
      <c r="P22" s="6">
        <v>16703.609999999997</v>
      </c>
      <c r="Q22" s="2"/>
      <c r="R22" s="7">
        <f t="shared" si="4"/>
        <v>0</v>
      </c>
      <c r="S22" s="2"/>
      <c r="T22" s="6">
        <v>16667.884615384621</v>
      </c>
      <c r="U22" s="2"/>
      <c r="V22" s="7">
        <f t="shared" si="5"/>
        <v>0</v>
      </c>
      <c r="W22" s="2"/>
      <c r="X22" s="6">
        <f t="shared" si="6"/>
        <v>35.725384615376242</v>
      </c>
      <c r="Y22" s="2"/>
      <c r="Z22" s="7">
        <f t="shared" si="7"/>
        <v>2.1433664462976519E-3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56.17</v>
      </c>
      <c r="E23" s="2"/>
      <c r="F23" s="7">
        <f t="shared" si="0"/>
        <v>0</v>
      </c>
      <c r="G23" s="2"/>
      <c r="H23" s="6">
        <v>54.58</v>
      </c>
      <c r="I23" s="2"/>
      <c r="J23" s="7">
        <f t="shared" si="1"/>
        <v>0</v>
      </c>
      <c r="K23" s="2"/>
      <c r="L23" s="6">
        <f t="shared" si="2"/>
        <v>1.5900000000000034</v>
      </c>
      <c r="M23" s="2"/>
      <c r="N23" s="7">
        <f t="shared" si="3"/>
        <v>2.9131550018321795E-2</v>
      </c>
      <c r="O23" s="11"/>
      <c r="P23" s="6">
        <v>168.53</v>
      </c>
      <c r="Q23" s="2"/>
      <c r="R23" s="7">
        <f t="shared" si="4"/>
        <v>0</v>
      </c>
      <c r="S23" s="2"/>
      <c r="T23" s="6">
        <v>191.1</v>
      </c>
      <c r="U23" s="2"/>
      <c r="V23" s="7">
        <f t="shared" si="5"/>
        <v>0</v>
      </c>
      <c r="W23" s="2"/>
      <c r="X23" s="6">
        <f t="shared" si="6"/>
        <v>-22.569999999999993</v>
      </c>
      <c r="Y23" s="2"/>
      <c r="Z23" s="7">
        <f t="shared" si="7"/>
        <v>-0.1181057038199895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1861.21</v>
      </c>
      <c r="E24" s="2"/>
      <c r="F24" s="7">
        <f t="shared" si="0"/>
        <v>0</v>
      </c>
      <c r="G24" s="2"/>
      <c r="H24" s="6">
        <v>1521.5384615384601</v>
      </c>
      <c r="I24" s="2"/>
      <c r="J24" s="7">
        <f t="shared" si="1"/>
        <v>0</v>
      </c>
      <c r="K24" s="2"/>
      <c r="L24" s="6">
        <f t="shared" si="2"/>
        <v>339.67153846153997</v>
      </c>
      <c r="M24" s="2"/>
      <c r="N24" s="7">
        <f t="shared" si="3"/>
        <v>0.22324216380182121</v>
      </c>
      <c r="O24" s="11"/>
      <c r="P24" s="6">
        <v>6514.23</v>
      </c>
      <c r="Q24" s="2"/>
      <c r="R24" s="7">
        <f t="shared" si="4"/>
        <v>0</v>
      </c>
      <c r="S24" s="2"/>
      <c r="T24" s="6">
        <v>4945</v>
      </c>
      <c r="U24" s="2"/>
      <c r="V24" s="7">
        <f t="shared" si="5"/>
        <v>0</v>
      </c>
      <c r="W24" s="2"/>
      <c r="X24" s="6">
        <f t="shared" si="6"/>
        <v>1569.2299999999996</v>
      </c>
      <c r="Y24" s="2"/>
      <c r="Z24" s="7">
        <f t="shared" si="7"/>
        <v>0.31733670374115258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300</v>
      </c>
      <c r="I25" s="2"/>
      <c r="J25" s="7">
        <f t="shared" si="1"/>
        <v>0</v>
      </c>
      <c r="K25" s="2"/>
      <c r="L25" s="6">
        <f t="shared" si="2"/>
        <v>-300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900</v>
      </c>
      <c r="U25" s="2"/>
      <c r="V25" s="7">
        <f t="shared" si="5"/>
        <v>0</v>
      </c>
      <c r="W25" s="2"/>
      <c r="X25" s="6">
        <f t="shared" si="6"/>
        <v>-900</v>
      </c>
      <c r="Y25" s="2"/>
      <c r="Z25" s="7">
        <f t="shared" si="7"/>
        <v>-1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6">
        <v>168.11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168.11</v>
      </c>
      <c r="M26" s="2"/>
      <c r="N26" s="7">
        <f t="shared" si="3"/>
        <v>0</v>
      </c>
      <c r="O26" s="11"/>
      <c r="P26" s="6">
        <v>587.16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587.16</v>
      </c>
      <c r="Y26" s="2"/>
      <c r="Z26" s="7">
        <f t="shared" si="7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6">
        <v>1474.64</v>
      </c>
      <c r="E27" s="2"/>
      <c r="F27" s="7">
        <f t="shared" si="0"/>
        <v>0</v>
      </c>
      <c r="G27" s="2"/>
      <c r="H27" s="6">
        <v>1049.61538461538</v>
      </c>
      <c r="I27" s="2"/>
      <c r="J27" s="7">
        <f t="shared" si="1"/>
        <v>0</v>
      </c>
      <c r="K27" s="2"/>
      <c r="L27" s="6">
        <f t="shared" si="2"/>
        <v>425.02461538462012</v>
      </c>
      <c r="M27" s="2"/>
      <c r="N27" s="7">
        <f t="shared" si="3"/>
        <v>0.4049336753389583</v>
      </c>
      <c r="O27" s="11"/>
      <c r="P27" s="6">
        <v>4423.92</v>
      </c>
      <c r="Q27" s="2"/>
      <c r="R27" s="7">
        <f t="shared" si="4"/>
        <v>0</v>
      </c>
      <c r="S27" s="2"/>
      <c r="T27" s="6">
        <v>3424.99999999999</v>
      </c>
      <c r="U27" s="2"/>
      <c r="V27" s="7">
        <f t="shared" si="5"/>
        <v>0</v>
      </c>
      <c r="W27" s="2"/>
      <c r="X27" s="6">
        <f t="shared" si="6"/>
        <v>998.92000000001008</v>
      </c>
      <c r="Y27" s="2"/>
      <c r="Z27" s="7">
        <f t="shared" si="7"/>
        <v>0.29165547445255852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6">
        <v>999.04</v>
      </c>
      <c r="E28" s="2"/>
      <c r="F28" s="7">
        <f t="shared" si="0"/>
        <v>0</v>
      </c>
      <c r="G28" s="2"/>
      <c r="H28" s="6">
        <v>1049.61538461538</v>
      </c>
      <c r="I28" s="2"/>
      <c r="J28" s="7">
        <f t="shared" si="1"/>
        <v>0</v>
      </c>
      <c r="K28" s="2"/>
      <c r="L28" s="6">
        <f t="shared" si="2"/>
        <v>-50.575384615380017</v>
      </c>
      <c r="M28" s="2"/>
      <c r="N28" s="7">
        <f t="shared" si="3"/>
        <v>-4.8184683034074249E-2</v>
      </c>
      <c r="O28" s="11"/>
      <c r="P28" s="6">
        <v>2997.12</v>
      </c>
      <c r="Q28" s="2"/>
      <c r="R28" s="7">
        <f t="shared" si="4"/>
        <v>0</v>
      </c>
      <c r="S28" s="2"/>
      <c r="T28" s="6">
        <v>3424.99999999999</v>
      </c>
      <c r="U28" s="2"/>
      <c r="V28" s="7">
        <f t="shared" si="5"/>
        <v>0</v>
      </c>
      <c r="W28" s="2"/>
      <c r="X28" s="6">
        <f t="shared" si="6"/>
        <v>-427.8799999999901</v>
      </c>
      <c r="Y28" s="2"/>
      <c r="Z28" s="7">
        <f t="shared" si="7"/>
        <v>-0.12492846715328215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6">
        <v>339.27</v>
      </c>
      <c r="E29" s="2"/>
      <c r="F29" s="7">
        <f t="shared" si="0"/>
        <v>0</v>
      </c>
      <c r="G29" s="2"/>
      <c r="H29" s="6">
        <v>600</v>
      </c>
      <c r="I29" s="2"/>
      <c r="J29" s="7">
        <f t="shared" si="1"/>
        <v>0</v>
      </c>
      <c r="K29" s="2"/>
      <c r="L29" s="6">
        <f t="shared" si="2"/>
        <v>-260.73</v>
      </c>
      <c r="M29" s="2"/>
      <c r="N29" s="7">
        <f t="shared" si="3"/>
        <v>-0.43455000000000005</v>
      </c>
      <c r="O29" s="11"/>
      <c r="P29" s="6">
        <v>757.72</v>
      </c>
      <c r="Q29" s="2"/>
      <c r="R29" s="7">
        <f t="shared" si="4"/>
        <v>0</v>
      </c>
      <c r="S29" s="2"/>
      <c r="T29" s="6">
        <v>1800</v>
      </c>
      <c r="U29" s="2"/>
      <c r="V29" s="7">
        <f t="shared" si="5"/>
        <v>0</v>
      </c>
      <c r="W29" s="2"/>
      <c r="X29" s="6">
        <f t="shared" si="6"/>
        <v>-1042.28</v>
      </c>
      <c r="Y29" s="2"/>
      <c r="Z29" s="7">
        <f t="shared" si="7"/>
        <v>-0.57904444444444447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19965.490000000002</v>
      </c>
      <c r="E30" s="1"/>
      <c r="F30" s="5">
        <f t="shared" ref="F30:F40" si="8">IF(D$12=0,0,D30/D$12)</f>
        <v>0</v>
      </c>
      <c r="G30" s="1"/>
      <c r="H30" s="1">
        <f>SUM(OSRRefH22_1x_0)</f>
        <v>18893.0769230769</v>
      </c>
      <c r="I30" s="1"/>
      <c r="J30" s="5">
        <f t="shared" ref="J30:J40" si="9">IF(H$12=0,0,H30/H$12)</f>
        <v>0</v>
      </c>
      <c r="K30" s="1"/>
      <c r="L30" s="1">
        <f t="shared" ref="L30:L40" si="10">+D30-H30</f>
        <v>1072.4130769231015</v>
      </c>
      <c r="M30" s="1"/>
      <c r="N30" s="5">
        <f t="shared" ref="N30:N40" si="11">IF(H30=0,0,L30/H30)</f>
        <v>5.6762224665120868E-2</v>
      </c>
      <c r="O30" s="14"/>
      <c r="P30" s="1">
        <f>SUM(OSRRefP22_1x_0)</f>
        <v>64794.749999999993</v>
      </c>
      <c r="Q30" s="1"/>
      <c r="R30" s="5">
        <f t="shared" ref="R30:R40" si="12">IF(P$12=0,0,P30/P$12)</f>
        <v>0</v>
      </c>
      <c r="S30" s="1"/>
      <c r="T30" s="1">
        <f>SUM(OSRRefT22_1x_0)</f>
        <v>66650</v>
      </c>
      <c r="U30" s="1"/>
      <c r="V30" s="5">
        <f t="shared" ref="V30:V40" si="13">IF(T$12=0,0,T30/T$12)</f>
        <v>0</v>
      </c>
      <c r="W30" s="1"/>
      <c r="X30" s="1">
        <f t="shared" ref="X30:X40" si="14">+P30-T30</f>
        <v>-1855.2500000000073</v>
      </c>
      <c r="Y30" s="1"/>
      <c r="Z30" s="5">
        <f t="shared" ref="Z30:Z40" si="15">IF(T30=0,0,X30/T30)</f>
        <v>-2.7835708927231917E-2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6">
        <v>17443.390000000003</v>
      </c>
      <c r="E32" s="2"/>
      <c r="F32" s="7">
        <f t="shared" si="8"/>
        <v>0</v>
      </c>
      <c r="G32" s="2"/>
      <c r="H32" s="6">
        <v>15923.0769230769</v>
      </c>
      <c r="I32" s="2"/>
      <c r="J32" s="7">
        <f t="shared" si="9"/>
        <v>0</v>
      </c>
      <c r="K32" s="2"/>
      <c r="L32" s="6">
        <f t="shared" si="10"/>
        <v>1520.3130769231029</v>
      </c>
      <c r="M32" s="2"/>
      <c r="N32" s="7">
        <f t="shared" si="11"/>
        <v>9.5478599033818196E-2</v>
      </c>
      <c r="O32" s="11"/>
      <c r="P32" s="6">
        <v>56243.859999999993</v>
      </c>
      <c r="Q32" s="2"/>
      <c r="R32" s="7">
        <f t="shared" si="12"/>
        <v>0</v>
      </c>
      <c r="S32" s="2"/>
      <c r="T32" s="6">
        <v>51750</v>
      </c>
      <c r="U32" s="2"/>
      <c r="V32" s="7">
        <f t="shared" si="13"/>
        <v>0</v>
      </c>
      <c r="W32" s="2"/>
      <c r="X32" s="6">
        <f t="shared" si="14"/>
        <v>4493.8599999999933</v>
      </c>
      <c r="Y32" s="2"/>
      <c r="Z32" s="7">
        <f t="shared" si="15"/>
        <v>8.6837874396135134E-2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6">
        <v>1682.1</v>
      </c>
      <c r="E34" s="2"/>
      <c r="F34" s="7">
        <f t="shared" si="8"/>
        <v>0</v>
      </c>
      <c r="G34" s="2"/>
      <c r="H34" s="6">
        <v>2970</v>
      </c>
      <c r="I34" s="2"/>
      <c r="J34" s="7">
        <f t="shared" si="9"/>
        <v>0</v>
      </c>
      <c r="K34" s="2"/>
      <c r="L34" s="6">
        <f t="shared" si="10"/>
        <v>-1287.9000000000001</v>
      </c>
      <c r="M34" s="2"/>
      <c r="N34" s="7">
        <f t="shared" si="11"/>
        <v>-0.43363636363636365</v>
      </c>
      <c r="O34" s="11"/>
      <c r="P34" s="6">
        <v>7710.89</v>
      </c>
      <c r="Q34" s="2"/>
      <c r="R34" s="7">
        <f t="shared" si="12"/>
        <v>0</v>
      </c>
      <c r="S34" s="2"/>
      <c r="T34" s="6">
        <v>14900</v>
      </c>
      <c r="U34" s="2"/>
      <c r="V34" s="7">
        <f t="shared" si="13"/>
        <v>0</v>
      </c>
      <c r="W34" s="2"/>
      <c r="X34" s="6">
        <f t="shared" si="14"/>
        <v>-7189.11</v>
      </c>
      <c r="Y34" s="2"/>
      <c r="Z34" s="7">
        <f t="shared" si="15"/>
        <v>-0.48249060402684563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6">
        <v>840</v>
      </c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840</v>
      </c>
      <c r="M37" s="2"/>
      <c r="N37" s="7">
        <f t="shared" si="11"/>
        <v>0</v>
      </c>
      <c r="O37" s="11"/>
      <c r="P37" s="6">
        <v>840</v>
      </c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840</v>
      </c>
      <c r="Y37" s="2"/>
      <c r="Z37" s="7">
        <f t="shared" si="15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8"/>
        <v>0</v>
      </c>
      <c r="G40" s="2"/>
      <c r="H40" s="6">
        <v>0</v>
      </c>
      <c r="I40" s="2"/>
      <c r="J40" s="7">
        <f t="shared" si="9"/>
        <v>0</v>
      </c>
      <c r="K40" s="2"/>
      <c r="L40" s="6">
        <f t="shared" si="10"/>
        <v>0</v>
      </c>
      <c r="M40" s="2"/>
      <c r="N40" s="7">
        <f t="shared" si="11"/>
        <v>0</v>
      </c>
      <c r="O40" s="11"/>
      <c r="P40" s="6"/>
      <c r="Q40" s="2"/>
      <c r="R40" s="7">
        <f t="shared" si="12"/>
        <v>0</v>
      </c>
      <c r="S40" s="2"/>
      <c r="T40" s="6">
        <v>0</v>
      </c>
      <c r="U40" s="2"/>
      <c r="V40" s="7">
        <f t="shared" si="13"/>
        <v>0</v>
      </c>
      <c r="W40" s="2"/>
      <c r="X40" s="6">
        <f t="shared" si="14"/>
        <v>0</v>
      </c>
      <c r="Y40" s="2"/>
      <c r="Z40" s="7">
        <f t="shared" si="15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5" si="16">IF(D$12=0,0,D41/D$12)</f>
        <v>0</v>
      </c>
      <c r="G41" s="1"/>
      <c r="H41" s="1">
        <f>SUM(OSRRefH22_2x_0)</f>
        <v>0</v>
      </c>
      <c r="I41" s="1"/>
      <c r="J41" s="5">
        <f t="shared" ref="J41:J45" si="17">IF(H$12=0,0,H41/H$12)</f>
        <v>0</v>
      </c>
      <c r="K41" s="1"/>
      <c r="L41" s="1">
        <f t="shared" ref="L41:L45" si="18">+D41-H41</f>
        <v>0</v>
      </c>
      <c r="M41" s="1"/>
      <c r="N41" s="5">
        <f t="shared" ref="N41:N45" si="19">IF(H41=0,0,L41/H41)</f>
        <v>0</v>
      </c>
      <c r="O41" s="14"/>
      <c r="P41" s="1">
        <f>SUM(OSRRefP22_2x_0)</f>
        <v>0</v>
      </c>
      <c r="Q41" s="1"/>
      <c r="R41" s="5">
        <f t="shared" ref="R41:R45" si="20">IF(P$12=0,0,P41/P$12)</f>
        <v>0</v>
      </c>
      <c r="S41" s="1"/>
      <c r="T41" s="1">
        <f>SUM(OSRRefT22_2x_0)</f>
        <v>100</v>
      </c>
      <c r="U41" s="1"/>
      <c r="V41" s="5">
        <f t="shared" ref="V41:V45" si="21">IF(T$12=0,0,T41/T$12)</f>
        <v>0</v>
      </c>
      <c r="W41" s="1"/>
      <c r="X41" s="1">
        <f t="shared" ref="X41:X45" si="22">+P41-T41</f>
        <v>-100</v>
      </c>
      <c r="Y41" s="1"/>
      <c r="Z41" s="5">
        <f t="shared" ref="Z41:Z45" si="23">IF(T41=0,0,X41/T41)</f>
        <v>-1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100</v>
      </c>
      <c r="U42" s="2"/>
      <c r="V42" s="7">
        <f t="shared" si="21"/>
        <v>0</v>
      </c>
      <c r="W42" s="2"/>
      <c r="X42" s="6">
        <f t="shared" si="22"/>
        <v>-100</v>
      </c>
      <c r="Y42" s="2"/>
      <c r="Z42" s="7">
        <f t="shared" si="23"/>
        <v>-1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SUM(OSRRefD22_3x_0)</f>
        <v>5462.13</v>
      </c>
      <c r="E43" s="1"/>
      <c r="F43" s="5">
        <f t="shared" si="16"/>
        <v>0</v>
      </c>
      <c r="G43" s="1"/>
      <c r="H43" s="1">
        <f>SUM(OSRRefH22_3x_0)</f>
        <v>5462</v>
      </c>
      <c r="I43" s="1"/>
      <c r="J43" s="5">
        <f t="shared" si="17"/>
        <v>0</v>
      </c>
      <c r="K43" s="1"/>
      <c r="L43" s="1">
        <f t="shared" si="18"/>
        <v>0.13000000000010914</v>
      </c>
      <c r="M43" s="1"/>
      <c r="N43" s="5">
        <f t="shared" si="19"/>
        <v>2.3800805565746822E-5</v>
      </c>
      <c r="O43" s="14"/>
      <c r="P43" s="1">
        <f>SUM(OSRRefP22_3x_0)</f>
        <v>16386.41</v>
      </c>
      <c r="Q43" s="1"/>
      <c r="R43" s="5">
        <f t="shared" si="20"/>
        <v>0</v>
      </c>
      <c r="S43" s="1"/>
      <c r="T43" s="1">
        <f>SUM(OSRRefT22_3x_0)</f>
        <v>11124</v>
      </c>
      <c r="U43" s="1"/>
      <c r="V43" s="5">
        <f t="shared" si="21"/>
        <v>0</v>
      </c>
      <c r="W43" s="1"/>
      <c r="X43" s="1">
        <f t="shared" si="22"/>
        <v>5262.41</v>
      </c>
      <c r="Y43" s="1"/>
      <c r="Z43" s="5">
        <f t="shared" si="23"/>
        <v>0.47306814095649047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5462.13</v>
      </c>
      <c r="E44" s="2"/>
      <c r="F44" s="7">
        <f t="shared" si="16"/>
        <v>0</v>
      </c>
      <c r="G44" s="2"/>
      <c r="H44" s="6">
        <v>5462</v>
      </c>
      <c r="I44" s="2"/>
      <c r="J44" s="7">
        <f t="shared" si="17"/>
        <v>0</v>
      </c>
      <c r="K44" s="2"/>
      <c r="L44" s="6">
        <f t="shared" si="18"/>
        <v>0.13000000000010914</v>
      </c>
      <c r="M44" s="2"/>
      <c r="N44" s="7">
        <f t="shared" si="19"/>
        <v>2.3800805565746822E-5</v>
      </c>
      <c r="O44" s="11"/>
      <c r="P44" s="6">
        <v>16386.41</v>
      </c>
      <c r="Q44" s="2"/>
      <c r="R44" s="7">
        <f t="shared" si="20"/>
        <v>0</v>
      </c>
      <c r="S44" s="2"/>
      <c r="T44" s="6">
        <v>11024</v>
      </c>
      <c r="U44" s="2"/>
      <c r="V44" s="7">
        <f t="shared" si="21"/>
        <v>0</v>
      </c>
      <c r="W44" s="2"/>
      <c r="X44" s="6">
        <f t="shared" si="22"/>
        <v>5362.41</v>
      </c>
      <c r="Y44" s="2"/>
      <c r="Z44" s="7">
        <f t="shared" si="23"/>
        <v>0.4864305152394775</v>
      </c>
    </row>
    <row r="45" spans="1:26" s="24" customFormat="1" hidden="1" outlineLevel="2" x14ac:dyDescent="0.25">
      <c r="A45" s="29"/>
      <c r="B45" s="11" t="str">
        <f>CONCATENATE("          ", "6324", " - ", "FURNITURE + FIXT DEPRECIATION")</f>
        <v xml:space="preserve">          6324 - FURNITURE + FIXT DEPRECIATION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100</v>
      </c>
      <c r="U45" s="2"/>
      <c r="V45" s="7">
        <f t="shared" si="21"/>
        <v>0</v>
      </c>
      <c r="W45" s="2"/>
      <c r="X45" s="6">
        <f t="shared" si="22"/>
        <v>-100</v>
      </c>
      <c r="Y45" s="2"/>
      <c r="Z45" s="7">
        <f t="shared" si="23"/>
        <v>-1</v>
      </c>
    </row>
    <row r="46" spans="1:26" s="28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SUM(OSRRefD22_4x_0)</f>
        <v>0</v>
      </c>
      <c r="E46" s="1"/>
      <c r="F46" s="5">
        <f t="shared" ref="F46:F53" si="24">IF(D$12=0,0,D46/D$12)</f>
        <v>0</v>
      </c>
      <c r="G46" s="1"/>
      <c r="H46" s="1">
        <f>SUM(OSRRefH22_4x_0)</f>
        <v>0</v>
      </c>
      <c r="I46" s="1"/>
      <c r="J46" s="5">
        <f t="shared" ref="J46:J53" si="25">IF(H$12=0,0,H46/H$12)</f>
        <v>0</v>
      </c>
      <c r="K46" s="1"/>
      <c r="L46" s="1">
        <f t="shared" ref="L46:L53" si="26">+D46-H46</f>
        <v>0</v>
      </c>
      <c r="M46" s="1"/>
      <c r="N46" s="5">
        <f t="shared" ref="N46:N53" si="27">IF(H46=0,0,L46/H46)</f>
        <v>0</v>
      </c>
      <c r="O46" s="14"/>
      <c r="P46" s="1">
        <f>SUM(OSRRefP22_4x_0)</f>
        <v>0</v>
      </c>
      <c r="Q46" s="1"/>
      <c r="R46" s="5">
        <f t="shared" ref="R46:R53" si="28">IF(P$12=0,0,P46/P$12)</f>
        <v>0</v>
      </c>
      <c r="S46" s="1"/>
      <c r="T46" s="1">
        <f>SUM(OSRRefT22_4x_0)</f>
        <v>500</v>
      </c>
      <c r="U46" s="1"/>
      <c r="V46" s="5">
        <f t="shared" ref="V46:V53" si="29">IF(T$12=0,0,T46/T$12)</f>
        <v>0</v>
      </c>
      <c r="W46" s="1"/>
      <c r="X46" s="1">
        <f t="shared" ref="X46:X53" si="30">+P46-T46</f>
        <v>-500</v>
      </c>
      <c r="Y46" s="1"/>
      <c r="Z46" s="5">
        <f t="shared" ref="Z46:Z53" si="31">IF(T46=0,0,X46/T46)</f>
        <v>-1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6"/>
      <c r="E47" s="2"/>
      <c r="F47" s="7">
        <f t="shared" si="24"/>
        <v>0</v>
      </c>
      <c r="G47" s="2"/>
      <c r="H47" s="6"/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1"/>
      <c r="P47" s="6"/>
      <c r="Q47" s="2"/>
      <c r="R47" s="7">
        <f t="shared" si="28"/>
        <v>0</v>
      </c>
      <c r="S47" s="2"/>
      <c r="T47" s="6">
        <v>500</v>
      </c>
      <c r="U47" s="2"/>
      <c r="V47" s="7">
        <f t="shared" si="29"/>
        <v>0</v>
      </c>
      <c r="W47" s="2"/>
      <c r="X47" s="6">
        <f t="shared" si="30"/>
        <v>-500</v>
      </c>
      <c r="Y47" s="2"/>
      <c r="Z47" s="7">
        <f t="shared" si="31"/>
        <v>-1</v>
      </c>
    </row>
    <row r="48" spans="1:26" s="28" customFormat="1" outlineLevel="1" collapsed="1" x14ac:dyDescent="0.25">
      <c r="A48" s="27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SUM(OSRRefD22_5x_0)</f>
        <v>56.34</v>
      </c>
      <c r="E48" s="1"/>
      <c r="F48" s="5">
        <f t="shared" si="24"/>
        <v>0</v>
      </c>
      <c r="G48" s="1"/>
      <c r="H48" s="1">
        <f>SUM(OSRRefH22_5x_0)</f>
        <v>61</v>
      </c>
      <c r="I48" s="1"/>
      <c r="J48" s="5">
        <f t="shared" si="25"/>
        <v>0</v>
      </c>
      <c r="K48" s="1"/>
      <c r="L48" s="1">
        <f t="shared" si="26"/>
        <v>-4.6599999999999966</v>
      </c>
      <c r="M48" s="1"/>
      <c r="N48" s="5">
        <f t="shared" si="27"/>
        <v>-7.6393442622950766E-2</v>
      </c>
      <c r="O48" s="14"/>
      <c r="P48" s="1">
        <f>SUM(OSRRefP22_5x_0)</f>
        <v>169.02</v>
      </c>
      <c r="Q48" s="1"/>
      <c r="R48" s="5">
        <f t="shared" si="28"/>
        <v>0</v>
      </c>
      <c r="S48" s="1"/>
      <c r="T48" s="1">
        <f>SUM(OSRRefT22_5x_0)</f>
        <v>722</v>
      </c>
      <c r="U48" s="1"/>
      <c r="V48" s="5">
        <f t="shared" si="29"/>
        <v>0</v>
      </c>
      <c r="W48" s="1"/>
      <c r="X48" s="1">
        <f t="shared" si="30"/>
        <v>-552.98</v>
      </c>
      <c r="Y48" s="1"/>
      <c r="Z48" s="5">
        <f t="shared" si="31"/>
        <v>-0.76590027700831032</v>
      </c>
    </row>
    <row r="49" spans="1:26" s="24" customFormat="1" hidden="1" outlineLevel="2" x14ac:dyDescent="0.25">
      <c r="A49" s="29"/>
      <c r="B49" s="11" t="str">
        <f>CONCATENATE("          ", "6314", " - ", "LIABILITY INSURANCE")</f>
        <v xml:space="preserve">          6314 - LIABILITY INSURANCE</v>
      </c>
      <c r="C49" s="11"/>
      <c r="D49" s="6">
        <v>56.34</v>
      </c>
      <c r="E49" s="2"/>
      <c r="F49" s="7">
        <f t="shared" si="24"/>
        <v>0</v>
      </c>
      <c r="G49" s="2"/>
      <c r="H49" s="6">
        <v>61</v>
      </c>
      <c r="I49" s="2"/>
      <c r="J49" s="7">
        <f t="shared" si="25"/>
        <v>0</v>
      </c>
      <c r="K49" s="2"/>
      <c r="L49" s="6">
        <f t="shared" si="26"/>
        <v>-4.6599999999999966</v>
      </c>
      <c r="M49" s="2"/>
      <c r="N49" s="7">
        <f t="shared" si="27"/>
        <v>-7.6393442622950766E-2</v>
      </c>
      <c r="O49" s="11"/>
      <c r="P49" s="6">
        <v>169.02</v>
      </c>
      <c r="Q49" s="2"/>
      <c r="R49" s="7">
        <f t="shared" si="28"/>
        <v>0</v>
      </c>
      <c r="S49" s="2"/>
      <c r="T49" s="6">
        <v>722</v>
      </c>
      <c r="U49" s="2"/>
      <c r="V49" s="7">
        <f t="shared" si="29"/>
        <v>0</v>
      </c>
      <c r="W49" s="2"/>
      <c r="X49" s="6">
        <f t="shared" si="30"/>
        <v>-552.98</v>
      </c>
      <c r="Y49" s="2"/>
      <c r="Z49" s="7">
        <f t="shared" si="31"/>
        <v>-0.76590027700831032</v>
      </c>
    </row>
    <row r="50" spans="1:26" s="28" customFormat="1" outlineLevel="1" collapsed="1" x14ac:dyDescent="0.25">
      <c r="A50" s="27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SUM(OSRRefD22_6x_0)</f>
        <v>10192</v>
      </c>
      <c r="E50" s="1"/>
      <c r="F50" s="5">
        <f t="shared" si="24"/>
        <v>0</v>
      </c>
      <c r="G50" s="1"/>
      <c r="H50" s="1">
        <f>SUM(OSRRefH22_6x_0)</f>
        <v>14910</v>
      </c>
      <c r="I50" s="1"/>
      <c r="J50" s="5">
        <f t="shared" si="25"/>
        <v>0</v>
      </c>
      <c r="K50" s="1"/>
      <c r="L50" s="1">
        <f t="shared" si="26"/>
        <v>-4718</v>
      </c>
      <c r="M50" s="1"/>
      <c r="N50" s="5">
        <f t="shared" si="27"/>
        <v>-0.31643192488262911</v>
      </c>
      <c r="O50" s="14"/>
      <c r="P50" s="1">
        <f>SUM(OSRRefP22_6x_0)</f>
        <v>34176</v>
      </c>
      <c r="Q50" s="1"/>
      <c r="R50" s="5">
        <f t="shared" si="28"/>
        <v>0</v>
      </c>
      <c r="S50" s="1"/>
      <c r="T50" s="1">
        <f>SUM(OSRRefT22_6x_0)</f>
        <v>32280</v>
      </c>
      <c r="U50" s="1"/>
      <c r="V50" s="5">
        <f t="shared" si="29"/>
        <v>0</v>
      </c>
      <c r="W50" s="1"/>
      <c r="X50" s="1">
        <f t="shared" si="30"/>
        <v>1896</v>
      </c>
      <c r="Y50" s="1"/>
      <c r="Z50" s="5">
        <f t="shared" si="31"/>
        <v>5.8736059479553904E-2</v>
      </c>
    </row>
    <row r="51" spans="1:26" s="24" customFormat="1" hidden="1" outlineLevel="2" x14ac:dyDescent="0.25">
      <c r="A51" s="29"/>
      <c r="B51" s="11" t="str">
        <f>CONCATENATE("          ", "6371", " - ", "COMPUTER SOFTWARE MAINTENANCE")</f>
        <v xml:space="preserve">          6371 - COMPUTER SOFTWARE MAINTENANCE</v>
      </c>
      <c r="C51" s="11"/>
      <c r="D51" s="6"/>
      <c r="E51" s="2"/>
      <c r="F51" s="7">
        <f t="shared" si="24"/>
        <v>0</v>
      </c>
      <c r="G51" s="2"/>
      <c r="H51" s="6">
        <v>660</v>
      </c>
      <c r="I51" s="2"/>
      <c r="J51" s="7">
        <f t="shared" si="25"/>
        <v>0</v>
      </c>
      <c r="K51" s="2"/>
      <c r="L51" s="6">
        <f t="shared" si="26"/>
        <v>-660</v>
      </c>
      <c r="M51" s="2"/>
      <c r="N51" s="7">
        <f t="shared" si="27"/>
        <v>-1</v>
      </c>
      <c r="O51" s="11"/>
      <c r="P51" s="6"/>
      <c r="Q51" s="2"/>
      <c r="R51" s="7">
        <f t="shared" si="28"/>
        <v>0</v>
      </c>
      <c r="S51" s="2"/>
      <c r="T51" s="6">
        <v>1980</v>
      </c>
      <c r="U51" s="2"/>
      <c r="V51" s="7">
        <f t="shared" si="29"/>
        <v>0</v>
      </c>
      <c r="W51" s="2"/>
      <c r="X51" s="6">
        <f t="shared" si="30"/>
        <v>-1980</v>
      </c>
      <c r="Y51" s="2"/>
      <c r="Z51" s="7">
        <f t="shared" si="31"/>
        <v>-1</v>
      </c>
    </row>
    <row r="52" spans="1:26" s="24" customFormat="1" hidden="1" outlineLevel="2" x14ac:dyDescent="0.25">
      <c r="A52" s="29"/>
      <c r="B52" s="11" t="str">
        <f>CONCATENATE("          ", "6372", " - ", "COMPUTER HARDWARE MAINTENANCE")</f>
        <v xml:space="preserve">          6372 - COMPUTER HARDWARE MAINTENANCE</v>
      </c>
      <c r="C52" s="11"/>
      <c r="D52" s="6"/>
      <c r="E52" s="2"/>
      <c r="F52" s="7">
        <f t="shared" si="24"/>
        <v>0</v>
      </c>
      <c r="G52" s="2"/>
      <c r="H52" s="6">
        <v>1600</v>
      </c>
      <c r="I52" s="2"/>
      <c r="J52" s="7">
        <f t="shared" si="25"/>
        <v>0</v>
      </c>
      <c r="K52" s="2"/>
      <c r="L52" s="6">
        <f t="shared" si="26"/>
        <v>-1600</v>
      </c>
      <c r="M52" s="2"/>
      <c r="N52" s="7">
        <f t="shared" si="27"/>
        <v>-1</v>
      </c>
      <c r="O52" s="11"/>
      <c r="P52" s="6"/>
      <c r="Q52" s="2"/>
      <c r="R52" s="7">
        <f t="shared" si="28"/>
        <v>0</v>
      </c>
      <c r="S52" s="2"/>
      <c r="T52" s="6">
        <v>4800</v>
      </c>
      <c r="U52" s="2"/>
      <c r="V52" s="7">
        <f t="shared" si="29"/>
        <v>0</v>
      </c>
      <c r="W52" s="2"/>
      <c r="X52" s="6">
        <f t="shared" si="30"/>
        <v>-4800</v>
      </c>
      <c r="Y52" s="2"/>
      <c r="Z52" s="7">
        <f t="shared" si="31"/>
        <v>-1</v>
      </c>
    </row>
    <row r="53" spans="1:26" s="24" customFormat="1" hidden="1" outlineLevel="2" x14ac:dyDescent="0.25">
      <c r="A53" s="29"/>
      <c r="B53" s="11" t="str">
        <f>CONCATENATE("          ", "6373", " - ", "MAINTENANCE CONTRACTS")</f>
        <v xml:space="preserve">          6373 - MAINTENANCE CONTRACTS</v>
      </c>
      <c r="C53" s="11"/>
      <c r="D53" s="6">
        <v>10192</v>
      </c>
      <c r="E53" s="2"/>
      <c r="F53" s="7">
        <f t="shared" si="24"/>
        <v>0</v>
      </c>
      <c r="G53" s="2"/>
      <c r="H53" s="6">
        <v>12650</v>
      </c>
      <c r="I53" s="2"/>
      <c r="J53" s="7">
        <f t="shared" si="25"/>
        <v>0</v>
      </c>
      <c r="K53" s="2"/>
      <c r="L53" s="6">
        <f t="shared" si="26"/>
        <v>-2458</v>
      </c>
      <c r="M53" s="2"/>
      <c r="N53" s="7">
        <f t="shared" si="27"/>
        <v>-0.19430830039525693</v>
      </c>
      <c r="O53" s="11"/>
      <c r="P53" s="6">
        <v>34176</v>
      </c>
      <c r="Q53" s="2"/>
      <c r="R53" s="7">
        <f t="shared" si="28"/>
        <v>0</v>
      </c>
      <c r="S53" s="2"/>
      <c r="T53" s="6">
        <v>25500</v>
      </c>
      <c r="U53" s="2"/>
      <c r="V53" s="7">
        <f t="shared" si="29"/>
        <v>0</v>
      </c>
      <c r="W53" s="2"/>
      <c r="X53" s="6">
        <f t="shared" si="30"/>
        <v>8676</v>
      </c>
      <c r="Y53" s="2"/>
      <c r="Z53" s="7">
        <f t="shared" si="31"/>
        <v>0.34023529411764708</v>
      </c>
    </row>
    <row r="54" spans="1:26" s="28" customFormat="1" outlineLevel="1" collapsed="1" x14ac:dyDescent="0.25">
      <c r="A54" s="27"/>
      <c r="B54" s="14" t="str">
        <f>CONCATENATE("     ","Subscriptions &amp; Dues                              ")</f>
        <v xml:space="preserve">     Subscriptions &amp; Dues                              </v>
      </c>
      <c r="C54" s="14"/>
      <c r="D54" s="1">
        <f>SUM(OSRRefD22_7x_0)</f>
        <v>0</v>
      </c>
      <c r="E54" s="1"/>
      <c r="F54" s="5">
        <f t="shared" ref="F54:F56" si="32">IF(D$12=0,0,D54/D$12)</f>
        <v>0</v>
      </c>
      <c r="G54" s="1"/>
      <c r="H54" s="1">
        <f>SUM(OSRRefH22_7x_0)</f>
        <v>100</v>
      </c>
      <c r="I54" s="1"/>
      <c r="J54" s="5">
        <f t="shared" ref="J54:J56" si="33">IF(H$12=0,0,H54/H$12)</f>
        <v>0</v>
      </c>
      <c r="K54" s="1"/>
      <c r="L54" s="1">
        <f t="shared" ref="L54:L56" si="34">+D54-H54</f>
        <v>-100</v>
      </c>
      <c r="M54" s="1"/>
      <c r="N54" s="5">
        <f t="shared" ref="N54:N56" si="35">IF(H54=0,0,L54/H54)</f>
        <v>-1</v>
      </c>
      <c r="O54" s="14"/>
      <c r="P54" s="1">
        <f>SUM(OSRRefP22_7x_0)</f>
        <v>0</v>
      </c>
      <c r="Q54" s="1"/>
      <c r="R54" s="5">
        <f t="shared" ref="R54:R56" si="36">IF(P$12=0,0,P54/P$12)</f>
        <v>0</v>
      </c>
      <c r="S54" s="1"/>
      <c r="T54" s="1">
        <f>SUM(OSRRefT22_7x_0)</f>
        <v>900</v>
      </c>
      <c r="U54" s="1"/>
      <c r="V54" s="5">
        <f t="shared" ref="V54:V56" si="37">IF(T$12=0,0,T54/T$12)</f>
        <v>0</v>
      </c>
      <c r="W54" s="1"/>
      <c r="X54" s="1">
        <f t="shared" ref="X54:X56" si="38">+P54-T54</f>
        <v>-900</v>
      </c>
      <c r="Y54" s="1"/>
      <c r="Z54" s="5">
        <f t="shared" ref="Z54:Z56" si="39">IF(T54=0,0,X54/T54)</f>
        <v>-1</v>
      </c>
    </row>
    <row r="55" spans="1:26" s="24" customFormat="1" hidden="1" outlineLevel="2" x14ac:dyDescent="0.25">
      <c r="A55" s="29"/>
      <c r="B55" s="11" t="str">
        <f>CONCATENATE("          ", "6258", " - ", "MEMBERSHIP DUES")</f>
        <v xml:space="preserve">          6258 - MEMBERSHIP DUES</v>
      </c>
      <c r="C55" s="11"/>
      <c r="D55" s="6"/>
      <c r="E55" s="2"/>
      <c r="F55" s="7">
        <f t="shared" si="32"/>
        <v>0</v>
      </c>
      <c r="G55" s="2"/>
      <c r="H55" s="6"/>
      <c r="I55" s="2"/>
      <c r="J55" s="7">
        <f t="shared" si="33"/>
        <v>0</v>
      </c>
      <c r="K55" s="2"/>
      <c r="L55" s="6">
        <f t="shared" si="34"/>
        <v>0</v>
      </c>
      <c r="M55" s="2"/>
      <c r="N55" s="7">
        <f t="shared" si="35"/>
        <v>0</v>
      </c>
      <c r="O55" s="11"/>
      <c r="P55" s="6"/>
      <c r="Q55" s="2"/>
      <c r="R55" s="7">
        <f t="shared" si="36"/>
        <v>0</v>
      </c>
      <c r="S55" s="2"/>
      <c r="T55" s="6">
        <v>600</v>
      </c>
      <c r="U55" s="2"/>
      <c r="V55" s="7">
        <f t="shared" si="37"/>
        <v>0</v>
      </c>
      <c r="W55" s="2"/>
      <c r="X55" s="6">
        <f t="shared" si="38"/>
        <v>-600</v>
      </c>
      <c r="Y55" s="2"/>
      <c r="Z55" s="7">
        <f t="shared" si="39"/>
        <v>-1</v>
      </c>
    </row>
    <row r="56" spans="1:26" s="24" customFormat="1" hidden="1" outlineLevel="2" x14ac:dyDescent="0.25">
      <c r="A56" s="29"/>
      <c r="B56" s="11" t="str">
        <f>CONCATENATE("          ", "6275", " - ", "SUBSCRIPTIONS")</f>
        <v xml:space="preserve">          6275 - SUBSCRIPTIONS</v>
      </c>
      <c r="C56" s="11"/>
      <c r="D56" s="6"/>
      <c r="E56" s="2"/>
      <c r="F56" s="7">
        <f t="shared" si="32"/>
        <v>0</v>
      </c>
      <c r="G56" s="2"/>
      <c r="H56" s="6">
        <v>100</v>
      </c>
      <c r="I56" s="2"/>
      <c r="J56" s="7">
        <f t="shared" si="33"/>
        <v>0</v>
      </c>
      <c r="K56" s="2"/>
      <c r="L56" s="6">
        <f t="shared" si="34"/>
        <v>-100</v>
      </c>
      <c r="M56" s="2"/>
      <c r="N56" s="7">
        <f t="shared" si="35"/>
        <v>-1</v>
      </c>
      <c r="O56" s="11"/>
      <c r="P56" s="6"/>
      <c r="Q56" s="2"/>
      <c r="R56" s="7">
        <f t="shared" si="36"/>
        <v>0</v>
      </c>
      <c r="S56" s="2"/>
      <c r="T56" s="6">
        <v>300</v>
      </c>
      <c r="U56" s="2"/>
      <c r="V56" s="7">
        <f t="shared" si="37"/>
        <v>0</v>
      </c>
      <c r="W56" s="2"/>
      <c r="X56" s="6">
        <f t="shared" si="38"/>
        <v>-300</v>
      </c>
      <c r="Y56" s="2"/>
      <c r="Z56" s="7">
        <f t="shared" si="39"/>
        <v>-1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SUM(OSRRefD22_8x_0)</f>
        <v>-4457.97</v>
      </c>
      <c r="E57" s="1"/>
      <c r="F57" s="5">
        <f t="shared" ref="F57:F61" si="40">IF(D$12=0,0,D57/D$12)</f>
        <v>0</v>
      </c>
      <c r="G57" s="1"/>
      <c r="H57" s="1">
        <f>SUM(OSRRefH22_8x_0)</f>
        <v>300</v>
      </c>
      <c r="I57" s="1"/>
      <c r="J57" s="5">
        <f t="shared" ref="J57:J61" si="41">IF(H$12=0,0,H57/H$12)</f>
        <v>0</v>
      </c>
      <c r="K57" s="1"/>
      <c r="L57" s="1">
        <f t="shared" ref="L57:L61" si="42">+D57-H57</f>
        <v>-4757.97</v>
      </c>
      <c r="M57" s="1"/>
      <c r="N57" s="5">
        <f t="shared" ref="N57:N61" si="43">IF(H57=0,0,L57/H57)</f>
        <v>-15.859900000000001</v>
      </c>
      <c r="O57" s="14"/>
      <c r="P57" s="1">
        <f>SUM(OSRRefP22_8x_0)</f>
        <v>-4502.05</v>
      </c>
      <c r="Q57" s="1"/>
      <c r="R57" s="5">
        <f t="shared" ref="R57:R61" si="44">IF(P$12=0,0,P57/P$12)</f>
        <v>0</v>
      </c>
      <c r="S57" s="1"/>
      <c r="T57" s="1">
        <f>SUM(OSRRefT22_8x_0)</f>
        <v>900</v>
      </c>
      <c r="U57" s="1"/>
      <c r="V57" s="5">
        <f t="shared" ref="V57:V61" si="45">IF(T$12=0,0,T57/T$12)</f>
        <v>0</v>
      </c>
      <c r="W57" s="1"/>
      <c r="X57" s="1">
        <f t="shared" ref="X57:X61" si="46">+P57-T57</f>
        <v>-5402.05</v>
      </c>
      <c r="Y57" s="1"/>
      <c r="Z57" s="5">
        <f t="shared" ref="Z57:Z61" si="47">IF(T57=0,0,X57/T57)</f>
        <v>-6.0022777777777776</v>
      </c>
    </row>
    <row r="58" spans="1:26" s="24" customFormat="1" hidden="1" outlineLevel="2" x14ac:dyDescent="0.25">
      <c r="A58" s="29"/>
      <c r="B58" s="11" t="str">
        <f>CONCATENATE("          ", "6241", " - ", "OFFICE EXPENSE")</f>
        <v xml:space="preserve">          6241 - OFFICE EXPENSE</v>
      </c>
      <c r="C58" s="11"/>
      <c r="D58" s="6">
        <v>-4457.97</v>
      </c>
      <c r="E58" s="2"/>
      <c r="F58" s="7">
        <f t="shared" si="40"/>
        <v>0</v>
      </c>
      <c r="G58" s="2"/>
      <c r="H58" s="6">
        <v>300</v>
      </c>
      <c r="I58" s="2"/>
      <c r="J58" s="7">
        <f t="shared" si="41"/>
        <v>0</v>
      </c>
      <c r="K58" s="2"/>
      <c r="L58" s="6">
        <f t="shared" si="42"/>
        <v>-4757.97</v>
      </c>
      <c r="M58" s="2"/>
      <c r="N58" s="7">
        <f t="shared" si="43"/>
        <v>-15.859900000000001</v>
      </c>
      <c r="O58" s="11"/>
      <c r="P58" s="6">
        <v>-4502.05</v>
      </c>
      <c r="Q58" s="2"/>
      <c r="R58" s="7">
        <f t="shared" si="44"/>
        <v>0</v>
      </c>
      <c r="S58" s="2"/>
      <c r="T58" s="6">
        <v>900</v>
      </c>
      <c r="U58" s="2"/>
      <c r="V58" s="7">
        <f t="shared" si="45"/>
        <v>0</v>
      </c>
      <c r="W58" s="2"/>
      <c r="X58" s="6">
        <f t="shared" si="46"/>
        <v>-5402.05</v>
      </c>
      <c r="Y58" s="2"/>
      <c r="Z58" s="7">
        <f t="shared" si="47"/>
        <v>-6.0022777777777776</v>
      </c>
    </row>
    <row r="59" spans="1:26" s="28" customFormat="1" outlineLevel="1" collapsed="1" x14ac:dyDescent="0.25">
      <c r="A59" s="27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SUM(OSRRefD22_9x_0)</f>
        <v>658.37</v>
      </c>
      <c r="E59" s="1"/>
      <c r="F59" s="5">
        <f t="shared" si="40"/>
        <v>0</v>
      </c>
      <c r="G59" s="1"/>
      <c r="H59" s="1">
        <f>SUM(OSRRefH22_9x_0)</f>
        <v>395</v>
      </c>
      <c r="I59" s="1"/>
      <c r="J59" s="5">
        <f t="shared" si="41"/>
        <v>0</v>
      </c>
      <c r="K59" s="1"/>
      <c r="L59" s="1">
        <f t="shared" si="42"/>
        <v>263.37</v>
      </c>
      <c r="M59" s="1"/>
      <c r="N59" s="5">
        <f t="shared" si="43"/>
        <v>0.66675949367088605</v>
      </c>
      <c r="O59" s="14"/>
      <c r="P59" s="1">
        <f>SUM(OSRRefP22_9x_0)</f>
        <v>2522.1899999999996</v>
      </c>
      <c r="Q59" s="1"/>
      <c r="R59" s="5">
        <f t="shared" si="44"/>
        <v>0</v>
      </c>
      <c r="S59" s="1"/>
      <c r="T59" s="1">
        <f>SUM(OSRRefT22_9x_0)</f>
        <v>1185</v>
      </c>
      <c r="U59" s="1"/>
      <c r="V59" s="5">
        <f t="shared" si="45"/>
        <v>0</v>
      </c>
      <c r="W59" s="1"/>
      <c r="X59" s="1">
        <f t="shared" si="46"/>
        <v>1337.1899999999996</v>
      </c>
      <c r="Y59" s="1"/>
      <c r="Z59" s="5">
        <f t="shared" si="47"/>
        <v>1.1284303797468351</v>
      </c>
    </row>
    <row r="60" spans="1:26" s="24" customFormat="1" hidden="1" outlineLevel="2" x14ac:dyDescent="0.25">
      <c r="A60" s="29"/>
      <c r="B60" s="11" t="str">
        <f>CONCATENATE("          ", "6303", " - ", "DATA PHONE LINES")</f>
        <v xml:space="preserve">          6303 - DATA PHONE LINES</v>
      </c>
      <c r="C60" s="11"/>
      <c r="D60" s="6">
        <v>78.989999999999995</v>
      </c>
      <c r="E60" s="2"/>
      <c r="F60" s="7">
        <f t="shared" si="40"/>
        <v>0</v>
      </c>
      <c r="G60" s="2"/>
      <c r="H60" s="6">
        <v>335</v>
      </c>
      <c r="I60" s="2"/>
      <c r="J60" s="7">
        <f t="shared" si="41"/>
        <v>0</v>
      </c>
      <c r="K60" s="2"/>
      <c r="L60" s="6">
        <f t="shared" si="42"/>
        <v>-256.01</v>
      </c>
      <c r="M60" s="2"/>
      <c r="N60" s="7">
        <f t="shared" si="43"/>
        <v>-0.76420895522388055</v>
      </c>
      <c r="O60" s="11"/>
      <c r="P60" s="6">
        <v>236.97</v>
      </c>
      <c r="Q60" s="2"/>
      <c r="R60" s="7">
        <f t="shared" si="44"/>
        <v>0</v>
      </c>
      <c r="S60" s="2"/>
      <c r="T60" s="6">
        <v>1005</v>
      </c>
      <c r="U60" s="2"/>
      <c r="V60" s="7">
        <f t="shared" si="45"/>
        <v>0</v>
      </c>
      <c r="W60" s="2"/>
      <c r="X60" s="6">
        <f t="shared" si="46"/>
        <v>-768.03</v>
      </c>
      <c r="Y60" s="2"/>
      <c r="Z60" s="7">
        <f t="shared" si="47"/>
        <v>-0.76420895522388055</v>
      </c>
    </row>
    <row r="61" spans="1:26" s="24" customFormat="1" hidden="1" outlineLevel="2" x14ac:dyDescent="0.25">
      <c r="A61" s="29"/>
      <c r="B61" s="11" t="str">
        <f>CONCATENATE("          ", "6309", " - ", "TELEPHONE")</f>
        <v xml:space="preserve">          6309 - TELEPHONE</v>
      </c>
      <c r="C61" s="11"/>
      <c r="D61" s="6">
        <v>579.38</v>
      </c>
      <c r="E61" s="2"/>
      <c r="F61" s="7">
        <f t="shared" si="40"/>
        <v>0</v>
      </c>
      <c r="G61" s="2"/>
      <c r="H61" s="6">
        <v>60</v>
      </c>
      <c r="I61" s="2"/>
      <c r="J61" s="7">
        <f t="shared" si="41"/>
        <v>0</v>
      </c>
      <c r="K61" s="2"/>
      <c r="L61" s="6">
        <f t="shared" si="42"/>
        <v>519.38</v>
      </c>
      <c r="M61" s="2"/>
      <c r="N61" s="7">
        <f t="shared" si="43"/>
        <v>8.6563333333333325</v>
      </c>
      <c r="O61" s="11"/>
      <c r="P61" s="6">
        <v>2285.2199999999998</v>
      </c>
      <c r="Q61" s="2"/>
      <c r="R61" s="7">
        <f t="shared" si="44"/>
        <v>0</v>
      </c>
      <c r="S61" s="2"/>
      <c r="T61" s="6">
        <v>180</v>
      </c>
      <c r="U61" s="2"/>
      <c r="V61" s="7">
        <f t="shared" si="45"/>
        <v>0</v>
      </c>
      <c r="W61" s="2"/>
      <c r="X61" s="6">
        <f t="shared" si="46"/>
        <v>2105.2199999999998</v>
      </c>
      <c r="Y61" s="2"/>
      <c r="Z61" s="7">
        <f t="shared" si="47"/>
        <v>11.695666666666666</v>
      </c>
    </row>
    <row r="62" spans="1:26" s="28" customFormat="1" outlineLevel="1" collapsed="1" x14ac:dyDescent="0.25">
      <c r="A62" s="27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SUM(OSRRefD22_10x_0)</f>
        <v>0</v>
      </c>
      <c r="E62" s="1"/>
      <c r="F62" s="5">
        <f t="shared" ref="F62:F63" si="48">IF(D$12=0,0,D62/D$12)</f>
        <v>0</v>
      </c>
      <c r="G62" s="1"/>
      <c r="H62" s="1">
        <f>SUM(OSRRefH22_10x_0)</f>
        <v>625</v>
      </c>
      <c r="I62" s="1"/>
      <c r="J62" s="5">
        <f t="shared" ref="J62:J63" si="49">IF(H$12=0,0,H62/H$12)</f>
        <v>0</v>
      </c>
      <c r="K62" s="1"/>
      <c r="L62" s="1">
        <f t="shared" ref="L62:L63" si="50">+D62-H62</f>
        <v>-625</v>
      </c>
      <c r="M62" s="1"/>
      <c r="N62" s="5">
        <f t="shared" ref="N62:N63" si="51">IF(H62=0,0,L62/H62)</f>
        <v>-1</v>
      </c>
      <c r="O62" s="14"/>
      <c r="P62" s="1">
        <f>SUM(OSRRefP22_10x_0)</f>
        <v>0</v>
      </c>
      <c r="Q62" s="1"/>
      <c r="R62" s="5">
        <f t="shared" ref="R62:R63" si="52">IF(P$12=0,0,P62/P$12)</f>
        <v>0</v>
      </c>
      <c r="S62" s="1"/>
      <c r="T62" s="1">
        <f>SUM(OSRRefT22_10x_0)</f>
        <v>1875</v>
      </c>
      <c r="U62" s="1"/>
      <c r="V62" s="5">
        <f t="shared" ref="V62:V63" si="53">IF(T$12=0,0,T62/T$12)</f>
        <v>0</v>
      </c>
      <c r="W62" s="1"/>
      <c r="X62" s="1">
        <f t="shared" ref="X62:X63" si="54">+P62-T62</f>
        <v>-1875</v>
      </c>
      <c r="Y62" s="1"/>
      <c r="Z62" s="5">
        <f t="shared" ref="Z62:Z63" si="55">IF(T62=0,0,X62/T62)</f>
        <v>-1</v>
      </c>
    </row>
    <row r="63" spans="1:26" s="24" customFormat="1" hidden="1" outlineLevel="2" x14ac:dyDescent="0.25">
      <c r="A63" s="29"/>
      <c r="B63" s="11" t="str">
        <f>CONCATENATE("          ", "6292", " - ", "TRAVEL/CONFERENCE")</f>
        <v xml:space="preserve">          6292 - TRAVEL/CONFERENCE</v>
      </c>
      <c r="C63" s="11"/>
      <c r="D63" s="6"/>
      <c r="E63" s="2"/>
      <c r="F63" s="7">
        <f t="shared" si="48"/>
        <v>0</v>
      </c>
      <c r="G63" s="2"/>
      <c r="H63" s="6">
        <v>625</v>
      </c>
      <c r="I63" s="2"/>
      <c r="J63" s="7">
        <f t="shared" si="49"/>
        <v>0</v>
      </c>
      <c r="K63" s="2"/>
      <c r="L63" s="6">
        <f t="shared" si="50"/>
        <v>-625</v>
      </c>
      <c r="M63" s="2"/>
      <c r="N63" s="7">
        <f t="shared" si="51"/>
        <v>-1</v>
      </c>
      <c r="O63" s="11"/>
      <c r="P63" s="6"/>
      <c r="Q63" s="2"/>
      <c r="R63" s="7">
        <f t="shared" si="52"/>
        <v>0</v>
      </c>
      <c r="S63" s="2"/>
      <c r="T63" s="6">
        <v>1875</v>
      </c>
      <c r="U63" s="2"/>
      <c r="V63" s="7">
        <f t="shared" si="53"/>
        <v>0</v>
      </c>
      <c r="W63" s="2"/>
      <c r="X63" s="6">
        <f t="shared" si="54"/>
        <v>-1875</v>
      </c>
      <c r="Y63" s="2"/>
      <c r="Z63" s="7">
        <f t="shared" si="55"/>
        <v>-1</v>
      </c>
    </row>
    <row r="64" spans="1:26" s="61" customFormat="1" x14ac:dyDescent="0.25">
      <c r="A64" s="36"/>
      <c r="B64" s="36"/>
      <c r="C64" s="36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6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5" t="s">
        <v>0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6" t="s">
        <v>3</v>
      </c>
      <c r="C67" s="26"/>
      <c r="D67" s="20">
        <f>+D16-D18+D65</f>
        <v>-43962.689999999995</v>
      </c>
      <c r="E67" s="13"/>
      <c r="F67" s="21">
        <f>IF(D$12=0,0,D67/D$12)</f>
        <v>0</v>
      </c>
      <c r="G67" s="13"/>
      <c r="H67" s="20">
        <f>+H16-H18+H65</f>
        <v>-51727.722846153818</v>
      </c>
      <c r="I67" s="13"/>
      <c r="J67" s="21">
        <f>IF(H$12=0,0,H67/H$12)</f>
        <v>0</v>
      </c>
      <c r="K67" s="16"/>
      <c r="L67" s="20">
        <f>+D67-H67</f>
        <v>7765.0328461538229</v>
      </c>
      <c r="M67" s="16"/>
      <c r="N67" s="21">
        <f>IF(H67=0,0,L67/H67)</f>
        <v>-0.15011356423417713</v>
      </c>
      <c r="O67" s="25"/>
      <c r="P67" s="20">
        <f>+P16-P18+P65</f>
        <v>-150767.32</v>
      </c>
      <c r="Q67" s="13"/>
      <c r="R67" s="21">
        <f>IF(P$12=0,0,P67/P$12)</f>
        <v>0</v>
      </c>
      <c r="S67" s="13"/>
      <c r="T67" s="20">
        <f>+T16-T18+T65</f>
        <v>-153457.48961538461</v>
      </c>
      <c r="U67" s="13"/>
      <c r="V67" s="21">
        <f>IF(T$12=0,0,T67/T$12)</f>
        <v>0</v>
      </c>
      <c r="W67" s="16"/>
      <c r="X67" s="20">
        <f>+P67-T67</f>
        <v>2690.1696153845987</v>
      </c>
      <c r="Y67" s="16"/>
      <c r="Z67" s="21">
        <f>IF(T67=0,0,X67/T67)</f>
        <v>-1.7530389830610785E-2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2"/>
      <c r="B69" s="10" t="s">
        <v>14</v>
      </c>
      <c r="C69" s="10"/>
      <c r="D69" s="4"/>
      <c r="E69" s="4"/>
      <c r="F69" s="12">
        <f>IF(D$12=0,0,D69/D$12)</f>
        <v>0</v>
      </c>
      <c r="G69" s="4"/>
      <c r="H69" s="4"/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/>
      <c r="Q69" s="4"/>
      <c r="R69" s="12">
        <f>IF(P$12=0,0,P69/P$12)</f>
        <v>0</v>
      </c>
      <c r="S69" s="4"/>
      <c r="T69" s="4"/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6" t="s">
        <v>4</v>
      </c>
      <c r="C71" s="26"/>
      <c r="D71" s="33">
        <f>+D67-D69</f>
        <v>-43962.689999999995</v>
      </c>
      <c r="E71" s="13"/>
      <c r="F71" s="34">
        <f>IF(D$12=0,0,D71/D$12)</f>
        <v>0</v>
      </c>
      <c r="G71" s="13"/>
      <c r="H71" s="33">
        <f>+H67-H69</f>
        <v>-51727.722846153818</v>
      </c>
      <c r="I71" s="13"/>
      <c r="J71" s="34">
        <f>IF(H$12=0,0,H71/H$12)</f>
        <v>0</v>
      </c>
      <c r="K71" s="16"/>
      <c r="L71" s="33">
        <f>D71-H71</f>
        <v>7765.0328461538229</v>
      </c>
      <c r="M71" s="16"/>
      <c r="N71" s="34">
        <f>IF(H71=0,0,L71/H71)</f>
        <v>-0.15011356423417713</v>
      </c>
      <c r="O71" s="25"/>
      <c r="P71" s="33">
        <f>+P67-P69</f>
        <v>-150767.32</v>
      </c>
      <c r="Q71" s="13"/>
      <c r="R71" s="34">
        <f>IF(P$12=0,0,P71/P$12)</f>
        <v>0</v>
      </c>
      <c r="S71" s="13"/>
      <c r="T71" s="33">
        <f>+T67-T69</f>
        <v>-153457.48961538461</v>
      </c>
      <c r="U71" s="13"/>
      <c r="V71" s="34">
        <f>IF(T$12=0,0,T71/T$12)</f>
        <v>0</v>
      </c>
      <c r="W71" s="16"/>
      <c r="X71" s="33">
        <f>P71-T71</f>
        <v>2690.1696153845987</v>
      </c>
      <c r="Y71" s="16"/>
      <c r="Z71" s="34">
        <f>IF(T71=0,0,X71/T71)</f>
        <v>-1.7530389830610785E-2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5</v>
      </c>
      <c r="C74" s="26"/>
      <c r="D74" s="31">
        <f>SUM(D71:D73)</f>
        <v>-43962.689999999995</v>
      </c>
      <c r="E74" s="13"/>
      <c r="F74" s="32">
        <f>IF(D$12=0,0,D74/D$12)</f>
        <v>0</v>
      </c>
      <c r="G74" s="13"/>
      <c r="H74" s="31">
        <f>SUM(H71:H73)</f>
        <v>-51727.722846153818</v>
      </c>
      <c r="I74" s="13"/>
      <c r="J74" s="32">
        <f>IF(H$12=0,0,H74/H$12)</f>
        <v>0</v>
      </c>
      <c r="K74" s="16"/>
      <c r="L74" s="31">
        <f>+D74-H74</f>
        <v>7765.0328461538229</v>
      </c>
      <c r="M74" s="16"/>
      <c r="N74" s="32">
        <f>IF(H74=0,0,L74/H74)</f>
        <v>-0.15011356423417713</v>
      </c>
      <c r="O74" s="25"/>
      <c r="P74" s="31">
        <f>SUM(P71:P73)</f>
        <v>-150767.32</v>
      </c>
      <c r="Q74" s="13"/>
      <c r="R74" s="32">
        <f>IF(P$12=0,0,P74/P$12)</f>
        <v>0</v>
      </c>
      <c r="S74" s="13"/>
      <c r="T74" s="31">
        <f>SUM(T71:T73)</f>
        <v>-153457.48961538461</v>
      </c>
      <c r="U74" s="13"/>
      <c r="V74" s="32">
        <f>IF(T$12=0,0,T74/T$12)</f>
        <v>0</v>
      </c>
      <c r="W74" s="16"/>
      <c r="X74" s="31">
        <f>+P74-T74</f>
        <v>2690.1696153845987</v>
      </c>
      <c r="Y74" s="16"/>
      <c r="Z74" s="32">
        <f>IF(T74=0,0,X74/T74)</f>
        <v>-1.7530389830610785E-2</v>
      </c>
    </row>
    <row r="75" spans="1:26" ht="15.75" thickTop="1" x14ac:dyDescent="0.25">
      <c r="A75" s="9"/>
      <c r="C75" s="9"/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  <row r="76" spans="1:26" x14ac:dyDescent="0.25">
      <c r="A76" s="9"/>
      <c r="B76" s="55">
        <v>44123.571779710648</v>
      </c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3" t="s">
        <v>314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62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","205", " - ", "Maintenance")</f>
        <v>Department 205 - Maintenance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7471.87</v>
      </c>
      <c r="E18" s="19"/>
      <c r="F18" s="35">
        <f t="shared" ref="F18:F28" si="0">IF(D$12=0,0,D18/D$12)</f>
        <v>0</v>
      </c>
      <c r="G18" s="19"/>
      <c r="H18" s="19">
        <f>SUM(OSRRefH22x_0)</f>
        <v>7140.2521538461542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331.61784615384568</v>
      </c>
      <c r="M18" s="4"/>
      <c r="N18" s="35">
        <f t="shared" ref="N18:N28" si="3">IF(H18=0,0,L18/H18)</f>
        <v>4.6443436311309684E-2</v>
      </c>
      <c r="O18" s="10"/>
      <c r="P18" s="19">
        <f>SUM(OSRRefP22x_0)</f>
        <v>24127.959999999995</v>
      </c>
      <c r="Q18" s="19"/>
      <c r="R18" s="35">
        <f t="shared" ref="R18:R28" si="4">IF(P$12=0,0,P18/P$12)</f>
        <v>0</v>
      </c>
      <c r="S18" s="19"/>
      <c r="T18" s="19">
        <f>SUM(OSRRefT22x_0)</f>
        <v>27811.569499999998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-3683.6095000000023</v>
      </c>
      <c r="Y18" s="4"/>
      <c r="Z18" s="35">
        <f t="shared" ref="Z18:Z28" si="7">IF(T18=0,0,X18/T18)</f>
        <v>-0.13244881774831163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2350.64</v>
      </c>
      <c r="E19" s="1"/>
      <c r="F19" s="5">
        <f t="shared" si="0"/>
        <v>0</v>
      </c>
      <c r="G19" s="1"/>
      <c r="H19" s="1">
        <f>SUM(OSRRefH22_0x_0)</f>
        <v>1825.2521538461542</v>
      </c>
      <c r="I19" s="1"/>
      <c r="J19" s="5">
        <f t="shared" si="1"/>
        <v>0</v>
      </c>
      <c r="K19" s="1"/>
      <c r="L19" s="1">
        <f t="shared" si="2"/>
        <v>525.38784615384566</v>
      </c>
      <c r="M19" s="1"/>
      <c r="N19" s="5">
        <f t="shared" si="3"/>
        <v>0.28784398092436342</v>
      </c>
      <c r="O19" s="14"/>
      <c r="P19" s="1">
        <f>SUM(OSRRefP22_0x_0)</f>
        <v>7253.9199999999992</v>
      </c>
      <c r="Q19" s="1"/>
      <c r="R19" s="5">
        <f t="shared" si="4"/>
        <v>0</v>
      </c>
      <c r="S19" s="1"/>
      <c r="T19" s="1">
        <f>SUM(OSRRefT22_0x_0)</f>
        <v>5932.0694999999996</v>
      </c>
      <c r="U19" s="1"/>
      <c r="V19" s="5">
        <f t="shared" si="5"/>
        <v>0</v>
      </c>
      <c r="W19" s="1"/>
      <c r="X19" s="1">
        <f t="shared" si="6"/>
        <v>1321.8504999999996</v>
      </c>
      <c r="Y19" s="1"/>
      <c r="Z19" s="5">
        <f t="shared" si="7"/>
        <v>0.22283125644431503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315.83999999999997</v>
      </c>
      <c r="E20" s="2"/>
      <c r="F20" s="7">
        <f t="shared" si="0"/>
        <v>0</v>
      </c>
      <c r="G20" s="2"/>
      <c r="H20" s="6">
        <v>321.42599999999999</v>
      </c>
      <c r="I20" s="2"/>
      <c r="J20" s="7">
        <f t="shared" si="1"/>
        <v>0</v>
      </c>
      <c r="K20" s="2"/>
      <c r="L20" s="6">
        <f t="shared" si="2"/>
        <v>-5.5860000000000127</v>
      </c>
      <c r="M20" s="2"/>
      <c r="N20" s="7">
        <f t="shared" si="3"/>
        <v>-1.7378805697112285E-2</v>
      </c>
      <c r="O20" s="11"/>
      <c r="P20" s="6">
        <v>950.24</v>
      </c>
      <c r="Q20" s="2"/>
      <c r="R20" s="7">
        <f t="shared" si="4"/>
        <v>0</v>
      </c>
      <c r="S20" s="2"/>
      <c r="T20" s="6">
        <v>1044.6344999999999</v>
      </c>
      <c r="U20" s="2"/>
      <c r="V20" s="7">
        <f t="shared" si="5"/>
        <v>0</v>
      </c>
      <c r="W20" s="2"/>
      <c r="X20" s="6">
        <f t="shared" si="6"/>
        <v>-94.39449999999988</v>
      </c>
      <c r="Y20" s="2"/>
      <c r="Z20" s="7">
        <f t="shared" si="7"/>
        <v>-9.036126989870609E-2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286.13</v>
      </c>
      <c r="E21" s="2"/>
      <c r="F21" s="7">
        <f t="shared" si="0"/>
        <v>0</v>
      </c>
      <c r="G21" s="2"/>
      <c r="H21" s="6">
        <v>291.06</v>
      </c>
      <c r="I21" s="2"/>
      <c r="J21" s="7">
        <f t="shared" si="1"/>
        <v>0</v>
      </c>
      <c r="K21" s="2"/>
      <c r="L21" s="6">
        <f t="shared" si="2"/>
        <v>-4.9300000000000068</v>
      </c>
      <c r="M21" s="2"/>
      <c r="N21" s="7">
        <f t="shared" si="3"/>
        <v>-1.6938088366659818E-2</v>
      </c>
      <c r="O21" s="11"/>
      <c r="P21" s="6">
        <v>860.85</v>
      </c>
      <c r="Q21" s="2"/>
      <c r="R21" s="7">
        <f t="shared" si="4"/>
        <v>0</v>
      </c>
      <c r="S21" s="2"/>
      <c r="T21" s="6">
        <v>945.94500000000005</v>
      </c>
      <c r="U21" s="2"/>
      <c r="V21" s="7">
        <f t="shared" si="5"/>
        <v>0</v>
      </c>
      <c r="W21" s="2"/>
      <c r="X21" s="6">
        <f t="shared" si="6"/>
        <v>-85.095000000000027</v>
      </c>
      <c r="Y21" s="2"/>
      <c r="Z21" s="7">
        <f t="shared" si="7"/>
        <v>-8.9957661386232846E-2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613.84615384615404</v>
      </c>
      <c r="I22" s="2"/>
      <c r="J22" s="7">
        <f t="shared" si="1"/>
        <v>0</v>
      </c>
      <c r="K22" s="2"/>
      <c r="L22" s="6">
        <f t="shared" si="2"/>
        <v>82.31384615384593</v>
      </c>
      <c r="M22" s="2"/>
      <c r="N22" s="7">
        <f t="shared" si="3"/>
        <v>0.13409523809523768</v>
      </c>
      <c r="O22" s="11"/>
      <c r="P22" s="6">
        <v>2088.48</v>
      </c>
      <c r="Q22" s="2"/>
      <c r="R22" s="7">
        <f t="shared" si="4"/>
        <v>0</v>
      </c>
      <c r="S22" s="2"/>
      <c r="T22" s="6">
        <v>1995</v>
      </c>
      <c r="U22" s="2"/>
      <c r="V22" s="7">
        <f t="shared" si="5"/>
        <v>0</v>
      </c>
      <c r="W22" s="2"/>
      <c r="X22" s="6">
        <f t="shared" si="6"/>
        <v>93.480000000000018</v>
      </c>
      <c r="Y22" s="2"/>
      <c r="Z22" s="7">
        <f t="shared" si="7"/>
        <v>4.6857142857142868E-2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10.74</v>
      </c>
      <c r="E23" s="2"/>
      <c r="F23" s="7">
        <f t="shared" si="0"/>
        <v>0</v>
      </c>
      <c r="G23" s="2"/>
      <c r="H23" s="6">
        <v>10.92</v>
      </c>
      <c r="I23" s="2"/>
      <c r="J23" s="7">
        <f t="shared" si="1"/>
        <v>0</v>
      </c>
      <c r="K23" s="2"/>
      <c r="L23" s="6">
        <f t="shared" si="2"/>
        <v>-0.17999999999999972</v>
      </c>
      <c r="M23" s="2"/>
      <c r="N23" s="7">
        <f t="shared" si="3"/>
        <v>-1.6483516483516456E-2</v>
      </c>
      <c r="O23" s="11"/>
      <c r="P23" s="6">
        <v>32.31</v>
      </c>
      <c r="Q23" s="2"/>
      <c r="R23" s="7">
        <f t="shared" si="4"/>
        <v>0</v>
      </c>
      <c r="S23" s="2"/>
      <c r="T23" s="6">
        <v>35.49</v>
      </c>
      <c r="U23" s="2"/>
      <c r="V23" s="7">
        <f t="shared" si="5"/>
        <v>0</v>
      </c>
      <c r="W23" s="2"/>
      <c r="X23" s="6">
        <f t="shared" si="6"/>
        <v>-3.1799999999999997</v>
      </c>
      <c r="Y23" s="2"/>
      <c r="Z23" s="7">
        <f t="shared" si="7"/>
        <v>-8.9602704987320356E-2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463.27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463.27</v>
      </c>
      <c r="M24" s="2"/>
      <c r="N24" s="7">
        <f t="shared" si="3"/>
        <v>0</v>
      </c>
      <c r="O24" s="11"/>
      <c r="P24" s="6">
        <v>1621.45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1621.45</v>
      </c>
      <c r="Y24" s="2"/>
      <c r="Z24" s="7">
        <f t="shared" si="7"/>
        <v>0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6">
        <v>209.99</v>
      </c>
      <c r="E26" s="2"/>
      <c r="F26" s="7">
        <f t="shared" si="0"/>
        <v>0</v>
      </c>
      <c r="G26" s="2"/>
      <c r="H26" s="6">
        <v>420</v>
      </c>
      <c r="I26" s="2"/>
      <c r="J26" s="7">
        <f t="shared" si="1"/>
        <v>0</v>
      </c>
      <c r="K26" s="2"/>
      <c r="L26" s="6">
        <f t="shared" si="2"/>
        <v>-210.01</v>
      </c>
      <c r="M26" s="2"/>
      <c r="N26" s="7">
        <f t="shared" si="3"/>
        <v>-0.50002380952380954</v>
      </c>
      <c r="O26" s="11"/>
      <c r="P26" s="6">
        <v>645.98</v>
      </c>
      <c r="Q26" s="2"/>
      <c r="R26" s="7">
        <f t="shared" si="4"/>
        <v>0</v>
      </c>
      <c r="S26" s="2"/>
      <c r="T26" s="6">
        <v>1365</v>
      </c>
      <c r="U26" s="2"/>
      <c r="V26" s="7">
        <f t="shared" si="5"/>
        <v>0</v>
      </c>
      <c r="W26" s="2"/>
      <c r="X26" s="6">
        <f t="shared" si="6"/>
        <v>-719.02</v>
      </c>
      <c r="Y26" s="2"/>
      <c r="Z26" s="7">
        <f t="shared" si="7"/>
        <v>-0.52675457875457876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6">
        <v>193.72</v>
      </c>
      <c r="E27" s="2"/>
      <c r="F27" s="7">
        <f t="shared" si="0"/>
        <v>0</v>
      </c>
      <c r="G27" s="2"/>
      <c r="H27" s="6">
        <v>168</v>
      </c>
      <c r="I27" s="2"/>
      <c r="J27" s="7">
        <f t="shared" si="1"/>
        <v>0</v>
      </c>
      <c r="K27" s="2"/>
      <c r="L27" s="6">
        <f t="shared" si="2"/>
        <v>25.72</v>
      </c>
      <c r="M27" s="2"/>
      <c r="N27" s="7">
        <f t="shared" si="3"/>
        <v>0.15309523809523809</v>
      </c>
      <c r="O27" s="11"/>
      <c r="P27" s="6">
        <v>581.16</v>
      </c>
      <c r="Q27" s="2"/>
      <c r="R27" s="7">
        <f t="shared" si="4"/>
        <v>0</v>
      </c>
      <c r="S27" s="2"/>
      <c r="T27" s="6">
        <v>546</v>
      </c>
      <c r="U27" s="2"/>
      <c r="V27" s="7">
        <f t="shared" si="5"/>
        <v>0</v>
      </c>
      <c r="W27" s="2"/>
      <c r="X27" s="6">
        <f t="shared" si="6"/>
        <v>35.159999999999968</v>
      </c>
      <c r="Y27" s="2"/>
      <c r="Z27" s="7">
        <f t="shared" si="7"/>
        <v>6.4395604395604336E-2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6">
        <v>174.79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174.79</v>
      </c>
      <c r="M28" s="2"/>
      <c r="N28" s="7">
        <f t="shared" si="3"/>
        <v>0</v>
      </c>
      <c r="O28" s="11"/>
      <c r="P28" s="6">
        <v>473.45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473.45</v>
      </c>
      <c r="Y28" s="2"/>
      <c r="Z28" s="7">
        <f t="shared" si="7"/>
        <v>0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3989.75</v>
      </c>
      <c r="E29" s="1"/>
      <c r="F29" s="5">
        <f t="shared" ref="F29:F39" si="8">IF(D$12=0,0,D29/D$12)</f>
        <v>0</v>
      </c>
      <c r="G29" s="1"/>
      <c r="H29" s="1">
        <f>SUM(OSRRefH22_1x_0)</f>
        <v>3738</v>
      </c>
      <c r="I29" s="1"/>
      <c r="J29" s="5">
        <f t="shared" ref="J29:J39" si="9">IF(H$12=0,0,H29/H$12)</f>
        <v>0</v>
      </c>
      <c r="K29" s="1"/>
      <c r="L29" s="1">
        <f t="shared" ref="L29:L39" si="10">+D29-H29</f>
        <v>251.75</v>
      </c>
      <c r="M29" s="1"/>
      <c r="N29" s="5">
        <f t="shared" ref="N29:N39" si="11">IF(H29=0,0,L29/H29)</f>
        <v>6.7348849652220433E-2</v>
      </c>
      <c r="O29" s="14"/>
      <c r="P29" s="1">
        <f>SUM(OSRRefP22_1x_0)</f>
        <v>13019.25</v>
      </c>
      <c r="Q29" s="1"/>
      <c r="R29" s="5">
        <f t="shared" ref="R29:R39" si="12">IF(P$12=0,0,P29/P$12)</f>
        <v>0</v>
      </c>
      <c r="S29" s="1"/>
      <c r="T29" s="1">
        <f>SUM(OSRRefT22_1x_0)</f>
        <v>12148.5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870.75</v>
      </c>
      <c r="Y29" s="1"/>
      <c r="Z29" s="5">
        <f t="shared" ref="Z29:Z39" si="15">IF(T29=0,0,X29/T29)</f>
        <v>7.1675515495740208E-2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6">
        <v>3989.75</v>
      </c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3989.75</v>
      </c>
      <c r="M31" s="2"/>
      <c r="N31" s="7">
        <f t="shared" si="11"/>
        <v>0</v>
      </c>
      <c r="O31" s="11"/>
      <c r="P31" s="6">
        <v>13019.25</v>
      </c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13019.25</v>
      </c>
      <c r="Y31" s="2"/>
      <c r="Z31" s="7">
        <f t="shared" si="15"/>
        <v>0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3738</v>
      </c>
      <c r="I33" s="2"/>
      <c r="J33" s="7">
        <f t="shared" si="9"/>
        <v>0</v>
      </c>
      <c r="K33" s="2"/>
      <c r="L33" s="6">
        <f t="shared" si="10"/>
        <v>-3738</v>
      </c>
      <c r="M33" s="2"/>
      <c r="N33" s="7">
        <f t="shared" si="11"/>
        <v>-1</v>
      </c>
      <c r="O33" s="11"/>
      <c r="P33" s="6"/>
      <c r="Q33" s="2"/>
      <c r="R33" s="7">
        <f t="shared" si="12"/>
        <v>0</v>
      </c>
      <c r="S33" s="2"/>
      <c r="T33" s="6">
        <v>12148.5</v>
      </c>
      <c r="U33" s="2"/>
      <c r="V33" s="7">
        <f t="shared" si="13"/>
        <v>0</v>
      </c>
      <c r="W33" s="2"/>
      <c r="X33" s="6">
        <f t="shared" si="14"/>
        <v>-12148.5</v>
      </c>
      <c r="Y33" s="2"/>
      <c r="Z33" s="7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-150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150</v>
      </c>
      <c r="M40" s="1"/>
      <c r="N40" s="5">
        <f t="shared" ref="N40:N46" si="19">IF(H40=0,0,L40/H40)</f>
        <v>-1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-150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150</v>
      </c>
      <c r="Y40" s="1"/>
      <c r="Z40" s="5">
        <f t="shared" ref="Z40:Z46" si="23">IF(T40=0,0,X40/T40)</f>
        <v>-1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6"/>
      <c r="E41" s="2"/>
      <c r="F41" s="7">
        <f t="shared" si="16"/>
        <v>0</v>
      </c>
      <c r="G41" s="2"/>
      <c r="H41" s="6">
        <v>-150</v>
      </c>
      <c r="I41" s="2"/>
      <c r="J41" s="7">
        <f t="shared" si="17"/>
        <v>0</v>
      </c>
      <c r="K41" s="2"/>
      <c r="L41" s="6">
        <f t="shared" si="18"/>
        <v>150</v>
      </c>
      <c r="M41" s="2"/>
      <c r="N41" s="7">
        <f t="shared" si="19"/>
        <v>-1</v>
      </c>
      <c r="O41" s="11"/>
      <c r="P41" s="6"/>
      <c r="Q41" s="2"/>
      <c r="R41" s="7">
        <f t="shared" si="20"/>
        <v>0</v>
      </c>
      <c r="S41" s="2"/>
      <c r="T41" s="6">
        <v>-150</v>
      </c>
      <c r="U41" s="2"/>
      <c r="V41" s="7">
        <f t="shared" si="21"/>
        <v>0</v>
      </c>
      <c r="W41" s="2"/>
      <c r="X41" s="6">
        <f t="shared" si="22"/>
        <v>150</v>
      </c>
      <c r="Y41" s="2"/>
      <c r="Z41" s="7">
        <f t="shared" si="23"/>
        <v>-1</v>
      </c>
    </row>
    <row r="42" spans="1:26" s="28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SUM(OSRRefD22_3x_0)</f>
        <v>24.56</v>
      </c>
      <c r="E42" s="1"/>
      <c r="F42" s="5">
        <f t="shared" si="16"/>
        <v>0</v>
      </c>
      <c r="G42" s="1"/>
      <c r="H42" s="1">
        <f>SUM(OSRRefH22_3x_0)</f>
        <v>27</v>
      </c>
      <c r="I42" s="1"/>
      <c r="J42" s="5">
        <f t="shared" si="17"/>
        <v>0</v>
      </c>
      <c r="K42" s="1"/>
      <c r="L42" s="1">
        <f t="shared" si="18"/>
        <v>-2.4400000000000013</v>
      </c>
      <c r="M42" s="1"/>
      <c r="N42" s="5">
        <f t="shared" si="19"/>
        <v>-9.037037037037042E-2</v>
      </c>
      <c r="O42" s="14"/>
      <c r="P42" s="1">
        <f>SUM(OSRRefP22_3x_0)</f>
        <v>73.680000000000007</v>
      </c>
      <c r="Q42" s="1"/>
      <c r="R42" s="5">
        <f t="shared" si="20"/>
        <v>0</v>
      </c>
      <c r="S42" s="1"/>
      <c r="T42" s="1">
        <f>SUM(OSRRefT22_3x_0)</f>
        <v>81</v>
      </c>
      <c r="U42" s="1"/>
      <c r="V42" s="5">
        <f t="shared" si="21"/>
        <v>0</v>
      </c>
      <c r="W42" s="1"/>
      <c r="X42" s="1">
        <f t="shared" si="22"/>
        <v>-7.3199999999999932</v>
      </c>
      <c r="Y42" s="1"/>
      <c r="Z42" s="5">
        <f t="shared" si="23"/>
        <v>-9.0370370370370282E-2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6">
        <v>24.56</v>
      </c>
      <c r="E43" s="2"/>
      <c r="F43" s="7">
        <f t="shared" si="16"/>
        <v>0</v>
      </c>
      <c r="G43" s="2"/>
      <c r="H43" s="6">
        <v>27</v>
      </c>
      <c r="I43" s="2"/>
      <c r="J43" s="7">
        <f t="shared" si="17"/>
        <v>0</v>
      </c>
      <c r="K43" s="2"/>
      <c r="L43" s="6">
        <f t="shared" si="18"/>
        <v>-2.4400000000000013</v>
      </c>
      <c r="M43" s="2"/>
      <c r="N43" s="7">
        <f t="shared" si="19"/>
        <v>-9.037037037037042E-2</v>
      </c>
      <c r="O43" s="11"/>
      <c r="P43" s="6">
        <v>73.680000000000007</v>
      </c>
      <c r="Q43" s="2"/>
      <c r="R43" s="7">
        <f t="shared" si="20"/>
        <v>0</v>
      </c>
      <c r="S43" s="2"/>
      <c r="T43" s="6">
        <v>81</v>
      </c>
      <c r="U43" s="2"/>
      <c r="V43" s="7">
        <f t="shared" si="21"/>
        <v>0</v>
      </c>
      <c r="W43" s="2"/>
      <c r="X43" s="6">
        <f t="shared" si="22"/>
        <v>-7.3199999999999932</v>
      </c>
      <c r="Y43" s="2"/>
      <c r="Z43" s="7">
        <f t="shared" si="23"/>
        <v>-9.0370370370370282E-2</v>
      </c>
    </row>
    <row r="44" spans="1:26" s="28" customFormat="1" outlineLevel="1" collapsed="1" x14ac:dyDescent="0.25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SUM(OSRRefD22_4x_0)</f>
        <v>866</v>
      </c>
      <c r="E44" s="1"/>
      <c r="F44" s="5">
        <f t="shared" si="16"/>
        <v>0</v>
      </c>
      <c r="G44" s="1"/>
      <c r="H44" s="1">
        <f>SUM(OSRRefH22_4x_0)</f>
        <v>1500</v>
      </c>
      <c r="I44" s="1"/>
      <c r="J44" s="5">
        <f t="shared" si="17"/>
        <v>0</v>
      </c>
      <c r="K44" s="1"/>
      <c r="L44" s="1">
        <f t="shared" si="18"/>
        <v>-634</v>
      </c>
      <c r="M44" s="1"/>
      <c r="N44" s="5">
        <f t="shared" si="19"/>
        <v>-0.42266666666666669</v>
      </c>
      <c r="O44" s="14"/>
      <c r="P44" s="1">
        <f>SUM(OSRRefP22_4x_0)</f>
        <v>3417.19</v>
      </c>
      <c r="Q44" s="1"/>
      <c r="R44" s="5">
        <f t="shared" si="20"/>
        <v>0</v>
      </c>
      <c r="S44" s="1"/>
      <c r="T44" s="1">
        <f>SUM(OSRRefT22_4x_0)</f>
        <v>4500</v>
      </c>
      <c r="U44" s="1"/>
      <c r="V44" s="5">
        <f t="shared" si="21"/>
        <v>0</v>
      </c>
      <c r="W44" s="1"/>
      <c r="X44" s="1">
        <f t="shared" si="22"/>
        <v>-1082.81</v>
      </c>
      <c r="Y44" s="1"/>
      <c r="Z44" s="5">
        <f t="shared" si="23"/>
        <v>-0.24062444444444442</v>
      </c>
    </row>
    <row r="45" spans="1:26" s="24" customFormat="1" hidden="1" outlineLevel="2" x14ac:dyDescent="0.25">
      <c r="A45" s="29"/>
      <c r="B45" s="11" t="str">
        <f>CONCATENATE("          ", "6373", " - ", "MAINTENANCE CONTRACTS")</f>
        <v xml:space="preserve">          6373 - MAINTENANCE CONTRACTS</v>
      </c>
      <c r="C45" s="11"/>
      <c r="D45" s="6">
        <v>866</v>
      </c>
      <c r="E45" s="2"/>
      <c r="F45" s="7">
        <f t="shared" si="16"/>
        <v>0</v>
      </c>
      <c r="G45" s="2"/>
      <c r="H45" s="6">
        <v>1500</v>
      </c>
      <c r="I45" s="2"/>
      <c r="J45" s="7">
        <f t="shared" si="17"/>
        <v>0</v>
      </c>
      <c r="K45" s="2"/>
      <c r="L45" s="6">
        <f t="shared" si="18"/>
        <v>-634</v>
      </c>
      <c r="M45" s="2"/>
      <c r="N45" s="7">
        <f t="shared" si="19"/>
        <v>-0.42266666666666669</v>
      </c>
      <c r="O45" s="11"/>
      <c r="P45" s="6">
        <v>2598</v>
      </c>
      <c r="Q45" s="2"/>
      <c r="R45" s="7">
        <f t="shared" si="20"/>
        <v>0</v>
      </c>
      <c r="S45" s="2"/>
      <c r="T45" s="6">
        <v>4500</v>
      </c>
      <c r="U45" s="2"/>
      <c r="V45" s="7">
        <f t="shared" si="21"/>
        <v>0</v>
      </c>
      <c r="W45" s="2"/>
      <c r="X45" s="6">
        <f t="shared" si="22"/>
        <v>-1902</v>
      </c>
      <c r="Y45" s="2"/>
      <c r="Z45" s="7">
        <f t="shared" si="23"/>
        <v>-0.42266666666666669</v>
      </c>
    </row>
    <row r="46" spans="1:26" s="24" customFormat="1" hidden="1" outlineLevel="2" x14ac:dyDescent="0.25">
      <c r="A46" s="29"/>
      <c r="B46" s="11" t="str">
        <f>CONCATENATE("          ", "6375", " - ", "OUTSIDE REPAIRS &amp; MAINTENANCE")</f>
        <v xml:space="preserve">          6375 - OUTSIDE REPAIRS &amp; MAINTENANCE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819.19</v>
      </c>
      <c r="Q46" s="2"/>
      <c r="R46" s="7">
        <f t="shared" si="20"/>
        <v>0</v>
      </c>
      <c r="S46" s="2"/>
      <c r="T46" s="6"/>
      <c r="U46" s="2"/>
      <c r="V46" s="7">
        <f t="shared" si="21"/>
        <v>0</v>
      </c>
      <c r="W46" s="2"/>
      <c r="X46" s="6">
        <f t="shared" si="22"/>
        <v>819.19</v>
      </c>
      <c r="Y46" s="2"/>
      <c r="Z46" s="7">
        <f t="shared" si="23"/>
        <v>0</v>
      </c>
    </row>
    <row r="47" spans="1:26" s="28" customFormat="1" outlineLevel="1" collapsed="1" x14ac:dyDescent="0.25">
      <c r="A47" s="27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SUM(OSRRefD22_5x_0)</f>
        <v>0</v>
      </c>
      <c r="E47" s="1"/>
      <c r="F47" s="5">
        <f t="shared" ref="F47:F51" si="24">IF(D$12=0,0,D47/D$12)</f>
        <v>0</v>
      </c>
      <c r="G47" s="1"/>
      <c r="H47" s="1">
        <f>SUM(OSRRefH22_5x_0)</f>
        <v>25</v>
      </c>
      <c r="I47" s="1"/>
      <c r="J47" s="5">
        <f t="shared" ref="J47:J51" si="25">IF(H$12=0,0,H47/H$12)</f>
        <v>0</v>
      </c>
      <c r="K47" s="1"/>
      <c r="L47" s="1">
        <f t="shared" ref="L47:L51" si="26">+D47-H47</f>
        <v>-25</v>
      </c>
      <c r="M47" s="1"/>
      <c r="N47" s="5">
        <f t="shared" ref="N47:N51" si="27">IF(H47=0,0,L47/H47)</f>
        <v>-1</v>
      </c>
      <c r="O47" s="14"/>
      <c r="P47" s="1">
        <f>SUM(OSRRefP22_5x_0)</f>
        <v>0</v>
      </c>
      <c r="Q47" s="1"/>
      <c r="R47" s="5">
        <f t="shared" ref="R47:R51" si="28">IF(P$12=0,0,P47/P$12)</f>
        <v>0</v>
      </c>
      <c r="S47" s="1"/>
      <c r="T47" s="1">
        <f>SUM(OSRRefT22_5x_0)</f>
        <v>75</v>
      </c>
      <c r="U47" s="1"/>
      <c r="V47" s="5">
        <f t="shared" ref="V47:V51" si="29">IF(T$12=0,0,T47/T$12)</f>
        <v>0</v>
      </c>
      <c r="W47" s="1"/>
      <c r="X47" s="1">
        <f t="shared" ref="X47:X51" si="30">+P47-T47</f>
        <v>-75</v>
      </c>
      <c r="Y47" s="1"/>
      <c r="Z47" s="5">
        <f t="shared" ref="Z47:Z51" si="31">IF(T47=0,0,X47/T47)</f>
        <v>-1</v>
      </c>
    </row>
    <row r="48" spans="1:26" s="24" customFormat="1" hidden="1" outlineLevel="2" x14ac:dyDescent="0.25">
      <c r="A48" s="29"/>
      <c r="B48" s="11" t="str">
        <f>CONCATENATE("          ", "6286", " - ", "LAUNDRY EXPENSE")</f>
        <v xml:space="preserve">          6286 - LAUNDRY EXPENSE</v>
      </c>
      <c r="C48" s="11"/>
      <c r="D48" s="6"/>
      <c r="E48" s="2"/>
      <c r="F48" s="7">
        <f t="shared" si="24"/>
        <v>0</v>
      </c>
      <c r="G48" s="2"/>
      <c r="H48" s="6">
        <v>25</v>
      </c>
      <c r="I48" s="2"/>
      <c r="J48" s="7">
        <f t="shared" si="25"/>
        <v>0</v>
      </c>
      <c r="K48" s="2"/>
      <c r="L48" s="6">
        <f t="shared" si="26"/>
        <v>-25</v>
      </c>
      <c r="M48" s="2"/>
      <c r="N48" s="7">
        <f t="shared" si="27"/>
        <v>-1</v>
      </c>
      <c r="O48" s="11"/>
      <c r="P48" s="6"/>
      <c r="Q48" s="2"/>
      <c r="R48" s="7">
        <f t="shared" si="28"/>
        <v>0</v>
      </c>
      <c r="S48" s="2"/>
      <c r="T48" s="6">
        <v>75</v>
      </c>
      <c r="U48" s="2"/>
      <c r="V48" s="7">
        <f t="shared" si="29"/>
        <v>0</v>
      </c>
      <c r="W48" s="2"/>
      <c r="X48" s="6">
        <f t="shared" si="30"/>
        <v>-75</v>
      </c>
      <c r="Y48" s="2"/>
      <c r="Z48" s="7">
        <f t="shared" si="31"/>
        <v>-1</v>
      </c>
    </row>
    <row r="49" spans="1:26" s="28" customFormat="1" outlineLevel="1" collapsed="1" x14ac:dyDescent="0.25">
      <c r="A49" s="27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SUM(OSRRefD22_6x_0)</f>
        <v>15.92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15.92</v>
      </c>
      <c r="M49" s="1"/>
      <c r="N49" s="5">
        <f t="shared" si="27"/>
        <v>0</v>
      </c>
      <c r="O49" s="14"/>
      <c r="P49" s="1">
        <f>SUM(OSRRefP22_6x_0)</f>
        <v>15.92</v>
      </c>
      <c r="Q49" s="1"/>
      <c r="R49" s="5">
        <f t="shared" si="28"/>
        <v>0</v>
      </c>
      <c r="S49" s="1"/>
      <c r="T49" s="1">
        <f>SUM(OSRRefT22_6x_0)</f>
        <v>5000</v>
      </c>
      <c r="U49" s="1"/>
      <c r="V49" s="5">
        <f t="shared" si="29"/>
        <v>0</v>
      </c>
      <c r="W49" s="1"/>
      <c r="X49" s="1">
        <f t="shared" si="30"/>
        <v>-4984.08</v>
      </c>
      <c r="Y49" s="1"/>
      <c r="Z49" s="5">
        <f t="shared" si="31"/>
        <v>-0.99681600000000004</v>
      </c>
    </row>
    <row r="50" spans="1:26" s="24" customFormat="1" hidden="1" outlineLevel="2" x14ac:dyDescent="0.25">
      <c r="A50" s="29"/>
      <c r="B50" s="11" t="str">
        <f>CONCATENATE("          ", "6241", " - ", "OFFICE EXPENSE")</f>
        <v xml:space="preserve">          6241 - OFFICE EXPENSE</v>
      </c>
      <c r="C50" s="11"/>
      <c r="D50" s="6">
        <v>15.92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15.92</v>
      </c>
      <c r="M50" s="2"/>
      <c r="N50" s="7">
        <f t="shared" si="27"/>
        <v>0</v>
      </c>
      <c r="O50" s="11"/>
      <c r="P50" s="6">
        <v>15.92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15.92</v>
      </c>
      <c r="Y50" s="2"/>
      <c r="Z50" s="7">
        <f t="shared" si="31"/>
        <v>0</v>
      </c>
    </row>
    <row r="51" spans="1:26" s="24" customFormat="1" hidden="1" outlineLevel="2" x14ac:dyDescent="0.25">
      <c r="A51" s="29"/>
      <c r="B51" s="11" t="str">
        <f>CONCATENATE("          ", "6247", " - ", "STORE SUPPLIES")</f>
        <v xml:space="preserve">          6247 - STORE SUPPLIES</v>
      </c>
      <c r="C51" s="11"/>
      <c r="D51" s="6"/>
      <c r="E51" s="2"/>
      <c r="F51" s="7">
        <f t="shared" si="24"/>
        <v>0</v>
      </c>
      <c r="G51" s="2"/>
      <c r="H51" s="6"/>
      <c r="I51" s="2"/>
      <c r="J51" s="7">
        <f t="shared" si="25"/>
        <v>0</v>
      </c>
      <c r="K51" s="2"/>
      <c r="L51" s="6">
        <f t="shared" si="26"/>
        <v>0</v>
      </c>
      <c r="M51" s="2"/>
      <c r="N51" s="7">
        <f t="shared" si="27"/>
        <v>0</v>
      </c>
      <c r="O51" s="11"/>
      <c r="P51" s="6"/>
      <c r="Q51" s="2"/>
      <c r="R51" s="7">
        <f t="shared" si="28"/>
        <v>0</v>
      </c>
      <c r="S51" s="2"/>
      <c r="T51" s="6">
        <v>5000</v>
      </c>
      <c r="U51" s="2"/>
      <c r="V51" s="7">
        <f t="shared" si="29"/>
        <v>0</v>
      </c>
      <c r="W51" s="2"/>
      <c r="X51" s="6">
        <f t="shared" si="30"/>
        <v>-5000</v>
      </c>
      <c r="Y51" s="2"/>
      <c r="Z51" s="7">
        <f t="shared" si="31"/>
        <v>-1</v>
      </c>
    </row>
    <row r="52" spans="1:26" s="28" customFormat="1" outlineLevel="1" collapsed="1" x14ac:dyDescent="0.25">
      <c r="A52" s="27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SUM(OSRRefD22_7x_0)</f>
        <v>225</v>
      </c>
      <c r="E52" s="1"/>
      <c r="F52" s="5">
        <f t="shared" ref="F52:F53" si="32">IF(D$12=0,0,D52/D$12)</f>
        <v>0</v>
      </c>
      <c r="G52" s="1"/>
      <c r="H52" s="1">
        <f>SUM(OSRRefH22_7x_0)</f>
        <v>175</v>
      </c>
      <c r="I52" s="1"/>
      <c r="J52" s="5">
        <f t="shared" ref="J52:J53" si="33">IF(H$12=0,0,H52/H$12)</f>
        <v>0</v>
      </c>
      <c r="K52" s="1"/>
      <c r="L52" s="1">
        <f t="shared" ref="L52:L53" si="34">+D52-H52</f>
        <v>50</v>
      </c>
      <c r="M52" s="1"/>
      <c r="N52" s="5">
        <f t="shared" ref="N52:N53" si="35">IF(H52=0,0,L52/H52)</f>
        <v>0.2857142857142857</v>
      </c>
      <c r="O52" s="14"/>
      <c r="P52" s="1">
        <f>SUM(OSRRefP22_7x_0)</f>
        <v>348</v>
      </c>
      <c r="Q52" s="1"/>
      <c r="R52" s="5">
        <f t="shared" ref="R52:R53" si="36">IF(P$12=0,0,P52/P$12)</f>
        <v>0</v>
      </c>
      <c r="S52" s="1"/>
      <c r="T52" s="1">
        <f>SUM(OSRRefT22_7x_0)</f>
        <v>225</v>
      </c>
      <c r="U52" s="1"/>
      <c r="V52" s="5">
        <f t="shared" ref="V52:V53" si="37">IF(T$12=0,0,T52/T$12)</f>
        <v>0</v>
      </c>
      <c r="W52" s="1"/>
      <c r="X52" s="1">
        <f t="shared" ref="X52:X53" si="38">+P52-T52</f>
        <v>123</v>
      </c>
      <c r="Y52" s="1"/>
      <c r="Z52" s="5">
        <f t="shared" ref="Z52:Z53" si="39">IF(T52=0,0,X52/T52)</f>
        <v>0.54666666666666663</v>
      </c>
    </row>
    <row r="53" spans="1:26" s="24" customFormat="1" hidden="1" outlineLevel="2" x14ac:dyDescent="0.25">
      <c r="A53" s="29"/>
      <c r="B53" s="11" t="str">
        <f>CONCATENATE("          ", "6309", " - ", "TELEPHONE")</f>
        <v xml:space="preserve">          6309 - TELEPHONE</v>
      </c>
      <c r="C53" s="11"/>
      <c r="D53" s="6">
        <v>225</v>
      </c>
      <c r="E53" s="2"/>
      <c r="F53" s="7">
        <f t="shared" si="32"/>
        <v>0</v>
      </c>
      <c r="G53" s="2"/>
      <c r="H53" s="6">
        <v>175</v>
      </c>
      <c r="I53" s="2"/>
      <c r="J53" s="7">
        <f t="shared" si="33"/>
        <v>0</v>
      </c>
      <c r="K53" s="2"/>
      <c r="L53" s="6">
        <f t="shared" si="34"/>
        <v>50</v>
      </c>
      <c r="M53" s="2"/>
      <c r="N53" s="7">
        <f t="shared" si="35"/>
        <v>0.2857142857142857</v>
      </c>
      <c r="O53" s="11"/>
      <c r="P53" s="6">
        <v>348</v>
      </c>
      <c r="Q53" s="2"/>
      <c r="R53" s="7">
        <f t="shared" si="36"/>
        <v>0</v>
      </c>
      <c r="S53" s="2"/>
      <c r="T53" s="6">
        <v>225</v>
      </c>
      <c r="U53" s="2"/>
      <c r="V53" s="7">
        <f t="shared" si="37"/>
        <v>0</v>
      </c>
      <c r="W53" s="2"/>
      <c r="X53" s="6">
        <f t="shared" si="38"/>
        <v>123</v>
      </c>
      <c r="Y53" s="2"/>
      <c r="Z53" s="7">
        <f t="shared" si="39"/>
        <v>0.54666666666666663</v>
      </c>
    </row>
    <row r="54" spans="1:26" s="61" customFormat="1" x14ac:dyDescent="0.25">
      <c r="A54" s="36"/>
      <c r="B54" s="36"/>
      <c r="C54" s="36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6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5" t="s">
        <v>0</v>
      </c>
      <c r="C55" s="10"/>
      <c r="D55" s="4">
        <f>SUM(0)</f>
        <v>0</v>
      </c>
      <c r="E55" s="4"/>
      <c r="F55" s="12">
        <f>IF(D$12=0,0,D55/D$12)</f>
        <v>0</v>
      </c>
      <c r="G55" s="4"/>
      <c r="H55" s="4">
        <f>SUM(0)</f>
        <v>0</v>
      </c>
      <c r="I55" s="4"/>
      <c r="J55" s="12">
        <f>IF(H$12=0,0,H55/H$12)</f>
        <v>0</v>
      </c>
      <c r="K55" s="4"/>
      <c r="L55" s="4">
        <f>+D55-H55</f>
        <v>0</v>
      </c>
      <c r="M55" s="4"/>
      <c r="N55" s="12">
        <f>IF(H55=0,0,L55/H55)</f>
        <v>0</v>
      </c>
      <c r="O55" s="10"/>
      <c r="P55" s="4">
        <f>SUM(0)</f>
        <v>0</v>
      </c>
      <c r="Q55" s="4"/>
      <c r="R55" s="12">
        <f>IF(P$12=0,0,P55/P$12)</f>
        <v>0</v>
      </c>
      <c r="S55" s="4"/>
      <c r="T55" s="4">
        <f>SUM(0)</f>
        <v>0</v>
      </c>
      <c r="U55" s="4"/>
      <c r="V55" s="12">
        <f>IF(T$12=0,0,T55/T$12)</f>
        <v>0</v>
      </c>
      <c r="W55" s="4"/>
      <c r="X55" s="4">
        <f>+P55-T55</f>
        <v>0</v>
      </c>
      <c r="Y55" s="4"/>
      <c r="Z55" s="12">
        <f>IF(T55=0,0,X55/T55)</f>
        <v>0</v>
      </c>
    </row>
    <row r="56" spans="1:26" x14ac:dyDescent="0.25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10"/>
      <c r="B57" s="26" t="s">
        <v>3</v>
      </c>
      <c r="C57" s="26"/>
      <c r="D57" s="20">
        <f>+D16-D18+D55</f>
        <v>-7471.87</v>
      </c>
      <c r="E57" s="13"/>
      <c r="F57" s="21">
        <f>IF(D$12=0,0,D57/D$12)</f>
        <v>0</v>
      </c>
      <c r="G57" s="13"/>
      <c r="H57" s="20">
        <f>+H16-H18+H55</f>
        <v>-7140.2521538461542</v>
      </c>
      <c r="I57" s="13"/>
      <c r="J57" s="21">
        <f>IF(H$12=0,0,H57/H$12)</f>
        <v>0</v>
      </c>
      <c r="K57" s="16"/>
      <c r="L57" s="20">
        <f>+D57-H57</f>
        <v>-331.61784615384568</v>
      </c>
      <c r="M57" s="16"/>
      <c r="N57" s="21">
        <f>IF(H57=0,0,L57/H57)</f>
        <v>4.6443436311309684E-2</v>
      </c>
      <c r="O57" s="25"/>
      <c r="P57" s="20">
        <f>+P16-P18+P55</f>
        <v>-24127.959999999995</v>
      </c>
      <c r="Q57" s="13"/>
      <c r="R57" s="21">
        <f>IF(P$12=0,0,P57/P$12)</f>
        <v>0</v>
      </c>
      <c r="S57" s="13"/>
      <c r="T57" s="20">
        <f>+T16-T18+T55</f>
        <v>-27811.569499999998</v>
      </c>
      <c r="U57" s="13"/>
      <c r="V57" s="21">
        <f>IF(T$12=0,0,T57/T$12)</f>
        <v>0</v>
      </c>
      <c r="W57" s="16"/>
      <c r="X57" s="20">
        <f>+P57-T57</f>
        <v>3683.6095000000023</v>
      </c>
      <c r="Y57" s="16"/>
      <c r="Z57" s="21">
        <f>IF(T57=0,0,X57/T57)</f>
        <v>-0.13244881774831163</v>
      </c>
    </row>
    <row r="58" spans="1:26" x14ac:dyDescent="0.25">
      <c r="A58" s="9"/>
      <c r="B58" s="10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25">
      <c r="A59" s="52"/>
      <c r="B59" s="10" t="s">
        <v>14</v>
      </c>
      <c r="C59" s="10"/>
      <c r="D59" s="4"/>
      <c r="E59" s="4"/>
      <c r="F59" s="12">
        <f>IF(D$12=0,0,D59/D$12)</f>
        <v>0</v>
      </c>
      <c r="G59" s="4"/>
      <c r="H59" s="4"/>
      <c r="I59" s="4"/>
      <c r="J59" s="12">
        <f>IF(H$12=0,0,H59/H$12)</f>
        <v>0</v>
      </c>
      <c r="K59" s="4"/>
      <c r="L59" s="4">
        <f>+D59-H59</f>
        <v>0</v>
      </c>
      <c r="M59" s="4"/>
      <c r="N59" s="12">
        <f>IF(H59=0,0,L59/H59)</f>
        <v>0</v>
      </c>
      <c r="O59" s="10"/>
      <c r="P59" s="4"/>
      <c r="Q59" s="4"/>
      <c r="R59" s="12">
        <f>IF(P$12=0,0,P59/P$12)</f>
        <v>0</v>
      </c>
      <c r="S59" s="4"/>
      <c r="T59" s="4"/>
      <c r="U59" s="4"/>
      <c r="V59" s="12">
        <f>IF(T$12=0,0,T59/T$12)</f>
        <v>0</v>
      </c>
      <c r="W59" s="4"/>
      <c r="X59" s="4">
        <f>+P59-T59</f>
        <v>0</v>
      </c>
      <c r="Y59" s="4"/>
      <c r="Z59" s="12">
        <f>IF(T59=0,0,X59/T59)</f>
        <v>0</v>
      </c>
    </row>
    <row r="60" spans="1:26" x14ac:dyDescent="0.25">
      <c r="A60" s="9"/>
      <c r="B60" s="10"/>
      <c r="C60" s="10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O60" s="10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6" t="s">
        <v>4</v>
      </c>
      <c r="C61" s="26"/>
      <c r="D61" s="33">
        <f>+D57-D59</f>
        <v>-7471.87</v>
      </c>
      <c r="E61" s="13"/>
      <c r="F61" s="34">
        <f>IF(D$12=0,0,D61/D$12)</f>
        <v>0</v>
      </c>
      <c r="G61" s="13"/>
      <c r="H61" s="33">
        <f>+H57-H59</f>
        <v>-7140.2521538461542</v>
      </c>
      <c r="I61" s="13"/>
      <c r="J61" s="34">
        <f>IF(H$12=0,0,H61/H$12)</f>
        <v>0</v>
      </c>
      <c r="K61" s="16"/>
      <c r="L61" s="33">
        <f>D61-H61</f>
        <v>-331.61784615384568</v>
      </c>
      <c r="M61" s="16"/>
      <c r="N61" s="34">
        <f>IF(H61=0,0,L61/H61)</f>
        <v>4.6443436311309684E-2</v>
      </c>
      <c r="O61" s="25"/>
      <c r="P61" s="33">
        <f>+P57-P59</f>
        <v>-24127.959999999995</v>
      </c>
      <c r="Q61" s="13"/>
      <c r="R61" s="34">
        <f>IF(P$12=0,0,P61/P$12)</f>
        <v>0</v>
      </c>
      <c r="S61" s="13"/>
      <c r="T61" s="33">
        <f>+T57-T59</f>
        <v>-27811.569499999998</v>
      </c>
      <c r="U61" s="13"/>
      <c r="V61" s="34">
        <f>IF(T$12=0,0,T61/T$12)</f>
        <v>0</v>
      </c>
      <c r="W61" s="16"/>
      <c r="X61" s="33">
        <f>P61-T61</f>
        <v>3683.6095000000023</v>
      </c>
      <c r="Y61" s="16"/>
      <c r="Z61" s="34">
        <f>IF(T61=0,0,X61/T61)</f>
        <v>-0.13244881774831163</v>
      </c>
    </row>
    <row r="62" spans="1:26" ht="15.75" thickTop="1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6" t="s">
        <v>5</v>
      </c>
      <c r="C64" s="26"/>
      <c r="D64" s="31">
        <f>SUM(D61:D63)</f>
        <v>-7471.87</v>
      </c>
      <c r="E64" s="13"/>
      <c r="F64" s="32">
        <f>IF(D$12=0,0,D64/D$12)</f>
        <v>0</v>
      </c>
      <c r="G64" s="13"/>
      <c r="H64" s="31">
        <f>SUM(H61:H63)</f>
        <v>-7140.2521538461542</v>
      </c>
      <c r="I64" s="13"/>
      <c r="J64" s="32">
        <f>IF(H$12=0,0,H64/H$12)</f>
        <v>0</v>
      </c>
      <c r="K64" s="16"/>
      <c r="L64" s="31">
        <f>+D64-H64</f>
        <v>-331.61784615384568</v>
      </c>
      <c r="M64" s="16"/>
      <c r="N64" s="32">
        <f>IF(H64=0,0,L64/H64)</f>
        <v>4.6443436311309684E-2</v>
      </c>
      <c r="O64" s="25"/>
      <c r="P64" s="31">
        <f>SUM(P61:P63)</f>
        <v>-24127.959999999995</v>
      </c>
      <c r="Q64" s="13"/>
      <c r="R64" s="32">
        <f>IF(P$12=0,0,P64/P$12)</f>
        <v>0</v>
      </c>
      <c r="S64" s="13"/>
      <c r="T64" s="31">
        <f>SUM(T61:T63)</f>
        <v>-27811.569499999998</v>
      </c>
      <c r="U64" s="13"/>
      <c r="V64" s="32">
        <f>IF(T$12=0,0,T64/T$12)</f>
        <v>0</v>
      </c>
      <c r="W64" s="16"/>
      <c r="X64" s="31">
        <f>+P64-T64</f>
        <v>3683.6095000000023</v>
      </c>
      <c r="Y64" s="16"/>
      <c r="Z64" s="32">
        <f>IF(T64=0,0,X64/T64)</f>
        <v>-0.13244881774831163</v>
      </c>
    </row>
    <row r="65" spans="1:24" ht="15.75" thickTop="1" x14ac:dyDescent="0.25">
      <c r="A65" s="9"/>
      <c r="C65" s="9"/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A66" s="9"/>
      <c r="B66" s="55">
        <v>44123.571795254633</v>
      </c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4" x14ac:dyDescent="0.25">
      <c r="A67" s="9"/>
      <c r="B67" s="53" t="s">
        <v>314</v>
      </c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4" x14ac:dyDescent="0.25">
      <c r="A68" s="9"/>
      <c r="B68" s="62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4" x14ac:dyDescent="0.25"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","206", " - ", "Graphics")</f>
        <v>Department 206 - Graphics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7691.3700000000008</v>
      </c>
      <c r="E18" s="19"/>
      <c r="F18" s="35">
        <f t="shared" ref="F18:F28" si="0">IF(D$12=0,0,D18/D$12)</f>
        <v>0</v>
      </c>
      <c r="G18" s="19"/>
      <c r="H18" s="19">
        <f>SUM(OSRRefH22x_0)</f>
        <v>17391.590153846155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-9700.2201538461541</v>
      </c>
      <c r="M18" s="4"/>
      <c r="N18" s="35">
        <f t="shared" ref="N18:N28" si="3">IF(H18=0,0,L18/H18)</f>
        <v>-0.55775349281106124</v>
      </c>
      <c r="O18" s="10"/>
      <c r="P18" s="19">
        <f>SUM(OSRRefP22x_0)</f>
        <v>26463.289999999997</v>
      </c>
      <c r="Q18" s="19"/>
      <c r="R18" s="35">
        <f t="shared" ref="R18:R28" si="4">IF(P$12=0,0,P18/P$12)</f>
        <v>0</v>
      </c>
      <c r="S18" s="19"/>
      <c r="T18" s="19">
        <f>SUM(OSRRefT22x_0)</f>
        <v>59459.548999999999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-32996.259000000005</v>
      </c>
      <c r="Y18" s="4"/>
      <c r="Z18" s="35">
        <f t="shared" ref="Z18:Z28" si="7">IF(T18=0,0,X18/T18)</f>
        <v>-0.5549362474982783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1489.6699999999998</v>
      </c>
      <c r="E19" s="1"/>
      <c r="F19" s="5">
        <f t="shared" si="0"/>
        <v>0</v>
      </c>
      <c r="G19" s="1"/>
      <c r="H19" s="1">
        <f>SUM(OSRRefH22_0x_0)</f>
        <v>1611.590153846154</v>
      </c>
      <c r="I19" s="1"/>
      <c r="J19" s="5">
        <f t="shared" si="1"/>
        <v>0</v>
      </c>
      <c r="K19" s="1"/>
      <c r="L19" s="1">
        <f t="shared" si="2"/>
        <v>-121.92015384615411</v>
      </c>
      <c r="M19" s="1"/>
      <c r="N19" s="5">
        <f t="shared" si="3"/>
        <v>-7.5652084095441108E-2</v>
      </c>
      <c r="O19" s="14"/>
      <c r="P19" s="1">
        <f>SUM(OSRRefP22_0x_0)</f>
        <v>4568.2300000000005</v>
      </c>
      <c r="Q19" s="1"/>
      <c r="R19" s="5">
        <f t="shared" si="4"/>
        <v>0</v>
      </c>
      <c r="S19" s="1"/>
      <c r="T19" s="1">
        <f>SUM(OSRRefT22_0x_0)</f>
        <v>5400.549</v>
      </c>
      <c r="U19" s="1"/>
      <c r="V19" s="5">
        <f t="shared" si="5"/>
        <v>0</v>
      </c>
      <c r="W19" s="1"/>
      <c r="X19" s="1">
        <f t="shared" si="6"/>
        <v>-832.31899999999951</v>
      </c>
      <c r="Y19" s="1"/>
      <c r="Z19" s="5">
        <f t="shared" si="7"/>
        <v>-0.15411747953772839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348.86</v>
      </c>
      <c r="E20" s="2"/>
      <c r="F20" s="7">
        <f t="shared" si="0"/>
        <v>0</v>
      </c>
      <c r="G20" s="2"/>
      <c r="H20" s="6">
        <v>367.34399999999999</v>
      </c>
      <c r="I20" s="2"/>
      <c r="J20" s="7">
        <f t="shared" si="1"/>
        <v>0</v>
      </c>
      <c r="K20" s="2"/>
      <c r="L20" s="6">
        <f t="shared" si="2"/>
        <v>-18.48399999999998</v>
      </c>
      <c r="M20" s="2"/>
      <c r="N20" s="7">
        <f t="shared" si="3"/>
        <v>-5.0317958099220295E-2</v>
      </c>
      <c r="O20" s="11"/>
      <c r="P20" s="6">
        <v>1138.22</v>
      </c>
      <c r="Q20" s="2"/>
      <c r="R20" s="7">
        <f t="shared" si="4"/>
        <v>0</v>
      </c>
      <c r="S20" s="2"/>
      <c r="T20" s="6">
        <v>1400.499</v>
      </c>
      <c r="U20" s="2"/>
      <c r="V20" s="7">
        <f t="shared" si="5"/>
        <v>0</v>
      </c>
      <c r="W20" s="2"/>
      <c r="X20" s="6">
        <f t="shared" si="6"/>
        <v>-262.279</v>
      </c>
      <c r="Y20" s="2"/>
      <c r="Z20" s="7">
        <f t="shared" si="7"/>
        <v>-0.18727539255651021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18.87</v>
      </c>
      <c r="E21" s="2"/>
      <c r="F21" s="7">
        <f t="shared" si="0"/>
        <v>0</v>
      </c>
      <c r="G21" s="2"/>
      <c r="H21" s="6">
        <v>19.8</v>
      </c>
      <c r="I21" s="2"/>
      <c r="J21" s="7">
        <f t="shared" si="1"/>
        <v>0</v>
      </c>
      <c r="K21" s="2"/>
      <c r="L21" s="6">
        <f t="shared" si="2"/>
        <v>-0.92999999999999972</v>
      </c>
      <c r="M21" s="2"/>
      <c r="N21" s="7">
        <f t="shared" si="3"/>
        <v>-4.6969696969696953E-2</v>
      </c>
      <c r="O21" s="11"/>
      <c r="P21" s="6">
        <v>60.85</v>
      </c>
      <c r="Q21" s="2"/>
      <c r="R21" s="7">
        <f t="shared" si="4"/>
        <v>0</v>
      </c>
      <c r="S21" s="2"/>
      <c r="T21" s="6">
        <v>64.349999999999994</v>
      </c>
      <c r="U21" s="2"/>
      <c r="V21" s="7">
        <f t="shared" si="5"/>
        <v>0</v>
      </c>
      <c r="W21" s="2"/>
      <c r="X21" s="6">
        <f t="shared" si="6"/>
        <v>-3.4999999999999929</v>
      </c>
      <c r="Y21" s="2"/>
      <c r="Z21" s="7">
        <f t="shared" si="7"/>
        <v>-5.4390054390054288E-2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613.84615384615404</v>
      </c>
      <c r="I22" s="2"/>
      <c r="J22" s="7">
        <f t="shared" si="1"/>
        <v>0</v>
      </c>
      <c r="K22" s="2"/>
      <c r="L22" s="6">
        <f t="shared" si="2"/>
        <v>87.023846153845966</v>
      </c>
      <c r="M22" s="2"/>
      <c r="N22" s="7">
        <f t="shared" si="3"/>
        <v>0.14176817042606482</v>
      </c>
      <c r="O22" s="11"/>
      <c r="P22" s="6">
        <v>2102.61</v>
      </c>
      <c r="Q22" s="2"/>
      <c r="R22" s="7">
        <f t="shared" si="4"/>
        <v>0</v>
      </c>
      <c r="S22" s="2"/>
      <c r="T22" s="6">
        <v>1995</v>
      </c>
      <c r="U22" s="2"/>
      <c r="V22" s="7">
        <f t="shared" si="5"/>
        <v>0</v>
      </c>
      <c r="W22" s="2"/>
      <c r="X22" s="6">
        <f t="shared" si="6"/>
        <v>107.61000000000013</v>
      </c>
      <c r="Y22" s="2"/>
      <c r="Z22" s="7">
        <f t="shared" si="7"/>
        <v>5.3939849624060211E-2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14.87</v>
      </c>
      <c r="E23" s="2"/>
      <c r="F23" s="7">
        <f t="shared" si="0"/>
        <v>0</v>
      </c>
      <c r="G23" s="2"/>
      <c r="H23" s="6">
        <v>15.6</v>
      </c>
      <c r="I23" s="2"/>
      <c r="J23" s="7">
        <f t="shared" si="1"/>
        <v>0</v>
      </c>
      <c r="K23" s="2"/>
      <c r="L23" s="6">
        <f t="shared" si="2"/>
        <v>-0.73000000000000043</v>
      </c>
      <c r="M23" s="2"/>
      <c r="N23" s="7">
        <f t="shared" si="3"/>
        <v>-4.6794871794871823E-2</v>
      </c>
      <c r="O23" s="11"/>
      <c r="P23" s="6">
        <v>47.95</v>
      </c>
      <c r="Q23" s="2"/>
      <c r="R23" s="7">
        <f t="shared" si="4"/>
        <v>0</v>
      </c>
      <c r="S23" s="2"/>
      <c r="T23" s="6">
        <v>50.7</v>
      </c>
      <c r="U23" s="2"/>
      <c r="V23" s="7">
        <f t="shared" si="5"/>
        <v>0</v>
      </c>
      <c r="W23" s="2"/>
      <c r="X23" s="6">
        <f t="shared" si="6"/>
        <v>-2.75</v>
      </c>
      <c r="Y23" s="2"/>
      <c r="Z23" s="7">
        <f t="shared" si="7"/>
        <v>-5.4240631163708086E-2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0</v>
      </c>
      <c r="Y24" s="2"/>
      <c r="Z24" s="7">
        <f t="shared" si="7"/>
        <v>0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6">
        <v>184.8</v>
      </c>
      <c r="E26" s="2"/>
      <c r="F26" s="7">
        <f t="shared" si="0"/>
        <v>0</v>
      </c>
      <c r="G26" s="2"/>
      <c r="H26" s="6">
        <v>240</v>
      </c>
      <c r="I26" s="2"/>
      <c r="J26" s="7">
        <f t="shared" si="1"/>
        <v>0</v>
      </c>
      <c r="K26" s="2"/>
      <c r="L26" s="6">
        <f t="shared" si="2"/>
        <v>-55.199999999999989</v>
      </c>
      <c r="M26" s="2"/>
      <c r="N26" s="7">
        <f t="shared" si="3"/>
        <v>-0.22999999999999995</v>
      </c>
      <c r="O26" s="11"/>
      <c r="P26" s="6">
        <v>554.4</v>
      </c>
      <c r="Q26" s="2"/>
      <c r="R26" s="7">
        <f t="shared" si="4"/>
        <v>0</v>
      </c>
      <c r="S26" s="2"/>
      <c r="T26" s="6">
        <v>780</v>
      </c>
      <c r="U26" s="2"/>
      <c r="V26" s="7">
        <f t="shared" si="5"/>
        <v>0</v>
      </c>
      <c r="W26" s="2"/>
      <c r="X26" s="6">
        <f t="shared" si="6"/>
        <v>-225.60000000000002</v>
      </c>
      <c r="Y26" s="2"/>
      <c r="Z26" s="7">
        <f t="shared" si="7"/>
        <v>-0.28923076923076924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6">
        <v>221.4</v>
      </c>
      <c r="E27" s="2"/>
      <c r="F27" s="7">
        <f t="shared" si="0"/>
        <v>0</v>
      </c>
      <c r="G27" s="2"/>
      <c r="H27" s="6">
        <v>180</v>
      </c>
      <c r="I27" s="2"/>
      <c r="J27" s="7">
        <f t="shared" si="1"/>
        <v>0</v>
      </c>
      <c r="K27" s="2"/>
      <c r="L27" s="6">
        <f t="shared" si="2"/>
        <v>41.400000000000006</v>
      </c>
      <c r="M27" s="2"/>
      <c r="N27" s="7">
        <f t="shared" si="3"/>
        <v>0.23000000000000004</v>
      </c>
      <c r="O27" s="11"/>
      <c r="P27" s="6">
        <v>664.2</v>
      </c>
      <c r="Q27" s="2"/>
      <c r="R27" s="7">
        <f t="shared" si="4"/>
        <v>0</v>
      </c>
      <c r="S27" s="2"/>
      <c r="T27" s="6">
        <v>585</v>
      </c>
      <c r="U27" s="2"/>
      <c r="V27" s="7">
        <f t="shared" si="5"/>
        <v>0</v>
      </c>
      <c r="W27" s="2"/>
      <c r="X27" s="6">
        <f t="shared" si="6"/>
        <v>79.200000000000045</v>
      </c>
      <c r="Y27" s="2"/>
      <c r="Z27" s="7">
        <f t="shared" si="7"/>
        <v>0.13538461538461546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6"/>
      <c r="E28" s="2"/>
      <c r="F28" s="7">
        <f t="shared" si="0"/>
        <v>0</v>
      </c>
      <c r="G28" s="2"/>
      <c r="H28" s="6">
        <v>175</v>
      </c>
      <c r="I28" s="2"/>
      <c r="J28" s="7">
        <f t="shared" si="1"/>
        <v>0</v>
      </c>
      <c r="K28" s="2"/>
      <c r="L28" s="6">
        <f t="shared" si="2"/>
        <v>-175</v>
      </c>
      <c r="M28" s="2"/>
      <c r="N28" s="7">
        <f t="shared" si="3"/>
        <v>-1</v>
      </c>
      <c r="O28" s="11"/>
      <c r="P28" s="6"/>
      <c r="Q28" s="2"/>
      <c r="R28" s="7">
        <f t="shared" si="4"/>
        <v>0</v>
      </c>
      <c r="S28" s="2"/>
      <c r="T28" s="6">
        <v>525</v>
      </c>
      <c r="U28" s="2"/>
      <c r="V28" s="7">
        <f t="shared" si="5"/>
        <v>0</v>
      </c>
      <c r="W28" s="2"/>
      <c r="X28" s="6">
        <f t="shared" si="6"/>
        <v>-525</v>
      </c>
      <c r="Y28" s="2"/>
      <c r="Z28" s="7">
        <f t="shared" si="7"/>
        <v>-1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5757.22</v>
      </c>
      <c r="E29" s="1"/>
      <c r="F29" s="5">
        <f t="shared" ref="F29:F39" si="8">IF(D$12=0,0,D29/D$12)</f>
        <v>0</v>
      </c>
      <c r="G29" s="1"/>
      <c r="H29" s="1">
        <f>SUM(OSRRefH22_1x_0)</f>
        <v>5676</v>
      </c>
      <c r="I29" s="1"/>
      <c r="J29" s="5">
        <f t="shared" ref="J29:J39" si="9">IF(H$12=0,0,H29/H$12)</f>
        <v>0</v>
      </c>
      <c r="K29" s="1"/>
      <c r="L29" s="1">
        <f t="shared" ref="L29:L39" si="10">+D29-H29</f>
        <v>81.220000000000255</v>
      </c>
      <c r="M29" s="1"/>
      <c r="N29" s="5">
        <f t="shared" ref="N29:N39" si="11">IF(H29=0,0,L29/H29)</f>
        <v>1.4309372797744935E-2</v>
      </c>
      <c r="O29" s="14"/>
      <c r="P29" s="1">
        <f>SUM(OSRRefP22_1x_0)</f>
        <v>20662.830000000002</v>
      </c>
      <c r="Q29" s="1"/>
      <c r="R29" s="5">
        <f t="shared" ref="R29:R39" si="12">IF(P$12=0,0,P29/P$12)</f>
        <v>0</v>
      </c>
      <c r="S29" s="1"/>
      <c r="T29" s="1">
        <f>SUM(OSRRefT22_1x_0)</f>
        <v>18447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2215.8300000000017</v>
      </c>
      <c r="Y29" s="1"/>
      <c r="Z29" s="5">
        <f t="shared" ref="Z29:Z39" si="15">IF(T29=0,0,X29/T29)</f>
        <v>0.12011871849081161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6">
        <v>4593.75</v>
      </c>
      <c r="E33" s="2"/>
      <c r="F33" s="7">
        <f t="shared" si="8"/>
        <v>0</v>
      </c>
      <c r="G33" s="2"/>
      <c r="H33" s="6">
        <v>4512</v>
      </c>
      <c r="I33" s="2"/>
      <c r="J33" s="7">
        <f t="shared" si="9"/>
        <v>0</v>
      </c>
      <c r="K33" s="2"/>
      <c r="L33" s="6">
        <f t="shared" si="10"/>
        <v>81.75</v>
      </c>
      <c r="M33" s="2"/>
      <c r="N33" s="7">
        <f t="shared" si="11"/>
        <v>1.8118351063829786E-2</v>
      </c>
      <c r="O33" s="11"/>
      <c r="P33" s="6">
        <v>15202.5</v>
      </c>
      <c r="Q33" s="2"/>
      <c r="R33" s="7">
        <f t="shared" si="12"/>
        <v>0</v>
      </c>
      <c r="S33" s="2"/>
      <c r="T33" s="6">
        <v>14664</v>
      </c>
      <c r="U33" s="2"/>
      <c r="V33" s="7">
        <f t="shared" si="13"/>
        <v>0</v>
      </c>
      <c r="W33" s="2"/>
      <c r="X33" s="6">
        <f t="shared" si="14"/>
        <v>538.5</v>
      </c>
      <c r="Y33" s="2"/>
      <c r="Z33" s="7">
        <f t="shared" si="15"/>
        <v>3.6722585924713586E-2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6">
        <v>-7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-7</v>
      </c>
      <c r="M36" s="2"/>
      <c r="N36" s="7">
        <f t="shared" si="11"/>
        <v>0</v>
      </c>
      <c r="O36" s="11"/>
      <c r="P36" s="6">
        <v>1251</v>
      </c>
      <c r="Q36" s="2"/>
      <c r="R36" s="7">
        <f t="shared" si="12"/>
        <v>0</v>
      </c>
      <c r="S36" s="2"/>
      <c r="T36" s="6">
        <v>2619</v>
      </c>
      <c r="U36" s="2"/>
      <c r="V36" s="7">
        <f t="shared" si="13"/>
        <v>0</v>
      </c>
      <c r="W36" s="2"/>
      <c r="X36" s="6">
        <f t="shared" si="14"/>
        <v>-1368</v>
      </c>
      <c r="Y36" s="2"/>
      <c r="Z36" s="7">
        <f t="shared" si="15"/>
        <v>-0.5223367697594502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>
        <v>1170.47</v>
      </c>
      <c r="E37" s="2"/>
      <c r="F37" s="7">
        <f t="shared" si="8"/>
        <v>0</v>
      </c>
      <c r="G37" s="2"/>
      <c r="H37" s="6">
        <v>1164</v>
      </c>
      <c r="I37" s="2"/>
      <c r="J37" s="7">
        <f t="shared" si="9"/>
        <v>0</v>
      </c>
      <c r="K37" s="2"/>
      <c r="L37" s="6">
        <f t="shared" si="10"/>
        <v>6.4700000000000273</v>
      </c>
      <c r="M37" s="2"/>
      <c r="N37" s="7">
        <f t="shared" si="11"/>
        <v>5.5584192439862776E-3</v>
      </c>
      <c r="O37" s="11"/>
      <c r="P37" s="6">
        <v>4209.33</v>
      </c>
      <c r="Q37" s="2"/>
      <c r="R37" s="7">
        <f t="shared" si="12"/>
        <v>0</v>
      </c>
      <c r="S37" s="2"/>
      <c r="T37" s="6">
        <v>1164</v>
      </c>
      <c r="U37" s="2"/>
      <c r="V37" s="7">
        <f t="shared" si="13"/>
        <v>0</v>
      </c>
      <c r="W37" s="2"/>
      <c r="X37" s="6">
        <f t="shared" si="14"/>
        <v>3045.33</v>
      </c>
      <c r="Y37" s="2"/>
      <c r="Z37" s="7">
        <f t="shared" si="15"/>
        <v>2.616262886597938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173.21</v>
      </c>
      <c r="E40" s="1"/>
      <c r="F40" s="5">
        <f t="shared" ref="F40:F54" si="16">IF(D$12=0,0,D40/D$12)</f>
        <v>0</v>
      </c>
      <c r="G40" s="1"/>
      <c r="H40" s="1">
        <f>SUM(OSRRefH22_2x_0)</f>
        <v>8333</v>
      </c>
      <c r="I40" s="1"/>
      <c r="J40" s="5">
        <f t="shared" ref="J40:J54" si="17">IF(H$12=0,0,H40/H$12)</f>
        <v>0</v>
      </c>
      <c r="K40" s="1"/>
      <c r="L40" s="1">
        <f t="shared" ref="L40:L54" si="18">+D40-H40</f>
        <v>-8159.79</v>
      </c>
      <c r="M40" s="1"/>
      <c r="N40" s="5">
        <f t="shared" ref="N40:N54" si="19">IF(H40=0,0,L40/H40)</f>
        <v>-0.97921396855874232</v>
      </c>
      <c r="O40" s="14"/>
      <c r="P40" s="1">
        <f>SUM(OSRRefP22_2x_0)</f>
        <v>346.42</v>
      </c>
      <c r="Q40" s="1"/>
      <c r="R40" s="5">
        <f t="shared" ref="R40:R54" si="20">IF(P$12=0,0,P40/P$12)</f>
        <v>0</v>
      </c>
      <c r="S40" s="1"/>
      <c r="T40" s="1">
        <f>SUM(OSRRefT22_2x_0)</f>
        <v>24999</v>
      </c>
      <c r="U40" s="1"/>
      <c r="V40" s="5">
        <f t="shared" ref="V40:V54" si="21">IF(T$12=0,0,T40/T$12)</f>
        <v>0</v>
      </c>
      <c r="W40" s="1"/>
      <c r="X40" s="1">
        <f t="shared" ref="X40:X54" si="22">+P40-T40</f>
        <v>-24652.58</v>
      </c>
      <c r="Y40" s="1"/>
      <c r="Z40" s="5">
        <f t="shared" ref="Z40:Z54" si="23">IF(T40=0,0,X40/T40)</f>
        <v>-0.98614264570582832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6">
        <v>173.21</v>
      </c>
      <c r="E41" s="2"/>
      <c r="F41" s="7">
        <f t="shared" si="16"/>
        <v>0</v>
      </c>
      <c r="G41" s="2"/>
      <c r="H41" s="6">
        <v>8333</v>
      </c>
      <c r="I41" s="2"/>
      <c r="J41" s="7">
        <f t="shared" si="17"/>
        <v>0</v>
      </c>
      <c r="K41" s="2"/>
      <c r="L41" s="6">
        <f t="shared" si="18"/>
        <v>-8159.79</v>
      </c>
      <c r="M41" s="2"/>
      <c r="N41" s="7">
        <f t="shared" si="19"/>
        <v>-0.97921396855874232</v>
      </c>
      <c r="O41" s="11"/>
      <c r="P41" s="6">
        <v>346.42</v>
      </c>
      <c r="Q41" s="2"/>
      <c r="R41" s="7">
        <f t="shared" si="20"/>
        <v>0</v>
      </c>
      <c r="S41" s="2"/>
      <c r="T41" s="6">
        <v>24999</v>
      </c>
      <c r="U41" s="2"/>
      <c r="V41" s="7">
        <f t="shared" si="21"/>
        <v>0</v>
      </c>
      <c r="W41" s="2"/>
      <c r="X41" s="6">
        <f t="shared" si="22"/>
        <v>-24652.58</v>
      </c>
      <c r="Y41" s="2"/>
      <c r="Z41" s="7">
        <f t="shared" si="23"/>
        <v>-0.98614264570582832</v>
      </c>
    </row>
    <row r="42" spans="1:26" s="28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SUM(OSRRefD22_3x_0)</f>
        <v>271.27</v>
      </c>
      <c r="E42" s="1"/>
      <c r="F42" s="5">
        <f t="shared" si="16"/>
        <v>0</v>
      </c>
      <c r="G42" s="1"/>
      <c r="H42" s="1">
        <f>SUM(OSRRefH22_3x_0)</f>
        <v>271</v>
      </c>
      <c r="I42" s="1"/>
      <c r="J42" s="5">
        <f t="shared" si="17"/>
        <v>0</v>
      </c>
      <c r="K42" s="1"/>
      <c r="L42" s="1">
        <f t="shared" si="18"/>
        <v>0.26999999999998181</v>
      </c>
      <c r="M42" s="1"/>
      <c r="N42" s="5">
        <f t="shared" si="19"/>
        <v>9.9630996309956377E-4</v>
      </c>
      <c r="O42" s="14"/>
      <c r="P42" s="1">
        <f>SUM(OSRRefP22_3x_0)</f>
        <v>813.81</v>
      </c>
      <c r="Q42" s="1"/>
      <c r="R42" s="5">
        <f t="shared" si="20"/>
        <v>0</v>
      </c>
      <c r="S42" s="1"/>
      <c r="T42" s="1">
        <f>SUM(OSRRefT22_3x_0)</f>
        <v>813</v>
      </c>
      <c r="U42" s="1"/>
      <c r="V42" s="5">
        <f t="shared" si="21"/>
        <v>0</v>
      </c>
      <c r="W42" s="1"/>
      <c r="X42" s="1">
        <f t="shared" si="22"/>
        <v>0.80999999999994543</v>
      </c>
      <c r="Y42" s="1"/>
      <c r="Z42" s="5">
        <f t="shared" si="23"/>
        <v>9.9630996309956377E-4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6">
        <v>271.27</v>
      </c>
      <c r="E43" s="2"/>
      <c r="F43" s="7">
        <f t="shared" si="16"/>
        <v>0</v>
      </c>
      <c r="G43" s="2"/>
      <c r="H43" s="6">
        <v>271</v>
      </c>
      <c r="I43" s="2"/>
      <c r="J43" s="7">
        <f t="shared" si="17"/>
        <v>0</v>
      </c>
      <c r="K43" s="2"/>
      <c r="L43" s="6">
        <f t="shared" si="18"/>
        <v>0.26999999999998181</v>
      </c>
      <c r="M43" s="2"/>
      <c r="N43" s="7">
        <f t="shared" si="19"/>
        <v>9.9630996309956377E-4</v>
      </c>
      <c r="O43" s="11"/>
      <c r="P43" s="6">
        <v>813.81</v>
      </c>
      <c r="Q43" s="2"/>
      <c r="R43" s="7">
        <f t="shared" si="20"/>
        <v>0</v>
      </c>
      <c r="S43" s="2"/>
      <c r="T43" s="6">
        <v>813</v>
      </c>
      <c r="U43" s="2"/>
      <c r="V43" s="7">
        <f t="shared" si="21"/>
        <v>0</v>
      </c>
      <c r="W43" s="2"/>
      <c r="X43" s="6">
        <f t="shared" si="22"/>
        <v>0.80999999999994543</v>
      </c>
      <c r="Y43" s="2"/>
      <c r="Z43" s="7">
        <f t="shared" si="23"/>
        <v>9.9630996309956377E-4</v>
      </c>
    </row>
    <row r="44" spans="1:26" s="28" customFormat="1" outlineLevel="1" collapsed="1" x14ac:dyDescent="0.25">
      <c r="A44" s="27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SUM(OSRRefD22_4x_0)</f>
        <v>0</v>
      </c>
      <c r="E44" s="1"/>
      <c r="F44" s="5">
        <f t="shared" si="16"/>
        <v>0</v>
      </c>
      <c r="G44" s="1"/>
      <c r="H44" s="1">
        <f>SUM(OSRRefH22_4x_0)</f>
        <v>0</v>
      </c>
      <c r="I44" s="1"/>
      <c r="J44" s="5">
        <f t="shared" si="17"/>
        <v>0</v>
      </c>
      <c r="K44" s="1"/>
      <c r="L44" s="1">
        <f t="shared" si="18"/>
        <v>0</v>
      </c>
      <c r="M44" s="1"/>
      <c r="N44" s="5">
        <f t="shared" si="19"/>
        <v>0</v>
      </c>
      <c r="O44" s="14"/>
      <c r="P44" s="1">
        <f>SUM(OSRRefP22_4x_0)</f>
        <v>0</v>
      </c>
      <c r="Q44" s="1"/>
      <c r="R44" s="5">
        <f t="shared" si="20"/>
        <v>0</v>
      </c>
      <c r="S44" s="1"/>
      <c r="T44" s="1">
        <f>SUM(OSRRefT22_4x_0)</f>
        <v>500</v>
      </c>
      <c r="U44" s="1"/>
      <c r="V44" s="5">
        <f t="shared" si="21"/>
        <v>0</v>
      </c>
      <c r="W44" s="1"/>
      <c r="X44" s="1">
        <f t="shared" si="22"/>
        <v>-500</v>
      </c>
      <c r="Y44" s="1"/>
      <c r="Z44" s="5">
        <f t="shared" si="23"/>
        <v>-1</v>
      </c>
    </row>
    <row r="45" spans="1:26" s="24" customFormat="1" hidden="1" outlineLevel="2" x14ac:dyDescent="0.25">
      <c r="A45" s="29"/>
      <c r="B45" s="11" t="str">
        <f>CONCATENATE("          ", "6277", " - ", "EMPLOYEE APPRECIATION")</f>
        <v xml:space="preserve">          6277 - EMPLOYEE APPRECIATION</v>
      </c>
      <c r="C45" s="11"/>
      <c r="D45" s="6"/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0</v>
      </c>
      <c r="M45" s="2"/>
      <c r="N45" s="7">
        <f t="shared" si="19"/>
        <v>0</v>
      </c>
      <c r="O45" s="11"/>
      <c r="P45" s="6"/>
      <c r="Q45" s="2"/>
      <c r="R45" s="7">
        <f t="shared" si="20"/>
        <v>0</v>
      </c>
      <c r="S45" s="2"/>
      <c r="T45" s="6">
        <v>500</v>
      </c>
      <c r="U45" s="2"/>
      <c r="V45" s="7">
        <f t="shared" si="21"/>
        <v>0</v>
      </c>
      <c r="W45" s="2"/>
      <c r="X45" s="6">
        <f t="shared" si="22"/>
        <v>-500</v>
      </c>
      <c r="Y45" s="2"/>
      <c r="Z45" s="7">
        <f t="shared" si="23"/>
        <v>-1</v>
      </c>
    </row>
    <row r="46" spans="1:26" s="28" customFormat="1" outlineLevel="1" collapsed="1" x14ac:dyDescent="0.25">
      <c r="A46" s="27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SUM(OSRRefD22_5x_0)</f>
        <v>0</v>
      </c>
      <c r="E46" s="1"/>
      <c r="F46" s="5">
        <f t="shared" si="16"/>
        <v>0</v>
      </c>
      <c r="G46" s="1"/>
      <c r="H46" s="1">
        <f>SUM(OSRRefH22_5x_0)</f>
        <v>667</v>
      </c>
      <c r="I46" s="1"/>
      <c r="J46" s="5">
        <f t="shared" si="17"/>
        <v>0</v>
      </c>
      <c r="K46" s="1"/>
      <c r="L46" s="1">
        <f t="shared" si="18"/>
        <v>-667</v>
      </c>
      <c r="M46" s="1"/>
      <c r="N46" s="5">
        <f t="shared" si="19"/>
        <v>-1</v>
      </c>
      <c r="O46" s="14"/>
      <c r="P46" s="1">
        <f>SUM(OSRRefP22_5x_0)</f>
        <v>0</v>
      </c>
      <c r="Q46" s="1"/>
      <c r="R46" s="5">
        <f t="shared" si="20"/>
        <v>0</v>
      </c>
      <c r="S46" s="1"/>
      <c r="T46" s="1">
        <f>SUM(OSRRefT22_5x_0)</f>
        <v>2001</v>
      </c>
      <c r="U46" s="1"/>
      <c r="V46" s="5">
        <f t="shared" si="21"/>
        <v>0</v>
      </c>
      <c r="W46" s="1"/>
      <c r="X46" s="1">
        <f t="shared" si="22"/>
        <v>-2001</v>
      </c>
      <c r="Y46" s="1"/>
      <c r="Z46" s="5">
        <f t="shared" si="23"/>
        <v>-1</v>
      </c>
    </row>
    <row r="47" spans="1:26" s="24" customFormat="1" hidden="1" outlineLevel="2" x14ac:dyDescent="0.25">
      <c r="A47" s="29"/>
      <c r="B47" s="11" t="str">
        <f>CONCATENATE("          ", "6371", " - ", "COMPUTER SOFTWARE MAINTENANCE")</f>
        <v xml:space="preserve">          6371 - COMPUTER SOFTWARE MAINTENANCE</v>
      </c>
      <c r="C47" s="11"/>
      <c r="D47" s="6"/>
      <c r="E47" s="2"/>
      <c r="F47" s="7">
        <f t="shared" si="16"/>
        <v>0</v>
      </c>
      <c r="G47" s="2"/>
      <c r="H47" s="6">
        <v>667</v>
      </c>
      <c r="I47" s="2"/>
      <c r="J47" s="7">
        <f t="shared" si="17"/>
        <v>0</v>
      </c>
      <c r="K47" s="2"/>
      <c r="L47" s="6">
        <f t="shared" si="18"/>
        <v>-667</v>
      </c>
      <c r="M47" s="2"/>
      <c r="N47" s="7">
        <f t="shared" si="19"/>
        <v>-1</v>
      </c>
      <c r="O47" s="11"/>
      <c r="P47" s="6"/>
      <c r="Q47" s="2"/>
      <c r="R47" s="7">
        <f t="shared" si="20"/>
        <v>0</v>
      </c>
      <c r="S47" s="2"/>
      <c r="T47" s="6">
        <v>2001</v>
      </c>
      <c r="U47" s="2"/>
      <c r="V47" s="7">
        <f t="shared" si="21"/>
        <v>0</v>
      </c>
      <c r="W47" s="2"/>
      <c r="X47" s="6">
        <f t="shared" si="22"/>
        <v>-2001</v>
      </c>
      <c r="Y47" s="2"/>
      <c r="Z47" s="7">
        <f t="shared" si="23"/>
        <v>-1</v>
      </c>
    </row>
    <row r="48" spans="1:26" s="28" customFormat="1" outlineLevel="1" collapsed="1" x14ac:dyDescent="0.25">
      <c r="A48" s="27"/>
      <c r="B48" s="14" t="str">
        <f>CONCATENATE("     ","Subscriptions &amp; Dues                              ")</f>
        <v xml:space="preserve">     Subscriptions &amp; Dues                              </v>
      </c>
      <c r="C48" s="14"/>
      <c r="D48" s="1">
        <f>SUM(OSRRefD22_6x_0)</f>
        <v>0</v>
      </c>
      <c r="E48" s="1"/>
      <c r="F48" s="5">
        <f t="shared" si="16"/>
        <v>0</v>
      </c>
      <c r="G48" s="1"/>
      <c r="H48" s="1">
        <f>SUM(OSRRefH22_6x_0)</f>
        <v>0</v>
      </c>
      <c r="I48" s="1"/>
      <c r="J48" s="5">
        <f t="shared" si="17"/>
        <v>0</v>
      </c>
      <c r="K48" s="1"/>
      <c r="L48" s="1">
        <f t="shared" si="18"/>
        <v>0</v>
      </c>
      <c r="M48" s="1"/>
      <c r="N48" s="5">
        <f t="shared" si="19"/>
        <v>0</v>
      </c>
      <c r="O48" s="14"/>
      <c r="P48" s="1">
        <f>SUM(OSRRefP22_6x_0)</f>
        <v>0</v>
      </c>
      <c r="Q48" s="1"/>
      <c r="R48" s="5">
        <f t="shared" si="20"/>
        <v>0</v>
      </c>
      <c r="S48" s="1"/>
      <c r="T48" s="1">
        <f>SUM(OSRRefT22_6x_0)</f>
        <v>600</v>
      </c>
      <c r="U48" s="1"/>
      <c r="V48" s="5">
        <f t="shared" si="21"/>
        <v>0</v>
      </c>
      <c r="W48" s="1"/>
      <c r="X48" s="1">
        <f t="shared" si="22"/>
        <v>-600</v>
      </c>
      <c r="Y48" s="1"/>
      <c r="Z48" s="5">
        <f t="shared" si="23"/>
        <v>-1</v>
      </c>
    </row>
    <row r="49" spans="1:26" s="24" customFormat="1" hidden="1" outlineLevel="2" x14ac:dyDescent="0.25">
      <c r="A49" s="29"/>
      <c r="B49" s="11" t="str">
        <f>CONCATENATE("          ", "6258", " - ", "MEMBERSHIP DUES")</f>
        <v xml:space="preserve">          6258 - MEMBERSHIP DUES</v>
      </c>
      <c r="C49" s="11"/>
      <c r="D49" s="6"/>
      <c r="E49" s="2"/>
      <c r="F49" s="7">
        <f t="shared" si="16"/>
        <v>0</v>
      </c>
      <c r="G49" s="2"/>
      <c r="H49" s="6"/>
      <c r="I49" s="2"/>
      <c r="J49" s="7">
        <f t="shared" si="17"/>
        <v>0</v>
      </c>
      <c r="K49" s="2"/>
      <c r="L49" s="6">
        <f t="shared" si="18"/>
        <v>0</v>
      </c>
      <c r="M49" s="2"/>
      <c r="N49" s="7">
        <f t="shared" si="19"/>
        <v>0</v>
      </c>
      <c r="O49" s="11"/>
      <c r="P49" s="6"/>
      <c r="Q49" s="2"/>
      <c r="R49" s="7">
        <f t="shared" si="20"/>
        <v>0</v>
      </c>
      <c r="S49" s="2"/>
      <c r="T49" s="6">
        <v>600</v>
      </c>
      <c r="U49" s="2"/>
      <c r="V49" s="7">
        <f t="shared" si="21"/>
        <v>0</v>
      </c>
      <c r="W49" s="2"/>
      <c r="X49" s="6">
        <f t="shared" si="22"/>
        <v>-600</v>
      </c>
      <c r="Y49" s="2"/>
      <c r="Z49" s="7">
        <f t="shared" si="23"/>
        <v>-1</v>
      </c>
    </row>
    <row r="50" spans="1:26" s="28" customFormat="1" outlineLevel="1" collapsed="1" x14ac:dyDescent="0.25">
      <c r="A50" s="27"/>
      <c r="B50" s="14" t="str">
        <f>CONCATENATE("     ","Supplies                                          ")</f>
        <v xml:space="preserve">     Supplies                                          </v>
      </c>
      <c r="C50" s="14"/>
      <c r="D50" s="1">
        <f>SUM(OSRRefD22_7x_0)</f>
        <v>0</v>
      </c>
      <c r="E50" s="1"/>
      <c r="F50" s="5">
        <f t="shared" si="16"/>
        <v>0</v>
      </c>
      <c r="G50" s="1"/>
      <c r="H50" s="1">
        <f>SUM(OSRRefH22_7x_0)</f>
        <v>833</v>
      </c>
      <c r="I50" s="1"/>
      <c r="J50" s="5">
        <f t="shared" si="17"/>
        <v>0</v>
      </c>
      <c r="K50" s="1"/>
      <c r="L50" s="1">
        <f t="shared" si="18"/>
        <v>-833</v>
      </c>
      <c r="M50" s="1"/>
      <c r="N50" s="5">
        <f t="shared" si="19"/>
        <v>-1</v>
      </c>
      <c r="O50" s="14"/>
      <c r="P50" s="1">
        <f>SUM(OSRRefP22_7x_0)</f>
        <v>0</v>
      </c>
      <c r="Q50" s="1"/>
      <c r="R50" s="5">
        <f t="shared" si="20"/>
        <v>0</v>
      </c>
      <c r="S50" s="1"/>
      <c r="T50" s="1">
        <f>SUM(OSRRefT22_7x_0)</f>
        <v>2499</v>
      </c>
      <c r="U50" s="1"/>
      <c r="V50" s="5">
        <f t="shared" si="21"/>
        <v>0</v>
      </c>
      <c r="W50" s="1"/>
      <c r="X50" s="1">
        <f t="shared" si="22"/>
        <v>-2499</v>
      </c>
      <c r="Y50" s="1"/>
      <c r="Z50" s="5">
        <f t="shared" si="23"/>
        <v>-1</v>
      </c>
    </row>
    <row r="51" spans="1:26" s="24" customFormat="1" hidden="1" outlineLevel="2" x14ac:dyDescent="0.25">
      <c r="A51" s="29"/>
      <c r="B51" s="11" t="str">
        <f>CONCATENATE("          ", "6241", " - ", "OFFICE EXPENSE")</f>
        <v xml:space="preserve">          6241 - OFFICE EXPENSE</v>
      </c>
      <c r="C51" s="11"/>
      <c r="D51" s="6"/>
      <c r="E51" s="2"/>
      <c r="F51" s="7">
        <f t="shared" si="16"/>
        <v>0</v>
      </c>
      <c r="G51" s="2"/>
      <c r="H51" s="6">
        <v>833</v>
      </c>
      <c r="I51" s="2"/>
      <c r="J51" s="7">
        <f t="shared" si="17"/>
        <v>0</v>
      </c>
      <c r="K51" s="2"/>
      <c r="L51" s="6">
        <f t="shared" si="18"/>
        <v>-833</v>
      </c>
      <c r="M51" s="2"/>
      <c r="N51" s="7">
        <f t="shared" si="19"/>
        <v>-1</v>
      </c>
      <c r="O51" s="11"/>
      <c r="P51" s="6"/>
      <c r="Q51" s="2"/>
      <c r="R51" s="7">
        <f t="shared" si="20"/>
        <v>0</v>
      </c>
      <c r="S51" s="2"/>
      <c r="T51" s="6">
        <v>2499</v>
      </c>
      <c r="U51" s="2"/>
      <c r="V51" s="7">
        <f t="shared" si="21"/>
        <v>0</v>
      </c>
      <c r="W51" s="2"/>
      <c r="X51" s="6">
        <f t="shared" si="22"/>
        <v>-2499</v>
      </c>
      <c r="Y51" s="2"/>
      <c r="Z51" s="7">
        <f t="shared" si="23"/>
        <v>-1</v>
      </c>
    </row>
    <row r="52" spans="1:26" s="28" customFormat="1" outlineLevel="1" collapsed="1" x14ac:dyDescent="0.25">
      <c r="A52" s="27"/>
      <c r="B52" s="14" t="str">
        <f>CONCATENATE("     ","Telephone/Data Lines                              ")</f>
        <v xml:space="preserve">     Telephone/Data Lines                              </v>
      </c>
      <c r="C52" s="14"/>
      <c r="D52" s="1">
        <f>SUM(OSRRefD22_8x_0)</f>
        <v>0</v>
      </c>
      <c r="E52" s="1"/>
      <c r="F52" s="5">
        <f t="shared" si="16"/>
        <v>0</v>
      </c>
      <c r="G52" s="1"/>
      <c r="H52" s="1">
        <f>SUM(OSRRefH22_8x_0)</f>
        <v>0</v>
      </c>
      <c r="I52" s="1"/>
      <c r="J52" s="5">
        <f t="shared" si="17"/>
        <v>0</v>
      </c>
      <c r="K52" s="1"/>
      <c r="L52" s="1">
        <f t="shared" si="18"/>
        <v>0</v>
      </c>
      <c r="M52" s="1"/>
      <c r="N52" s="5">
        <f t="shared" si="19"/>
        <v>0</v>
      </c>
      <c r="O52" s="14"/>
      <c r="P52" s="1">
        <f>SUM(OSRRefP22_8x_0)</f>
        <v>72</v>
      </c>
      <c r="Q52" s="1"/>
      <c r="R52" s="5">
        <f t="shared" si="20"/>
        <v>0</v>
      </c>
      <c r="S52" s="1"/>
      <c r="T52" s="1">
        <f>SUM(OSRRefT22_8x_0)</f>
        <v>1800</v>
      </c>
      <c r="U52" s="1"/>
      <c r="V52" s="5">
        <f t="shared" si="21"/>
        <v>0</v>
      </c>
      <c r="W52" s="1"/>
      <c r="X52" s="1">
        <f t="shared" si="22"/>
        <v>-1728</v>
      </c>
      <c r="Y52" s="1"/>
      <c r="Z52" s="5">
        <f t="shared" si="23"/>
        <v>-0.96</v>
      </c>
    </row>
    <row r="53" spans="1:26" s="24" customFormat="1" hidden="1" outlineLevel="2" x14ac:dyDescent="0.25">
      <c r="A53" s="29"/>
      <c r="B53" s="11" t="str">
        <f>CONCATENATE("          ", "6303", " - ", "DATA PHONE LINES")</f>
        <v xml:space="preserve">          6303 - DATA PHONE LINES</v>
      </c>
      <c r="C53" s="11"/>
      <c r="D53" s="6"/>
      <c r="E53" s="2"/>
      <c r="F53" s="7">
        <f t="shared" si="16"/>
        <v>0</v>
      </c>
      <c r="G53" s="2"/>
      <c r="H53" s="6"/>
      <c r="I53" s="2"/>
      <c r="J53" s="7">
        <f t="shared" si="17"/>
        <v>0</v>
      </c>
      <c r="K53" s="2"/>
      <c r="L53" s="6">
        <f t="shared" si="18"/>
        <v>0</v>
      </c>
      <c r="M53" s="2"/>
      <c r="N53" s="7">
        <f t="shared" si="19"/>
        <v>0</v>
      </c>
      <c r="O53" s="11"/>
      <c r="P53" s="6"/>
      <c r="Q53" s="2"/>
      <c r="R53" s="7">
        <f t="shared" si="20"/>
        <v>0</v>
      </c>
      <c r="S53" s="2"/>
      <c r="T53" s="6">
        <v>1800</v>
      </c>
      <c r="U53" s="2"/>
      <c r="V53" s="7">
        <f t="shared" si="21"/>
        <v>0</v>
      </c>
      <c r="W53" s="2"/>
      <c r="X53" s="6">
        <f t="shared" si="22"/>
        <v>-1800</v>
      </c>
      <c r="Y53" s="2"/>
      <c r="Z53" s="7">
        <f t="shared" si="23"/>
        <v>-1</v>
      </c>
    </row>
    <row r="54" spans="1:26" s="24" customFormat="1" hidden="1" outlineLevel="2" x14ac:dyDescent="0.25">
      <c r="A54" s="29"/>
      <c r="B54" s="11" t="str">
        <f>CONCATENATE("          ", "6309", " - ", "TELEPHONE")</f>
        <v xml:space="preserve">          6309 - TELEPHONE</v>
      </c>
      <c r="C54" s="11"/>
      <c r="D54" s="6"/>
      <c r="E54" s="2"/>
      <c r="F54" s="7">
        <f t="shared" si="16"/>
        <v>0</v>
      </c>
      <c r="G54" s="2"/>
      <c r="H54" s="6"/>
      <c r="I54" s="2"/>
      <c r="J54" s="7">
        <f t="shared" si="17"/>
        <v>0</v>
      </c>
      <c r="K54" s="2"/>
      <c r="L54" s="6">
        <f t="shared" si="18"/>
        <v>0</v>
      </c>
      <c r="M54" s="2"/>
      <c r="N54" s="7">
        <f t="shared" si="19"/>
        <v>0</v>
      </c>
      <c r="O54" s="11"/>
      <c r="P54" s="6">
        <v>72</v>
      </c>
      <c r="Q54" s="2"/>
      <c r="R54" s="7">
        <f t="shared" si="20"/>
        <v>0</v>
      </c>
      <c r="S54" s="2"/>
      <c r="T54" s="6"/>
      <c r="U54" s="2"/>
      <c r="V54" s="7">
        <f t="shared" si="21"/>
        <v>0</v>
      </c>
      <c r="W54" s="2"/>
      <c r="X54" s="6">
        <f t="shared" si="22"/>
        <v>72</v>
      </c>
      <c r="Y54" s="2"/>
      <c r="Z54" s="7">
        <f t="shared" si="23"/>
        <v>0</v>
      </c>
    </row>
    <row r="55" spans="1:26" s="28" customFormat="1" outlineLevel="1" collapsed="1" x14ac:dyDescent="0.25">
      <c r="A55" s="27"/>
      <c r="B55" s="14" t="str">
        <f>CONCATENATE("     ","Training                                          ")</f>
        <v xml:space="preserve">     Training                                          </v>
      </c>
      <c r="C55" s="14"/>
      <c r="D55" s="1">
        <f>SUM(OSRRefD22_9x_0)</f>
        <v>0</v>
      </c>
      <c r="E55" s="1"/>
      <c r="F55" s="5">
        <f t="shared" ref="F55:F56" si="24">IF(D$12=0,0,D55/D$12)</f>
        <v>0</v>
      </c>
      <c r="G55" s="1"/>
      <c r="H55" s="1">
        <f>SUM(OSRRefH22_9x_0)</f>
        <v>0</v>
      </c>
      <c r="I55" s="1"/>
      <c r="J55" s="5">
        <f t="shared" ref="J55:J56" si="25">IF(H$12=0,0,H55/H$12)</f>
        <v>0</v>
      </c>
      <c r="K55" s="1"/>
      <c r="L55" s="1">
        <f t="shared" ref="L55:L56" si="26">+D55-H55</f>
        <v>0</v>
      </c>
      <c r="M55" s="1"/>
      <c r="N55" s="5">
        <f t="shared" ref="N55:N56" si="27">IF(H55=0,0,L55/H55)</f>
        <v>0</v>
      </c>
      <c r="O55" s="14"/>
      <c r="P55" s="1">
        <f>SUM(OSRRefP22_9x_0)</f>
        <v>0</v>
      </c>
      <c r="Q55" s="1"/>
      <c r="R55" s="5">
        <f t="shared" ref="R55:R56" si="28">IF(P$12=0,0,P55/P$12)</f>
        <v>0</v>
      </c>
      <c r="S55" s="1"/>
      <c r="T55" s="1">
        <f>SUM(OSRRefT22_9x_0)</f>
        <v>2400</v>
      </c>
      <c r="U55" s="1"/>
      <c r="V55" s="5">
        <f t="shared" ref="V55:V56" si="29">IF(T$12=0,0,T55/T$12)</f>
        <v>0</v>
      </c>
      <c r="W55" s="1"/>
      <c r="X55" s="1">
        <f t="shared" ref="X55:X56" si="30">+P55-T55</f>
        <v>-2400</v>
      </c>
      <c r="Y55" s="1"/>
      <c r="Z55" s="5">
        <f t="shared" ref="Z55:Z56" si="31">IF(T55=0,0,X55/T55)</f>
        <v>-1</v>
      </c>
    </row>
    <row r="56" spans="1:26" s="24" customFormat="1" hidden="1" outlineLevel="2" x14ac:dyDescent="0.25">
      <c r="A56" s="29"/>
      <c r="B56" s="11" t="str">
        <f>CONCATENATE("          ", "6376", " - ", "TRAINING")</f>
        <v xml:space="preserve">          6376 - TRAINING</v>
      </c>
      <c r="C56" s="11"/>
      <c r="D56" s="6"/>
      <c r="E56" s="2"/>
      <c r="F56" s="7">
        <f t="shared" si="24"/>
        <v>0</v>
      </c>
      <c r="G56" s="2"/>
      <c r="H56" s="6"/>
      <c r="I56" s="2"/>
      <c r="J56" s="7">
        <f t="shared" si="25"/>
        <v>0</v>
      </c>
      <c r="K56" s="2"/>
      <c r="L56" s="6">
        <f t="shared" si="26"/>
        <v>0</v>
      </c>
      <c r="M56" s="2"/>
      <c r="N56" s="7">
        <f t="shared" si="27"/>
        <v>0</v>
      </c>
      <c r="O56" s="11"/>
      <c r="P56" s="6"/>
      <c r="Q56" s="2"/>
      <c r="R56" s="7">
        <f t="shared" si="28"/>
        <v>0</v>
      </c>
      <c r="S56" s="2"/>
      <c r="T56" s="6">
        <v>2400</v>
      </c>
      <c r="U56" s="2"/>
      <c r="V56" s="7">
        <f t="shared" si="29"/>
        <v>0</v>
      </c>
      <c r="W56" s="2"/>
      <c r="X56" s="6">
        <f t="shared" si="30"/>
        <v>-2400</v>
      </c>
      <c r="Y56" s="2"/>
      <c r="Z56" s="7">
        <f t="shared" si="31"/>
        <v>-1</v>
      </c>
    </row>
    <row r="57" spans="1:26" s="61" customFormat="1" x14ac:dyDescent="0.25">
      <c r="A57" s="36"/>
      <c r="B57" s="36"/>
      <c r="C57" s="36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6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5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6" t="s">
        <v>3</v>
      </c>
      <c r="C60" s="26"/>
      <c r="D60" s="20">
        <f>+D16-D18+D58</f>
        <v>-7691.3700000000008</v>
      </c>
      <c r="E60" s="13"/>
      <c r="F60" s="21">
        <f>IF(D$12=0,0,D60/D$12)</f>
        <v>0</v>
      </c>
      <c r="G60" s="13"/>
      <c r="H60" s="20">
        <f>+H16-H18+H58</f>
        <v>-17391.590153846155</v>
      </c>
      <c r="I60" s="13"/>
      <c r="J60" s="21">
        <f>IF(H$12=0,0,H60/H$12)</f>
        <v>0</v>
      </c>
      <c r="K60" s="16"/>
      <c r="L60" s="20">
        <f>+D60-H60</f>
        <v>9700.2201538461541</v>
      </c>
      <c r="M60" s="16"/>
      <c r="N60" s="21">
        <f>IF(H60=0,0,L60/H60)</f>
        <v>-0.55775349281106124</v>
      </c>
      <c r="O60" s="25"/>
      <c r="P60" s="20">
        <f>+P16-P18+P58</f>
        <v>-26463.289999999997</v>
      </c>
      <c r="Q60" s="13"/>
      <c r="R60" s="21">
        <f>IF(P$12=0,0,P60/P$12)</f>
        <v>0</v>
      </c>
      <c r="S60" s="13"/>
      <c r="T60" s="20">
        <f>+T16-T18+T58</f>
        <v>-59459.548999999999</v>
      </c>
      <c r="U60" s="13"/>
      <c r="V60" s="21">
        <f>IF(T$12=0,0,T60/T$12)</f>
        <v>0</v>
      </c>
      <c r="W60" s="16"/>
      <c r="X60" s="20">
        <f>+P60-T60</f>
        <v>32996.259000000005</v>
      </c>
      <c r="Y60" s="16"/>
      <c r="Z60" s="21">
        <f>IF(T60=0,0,X60/T60)</f>
        <v>-0.5549362474982783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2"/>
      <c r="B62" s="10" t="s">
        <v>14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6" t="s">
        <v>4</v>
      </c>
      <c r="C64" s="26"/>
      <c r="D64" s="33">
        <f>+D60-D62</f>
        <v>-7691.3700000000008</v>
      </c>
      <c r="E64" s="13"/>
      <c r="F64" s="34">
        <f>IF(D$12=0,0,D64/D$12)</f>
        <v>0</v>
      </c>
      <c r="G64" s="13"/>
      <c r="H64" s="33">
        <f>+H60-H62</f>
        <v>-17391.590153846155</v>
      </c>
      <c r="I64" s="13"/>
      <c r="J64" s="34">
        <f>IF(H$12=0,0,H64/H$12)</f>
        <v>0</v>
      </c>
      <c r="K64" s="16"/>
      <c r="L64" s="33">
        <f>D64-H64</f>
        <v>9700.2201538461541</v>
      </c>
      <c r="M64" s="16"/>
      <c r="N64" s="34">
        <f>IF(H64=0,0,L64/H64)</f>
        <v>-0.55775349281106124</v>
      </c>
      <c r="O64" s="25"/>
      <c r="P64" s="33">
        <f>+P60-P62</f>
        <v>-26463.289999999997</v>
      </c>
      <c r="Q64" s="13"/>
      <c r="R64" s="34">
        <f>IF(P$12=0,0,P64/P$12)</f>
        <v>0</v>
      </c>
      <c r="S64" s="13"/>
      <c r="T64" s="33">
        <f>+T60-T62</f>
        <v>-59459.548999999999</v>
      </c>
      <c r="U64" s="13"/>
      <c r="V64" s="34">
        <f>IF(T$12=0,0,T64/T$12)</f>
        <v>0</v>
      </c>
      <c r="W64" s="16"/>
      <c r="X64" s="33">
        <f>P64-T64</f>
        <v>32996.259000000005</v>
      </c>
      <c r="Y64" s="16"/>
      <c r="Z64" s="34">
        <f>IF(T64=0,0,X64/T64)</f>
        <v>-0.5549362474982783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5</v>
      </c>
      <c r="C67" s="26"/>
      <c r="D67" s="31">
        <f>SUM(D64:D66)</f>
        <v>-7691.3700000000008</v>
      </c>
      <c r="E67" s="13"/>
      <c r="F67" s="32">
        <f>IF(D$12=0,0,D67/D$12)</f>
        <v>0</v>
      </c>
      <c r="G67" s="13"/>
      <c r="H67" s="31">
        <f>SUM(H64:H66)</f>
        <v>-17391.590153846155</v>
      </c>
      <c r="I67" s="13"/>
      <c r="J67" s="32">
        <f>IF(H$12=0,0,H67/H$12)</f>
        <v>0</v>
      </c>
      <c r="K67" s="16"/>
      <c r="L67" s="31">
        <f>+D67-H67</f>
        <v>9700.2201538461541</v>
      </c>
      <c r="M67" s="16"/>
      <c r="N67" s="32">
        <f>IF(H67=0,0,L67/H67)</f>
        <v>-0.55775349281106124</v>
      </c>
      <c r="O67" s="25"/>
      <c r="P67" s="31">
        <f>SUM(P64:P66)</f>
        <v>-26463.289999999997</v>
      </c>
      <c r="Q67" s="13"/>
      <c r="R67" s="32">
        <f>IF(P$12=0,0,P67/P$12)</f>
        <v>0</v>
      </c>
      <c r="S67" s="13"/>
      <c r="T67" s="31">
        <f>SUM(T64:T66)</f>
        <v>-59459.548999999999</v>
      </c>
      <c r="U67" s="13"/>
      <c r="V67" s="32">
        <f>IF(T$12=0,0,T67/T$12)</f>
        <v>0</v>
      </c>
      <c r="W67" s="16"/>
      <c r="X67" s="31">
        <f>+P67-T67</f>
        <v>32996.259000000005</v>
      </c>
      <c r="Y67" s="16"/>
      <c r="Z67" s="32">
        <f>IF(T67=0,0,X67/T67)</f>
        <v>-0.5549362474982783</v>
      </c>
    </row>
    <row r="68" spans="1:26" ht="15.75" thickTop="1" x14ac:dyDescent="0.25">
      <c r="A68" s="9"/>
      <c r="C68" s="9"/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  <row r="69" spans="1:26" x14ac:dyDescent="0.25">
      <c r="A69" s="9"/>
      <c r="B69" s="55">
        <v>44123.571811886577</v>
      </c>
      <c r="D69" s="17"/>
      <c r="E69" s="17"/>
      <c r="G69" s="17"/>
      <c r="H69" s="17"/>
      <c r="I69" s="17"/>
      <c r="J69" s="43"/>
      <c r="K69" s="17"/>
      <c r="L69" s="17"/>
      <c r="M69" s="17"/>
      <c r="P69" s="17"/>
      <c r="Q69" s="17"/>
      <c r="R69" s="43"/>
      <c r="S69" s="17"/>
      <c r="T69" s="17"/>
      <c r="U69" s="17"/>
      <c r="V69" s="43"/>
      <c r="W69" s="17"/>
      <c r="X69" s="17"/>
    </row>
    <row r="70" spans="1:26" x14ac:dyDescent="0.25">
      <c r="A70" s="9"/>
      <c r="B70" s="53" t="s">
        <v>314</v>
      </c>
      <c r="D70" s="17"/>
      <c r="E70" s="17"/>
      <c r="G70" s="17"/>
      <c r="H70" s="17"/>
      <c r="I70" s="17"/>
      <c r="J70" s="43"/>
      <c r="K70" s="17"/>
      <c r="L70" s="17"/>
      <c r="M70" s="17"/>
      <c r="P70" s="17"/>
      <c r="Q70" s="17"/>
      <c r="R70" s="43"/>
      <c r="S70" s="17"/>
      <c r="T70" s="17"/>
      <c r="U70" s="17"/>
      <c r="V70" s="43"/>
      <c r="W70" s="17"/>
      <c r="X70" s="17"/>
    </row>
    <row r="71" spans="1:26" x14ac:dyDescent="0.25">
      <c r="A71" s="9"/>
      <c r="B71" s="62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2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308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370907.34</v>
      </c>
      <c r="E12" s="4"/>
      <c r="F12" s="12"/>
      <c r="G12" s="4"/>
      <c r="H12" s="4">
        <f>SUM(OSRRefH13x_0)</f>
        <v>1338766</v>
      </c>
      <c r="I12" s="4"/>
      <c r="J12" s="12"/>
      <c r="K12" s="4"/>
      <c r="L12" s="4">
        <f t="shared" ref="L12:L74" si="0">+D12-H12</f>
        <v>-967858.65999999992</v>
      </c>
      <c r="M12" s="4"/>
      <c r="N12" s="12">
        <f t="shared" ref="N12:N74" si="1">IF(H12=0,0,L12/H12)</f>
        <v>-0.72294834198059998</v>
      </c>
      <c r="O12" s="10"/>
      <c r="P12" s="4">
        <f>SUM(OSRRefP13x_0)</f>
        <v>2196487.6999999993</v>
      </c>
      <c r="Q12" s="4"/>
      <c r="R12" s="12"/>
      <c r="S12" s="4"/>
      <c r="T12" s="4">
        <f>SUM(OSRRefT13x_0)</f>
        <v>3639145</v>
      </c>
      <c r="U12" s="4"/>
      <c r="V12" s="12"/>
      <c r="W12" s="4"/>
      <c r="X12" s="4">
        <f t="shared" ref="X12:X74" si="2">+P12-T12</f>
        <v>-1442657.3000000007</v>
      </c>
      <c r="Y12" s="4"/>
      <c r="Z12" s="12">
        <f t="shared" ref="Z12:Z74" si="3">IF(T12=0,0,X12/T12)</f>
        <v>-0.39642753998535391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-8123.23</f>
        <v>-8123.23</v>
      </c>
      <c r="E13" s="2"/>
      <c r="F13" s="22"/>
      <c r="G13" s="2"/>
      <c r="H13" s="2">
        <v>1274643</v>
      </c>
      <c r="I13" s="2"/>
      <c r="J13" s="22"/>
      <c r="K13" s="2"/>
      <c r="L13" s="2">
        <f t="shared" si="0"/>
        <v>-1282766.23</v>
      </c>
      <c r="M13" s="2"/>
      <c r="N13" s="22">
        <f t="shared" si="1"/>
        <v>-1.0063729452089722</v>
      </c>
      <c r="O13" s="11"/>
      <c r="P13" s="2">
        <f>-36077.08</f>
        <v>-36077.08</v>
      </c>
      <c r="Q13" s="2"/>
      <c r="R13" s="22"/>
      <c r="S13" s="2"/>
      <c r="T13" s="2">
        <v>3562396</v>
      </c>
      <c r="U13" s="2"/>
      <c r="V13" s="22"/>
      <c r="W13" s="2"/>
      <c r="X13" s="2">
        <f t="shared" si="2"/>
        <v>-3598473.08</v>
      </c>
      <c r="Y13" s="2"/>
      <c r="Z13" s="22">
        <f t="shared" si="3"/>
        <v>-1.0101271952921573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--110499.32</f>
        <v>110499.32</v>
      </c>
      <c r="E14" s="2"/>
      <c r="F14" s="22"/>
      <c r="G14" s="2"/>
      <c r="H14" s="2"/>
      <c r="I14" s="2"/>
      <c r="J14" s="22"/>
      <c r="K14" s="2"/>
      <c r="L14" s="2">
        <f t="shared" si="0"/>
        <v>110499.32</v>
      </c>
      <c r="M14" s="2"/>
      <c r="N14" s="22">
        <f t="shared" si="1"/>
        <v>0</v>
      </c>
      <c r="O14" s="11"/>
      <c r="P14" s="2">
        <f>--694696.64</f>
        <v>694696.64</v>
      </c>
      <c r="Q14" s="2"/>
      <c r="R14" s="22"/>
      <c r="S14" s="2"/>
      <c r="T14" s="2"/>
      <c r="U14" s="2"/>
      <c r="V14" s="22"/>
      <c r="W14" s="2"/>
      <c r="X14" s="2">
        <f t="shared" si="2"/>
        <v>694696.64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--38043.74</f>
        <v>38043.74</v>
      </c>
      <c r="E15" s="2"/>
      <c r="F15" s="22"/>
      <c r="G15" s="2"/>
      <c r="H15" s="2"/>
      <c r="I15" s="2"/>
      <c r="J15" s="22"/>
      <c r="K15" s="2"/>
      <c r="L15" s="2">
        <f t="shared" si="0"/>
        <v>38043.74</v>
      </c>
      <c r="M15" s="2"/>
      <c r="N15" s="22">
        <f t="shared" si="1"/>
        <v>0</v>
      </c>
      <c r="O15" s="11"/>
      <c r="P15" s="2">
        <f>--316655.9</f>
        <v>316655.90000000002</v>
      </c>
      <c r="Q15" s="2"/>
      <c r="R15" s="22"/>
      <c r="S15" s="2"/>
      <c r="T15" s="2"/>
      <c r="U15" s="2"/>
      <c r="V15" s="22"/>
      <c r="W15" s="2"/>
      <c r="X15" s="2">
        <f t="shared" si="2"/>
        <v>316655.90000000002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22"/>
      <c r="G16" s="2"/>
      <c r="H16" s="2"/>
      <c r="I16" s="2"/>
      <c r="J16" s="22"/>
      <c r="K16" s="2"/>
      <c r="L16" s="2">
        <f t="shared" si="0"/>
        <v>1539.79</v>
      </c>
      <c r="M16" s="2"/>
      <c r="N16" s="22">
        <f t="shared" si="1"/>
        <v>0</v>
      </c>
      <c r="O16" s="11"/>
      <c r="P16" s="2">
        <f>--10595.63</f>
        <v>10595.63</v>
      </c>
      <c r="Q16" s="2"/>
      <c r="R16" s="22"/>
      <c r="S16" s="2"/>
      <c r="T16" s="2"/>
      <c r="U16" s="2"/>
      <c r="V16" s="22"/>
      <c r="W16" s="2"/>
      <c r="X16" s="2">
        <f t="shared" si="2"/>
        <v>10595.63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22"/>
      <c r="G17" s="2"/>
      <c r="H17" s="2"/>
      <c r="I17" s="2"/>
      <c r="J17" s="22"/>
      <c r="K17" s="2"/>
      <c r="L17" s="2">
        <f t="shared" si="0"/>
        <v>284.22000000000003</v>
      </c>
      <c r="M17" s="2"/>
      <c r="N17" s="22">
        <f t="shared" si="1"/>
        <v>0</v>
      </c>
      <c r="O17" s="11"/>
      <c r="P17" s="2">
        <f>--2105.11</f>
        <v>2105.11</v>
      </c>
      <c r="Q17" s="2"/>
      <c r="R17" s="22"/>
      <c r="S17" s="2"/>
      <c r="T17" s="2"/>
      <c r="U17" s="2"/>
      <c r="V17" s="22"/>
      <c r="W17" s="2"/>
      <c r="X17" s="2">
        <f t="shared" si="2"/>
        <v>2105.11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--39.9</f>
        <v>39.9</v>
      </c>
      <c r="Q18" s="2"/>
      <c r="R18" s="22"/>
      <c r="S18" s="2"/>
      <c r="T18" s="2"/>
      <c r="U18" s="2"/>
      <c r="V18" s="22"/>
      <c r="W18" s="2"/>
      <c r="X18" s="2">
        <f t="shared" si="2"/>
        <v>39.9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--97.51</f>
        <v>97.51</v>
      </c>
      <c r="E19" s="2"/>
      <c r="F19" s="22"/>
      <c r="G19" s="2"/>
      <c r="H19" s="2"/>
      <c r="I19" s="2"/>
      <c r="J19" s="22"/>
      <c r="K19" s="2"/>
      <c r="L19" s="2">
        <f t="shared" si="0"/>
        <v>97.51</v>
      </c>
      <c r="M19" s="2"/>
      <c r="N19" s="22">
        <f t="shared" si="1"/>
        <v>0</v>
      </c>
      <c r="O19" s="11"/>
      <c r="P19" s="2">
        <f>--304.44</f>
        <v>304.44</v>
      </c>
      <c r="Q19" s="2"/>
      <c r="R19" s="22"/>
      <c r="S19" s="2"/>
      <c r="T19" s="2"/>
      <c r="U19" s="2"/>
      <c r="V19" s="22"/>
      <c r="W19" s="2"/>
      <c r="X19" s="2">
        <f t="shared" si="2"/>
        <v>304.44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--48.87</f>
        <v>48.87</v>
      </c>
      <c r="E20" s="2"/>
      <c r="F20" s="22"/>
      <c r="G20" s="2"/>
      <c r="H20" s="2"/>
      <c r="I20" s="2"/>
      <c r="J20" s="22"/>
      <c r="K20" s="2"/>
      <c r="L20" s="2">
        <f t="shared" si="0"/>
        <v>48.87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--21.47</f>
        <v>21.47</v>
      </c>
      <c r="E21" s="2"/>
      <c r="F21" s="22"/>
      <c r="G21" s="2"/>
      <c r="H21" s="2"/>
      <c r="I21" s="2"/>
      <c r="J21" s="22"/>
      <c r="K21" s="2"/>
      <c r="L21" s="2">
        <f t="shared" si="0"/>
        <v>21.47</v>
      </c>
      <c r="M21" s="2"/>
      <c r="N21" s="22">
        <f t="shared" si="1"/>
        <v>0</v>
      </c>
      <c r="O21" s="11"/>
      <c r="P21" s="2">
        <f>--258.03</f>
        <v>258.02999999999997</v>
      </c>
      <c r="Q21" s="2"/>
      <c r="R21" s="22"/>
      <c r="S21" s="2"/>
      <c r="T21" s="2"/>
      <c r="U21" s="2"/>
      <c r="V21" s="22"/>
      <c r="W21" s="2"/>
      <c r="X21" s="2">
        <f t="shared" si="2"/>
        <v>258.02999999999997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--10773.55</f>
        <v>10773.55</v>
      </c>
      <c r="E22" s="2"/>
      <c r="F22" s="22"/>
      <c r="G22" s="2"/>
      <c r="H22" s="2"/>
      <c r="I22" s="2"/>
      <c r="J22" s="22"/>
      <c r="K22" s="2"/>
      <c r="L22" s="2">
        <f t="shared" si="0"/>
        <v>10773.55</v>
      </c>
      <c r="M22" s="2"/>
      <c r="N22" s="22">
        <f t="shared" si="1"/>
        <v>0</v>
      </c>
      <c r="O22" s="11"/>
      <c r="P22" s="2">
        <f>--32674.61</f>
        <v>32674.61</v>
      </c>
      <c r="Q22" s="2"/>
      <c r="R22" s="22"/>
      <c r="S22" s="2"/>
      <c r="T22" s="2"/>
      <c r="U22" s="2"/>
      <c r="V22" s="22"/>
      <c r="W22" s="2"/>
      <c r="X22" s="2">
        <f t="shared" si="2"/>
        <v>32674.61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--2807.8</f>
        <v>2807.8</v>
      </c>
      <c r="E23" s="2"/>
      <c r="F23" s="22"/>
      <c r="G23" s="2"/>
      <c r="H23" s="2"/>
      <c r="I23" s="2"/>
      <c r="J23" s="22"/>
      <c r="K23" s="2"/>
      <c r="L23" s="2">
        <f t="shared" si="0"/>
        <v>2807.8</v>
      </c>
      <c r="M23" s="2"/>
      <c r="N23" s="22">
        <f t="shared" si="1"/>
        <v>0</v>
      </c>
      <c r="O23" s="11"/>
      <c r="P23" s="2">
        <f>--12498.9</f>
        <v>12498.9</v>
      </c>
      <c r="Q23" s="2"/>
      <c r="R23" s="22"/>
      <c r="S23" s="2"/>
      <c r="T23" s="2"/>
      <c r="U23" s="2"/>
      <c r="V23" s="22"/>
      <c r="W23" s="2"/>
      <c r="X23" s="2">
        <f t="shared" si="2"/>
        <v>12498.9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--685.9</f>
        <v>685.9</v>
      </c>
      <c r="E24" s="2"/>
      <c r="F24" s="22"/>
      <c r="G24" s="2"/>
      <c r="H24" s="2"/>
      <c r="I24" s="2"/>
      <c r="J24" s="22"/>
      <c r="K24" s="2"/>
      <c r="L24" s="2">
        <f t="shared" si="0"/>
        <v>685.9</v>
      </c>
      <c r="M24" s="2"/>
      <c r="N24" s="22">
        <f t="shared" si="1"/>
        <v>0</v>
      </c>
      <c r="O24" s="11"/>
      <c r="P24" s="2">
        <f>--1238.16</f>
        <v>1238.1600000000001</v>
      </c>
      <c r="Q24" s="2"/>
      <c r="R24" s="22"/>
      <c r="S24" s="2"/>
      <c r="T24" s="2"/>
      <c r="U24" s="2"/>
      <c r="V24" s="22"/>
      <c r="W24" s="2"/>
      <c r="X24" s="2">
        <f t="shared" si="2"/>
        <v>1238.1600000000001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"4032", " - ", "TAXABLE SALES-JUICE")</f>
        <v xml:space="preserve">          4032 - TAXABLE SALES-JUICE</v>
      </c>
      <c r="C25" s="11"/>
      <c r="D25" s="2">
        <f>--356.39</f>
        <v>356.39</v>
      </c>
      <c r="E25" s="2"/>
      <c r="F25" s="22"/>
      <c r="G25" s="2"/>
      <c r="H25" s="2"/>
      <c r="I25" s="2"/>
      <c r="J25" s="22"/>
      <c r="K25" s="2"/>
      <c r="L25" s="2">
        <f t="shared" si="0"/>
        <v>356.39</v>
      </c>
      <c r="M25" s="2"/>
      <c r="N25" s="22">
        <f t="shared" si="1"/>
        <v>0</v>
      </c>
      <c r="O25" s="11"/>
      <c r="P25" s="2">
        <f>--444.59</f>
        <v>444.59</v>
      </c>
      <c r="Q25" s="2"/>
      <c r="R25" s="22"/>
      <c r="S25" s="2"/>
      <c r="T25" s="2"/>
      <c r="U25" s="2"/>
      <c r="V25" s="22"/>
      <c r="W25" s="2"/>
      <c r="X25" s="2">
        <f t="shared" si="2"/>
        <v>444.59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"4034", " - ", "TAXABLE SALES-SODA")</f>
        <v xml:space="preserve">          4034 - TAXABLE SALES-SODA</v>
      </c>
      <c r="C26" s="11"/>
      <c r="D26" s="2">
        <f>0</f>
        <v>0</v>
      </c>
      <c r="E26" s="2"/>
      <c r="F26" s="22"/>
      <c r="G26" s="2"/>
      <c r="H26" s="2"/>
      <c r="I26" s="2"/>
      <c r="J26" s="22"/>
      <c r="K26" s="2"/>
      <c r="L26" s="2">
        <f t="shared" si="0"/>
        <v>0</v>
      </c>
      <c r="M26" s="2"/>
      <c r="N26" s="22">
        <f t="shared" si="1"/>
        <v>0</v>
      </c>
      <c r="O26" s="11"/>
      <c r="P26" s="2">
        <f>--6.78</f>
        <v>6.78</v>
      </c>
      <c r="Q26" s="2"/>
      <c r="R26" s="22"/>
      <c r="S26" s="2"/>
      <c r="T26" s="2"/>
      <c r="U26" s="2"/>
      <c r="V26" s="22"/>
      <c r="W26" s="2"/>
      <c r="X26" s="2">
        <f t="shared" si="2"/>
        <v>6.78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"4040", " - ", "TAXABLE SALES-LOGO CLOTHING")</f>
        <v xml:space="preserve">          4040 - TAXABLE SALES-LOGO CLOTHING</v>
      </c>
      <c r="C27" s="11"/>
      <c r="D27" s="2">
        <f>--78841.84</f>
        <v>78841.84</v>
      </c>
      <c r="E27" s="2"/>
      <c r="F27" s="22"/>
      <c r="G27" s="2"/>
      <c r="H27" s="2"/>
      <c r="I27" s="2"/>
      <c r="J27" s="22"/>
      <c r="K27" s="2"/>
      <c r="L27" s="2">
        <f t="shared" si="0"/>
        <v>78841.84</v>
      </c>
      <c r="M27" s="2"/>
      <c r="N27" s="22">
        <f t="shared" si="1"/>
        <v>0</v>
      </c>
      <c r="O27" s="11"/>
      <c r="P27" s="2">
        <f>--328420.19</f>
        <v>328420.19</v>
      </c>
      <c r="Q27" s="2"/>
      <c r="R27" s="22"/>
      <c r="S27" s="2"/>
      <c r="T27" s="2"/>
      <c r="U27" s="2"/>
      <c r="V27" s="22"/>
      <c r="W27" s="2"/>
      <c r="X27" s="2">
        <f t="shared" si="2"/>
        <v>328420.19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"4041", " - ", "TAXABLE SALES-LOGO GIFTS")</f>
        <v xml:space="preserve">          4041 - TAXABLE SALES-LOGO GIFTS</v>
      </c>
      <c r="C28" s="11"/>
      <c r="D28" s="2">
        <f>--27724.06</f>
        <v>27724.06</v>
      </c>
      <c r="E28" s="2"/>
      <c r="F28" s="22"/>
      <c r="G28" s="2"/>
      <c r="H28" s="2"/>
      <c r="I28" s="2"/>
      <c r="J28" s="22"/>
      <c r="K28" s="2"/>
      <c r="L28" s="2">
        <f t="shared" si="0"/>
        <v>27724.06</v>
      </c>
      <c r="M28" s="2"/>
      <c r="N28" s="22">
        <f t="shared" si="1"/>
        <v>0</v>
      </c>
      <c r="O28" s="11"/>
      <c r="P28" s="2">
        <f>--131033.62</f>
        <v>131033.62</v>
      </c>
      <c r="Q28" s="2"/>
      <c r="R28" s="22"/>
      <c r="S28" s="2"/>
      <c r="T28" s="2"/>
      <c r="U28" s="2"/>
      <c r="V28" s="22"/>
      <c r="W28" s="2"/>
      <c r="X28" s="2">
        <f t="shared" si="2"/>
        <v>131033.62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"4042", " - ", "TAXABLE SALES-EVERYDAY GIFTS")</f>
        <v xml:space="preserve">          4042 - TAXABLE SALES-EVERYDAY GIFTS</v>
      </c>
      <c r="C29" s="11"/>
      <c r="D29" s="2">
        <f>--8004.46</f>
        <v>8004.46</v>
      </c>
      <c r="E29" s="2"/>
      <c r="F29" s="22"/>
      <c r="G29" s="2"/>
      <c r="H29" s="2"/>
      <c r="I29" s="2"/>
      <c r="J29" s="22"/>
      <c r="K29" s="2"/>
      <c r="L29" s="2">
        <f t="shared" si="0"/>
        <v>8004.46</v>
      </c>
      <c r="M29" s="2"/>
      <c r="N29" s="22">
        <f t="shared" si="1"/>
        <v>0</v>
      </c>
      <c r="O29" s="11"/>
      <c r="P29" s="2">
        <f>--47929.5</f>
        <v>47929.5</v>
      </c>
      <c r="Q29" s="2"/>
      <c r="R29" s="22"/>
      <c r="S29" s="2"/>
      <c r="T29" s="2"/>
      <c r="U29" s="2"/>
      <c r="V29" s="22"/>
      <c r="W29" s="2"/>
      <c r="X29" s="2">
        <f t="shared" si="2"/>
        <v>47929.5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"4043", " - ", "TAXABLE SALES-CARDS")</f>
        <v xml:space="preserve">          4043 - TAXABLE SALES-CARDS</v>
      </c>
      <c r="C30" s="11"/>
      <c r="D30" s="2">
        <f>--2805.53</f>
        <v>2805.53</v>
      </c>
      <c r="E30" s="2"/>
      <c r="F30" s="22"/>
      <c r="G30" s="2"/>
      <c r="H30" s="2"/>
      <c r="I30" s="2"/>
      <c r="J30" s="22"/>
      <c r="K30" s="2"/>
      <c r="L30" s="2">
        <f t="shared" si="0"/>
        <v>2805.53</v>
      </c>
      <c r="M30" s="2"/>
      <c r="N30" s="22">
        <f t="shared" si="1"/>
        <v>0</v>
      </c>
      <c r="O30" s="11"/>
      <c r="P30" s="2">
        <f>--9791.16</f>
        <v>9791.16</v>
      </c>
      <c r="Q30" s="2"/>
      <c r="R30" s="22"/>
      <c r="S30" s="2"/>
      <c r="T30" s="2"/>
      <c r="U30" s="2"/>
      <c r="V30" s="22"/>
      <c r="W30" s="2"/>
      <c r="X30" s="2">
        <f t="shared" si="2"/>
        <v>9791.16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"4044", " - ", "TAXABLE SALES-ACCESSORIES")</f>
        <v xml:space="preserve">          4044 - TAXABLE SALES-ACCESSORIES</v>
      </c>
      <c r="C31" s="11"/>
      <c r="D31" s="2">
        <f>--2962.32</f>
        <v>2962.32</v>
      </c>
      <c r="E31" s="2"/>
      <c r="F31" s="22"/>
      <c r="G31" s="2"/>
      <c r="H31" s="2"/>
      <c r="I31" s="2"/>
      <c r="J31" s="22"/>
      <c r="K31" s="2"/>
      <c r="L31" s="2">
        <f t="shared" si="0"/>
        <v>2962.32</v>
      </c>
      <c r="M31" s="2"/>
      <c r="N31" s="22">
        <f t="shared" si="1"/>
        <v>0</v>
      </c>
      <c r="O31" s="11"/>
      <c r="P31" s="2">
        <f>--11331.52</f>
        <v>11331.52</v>
      </c>
      <c r="Q31" s="2"/>
      <c r="R31" s="22"/>
      <c r="S31" s="2"/>
      <c r="T31" s="2"/>
      <c r="U31" s="2"/>
      <c r="V31" s="22"/>
      <c r="W31" s="2"/>
      <c r="X31" s="2">
        <f t="shared" si="2"/>
        <v>11331.52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"4045", " - ", "TAXABLE SALES-SPECIAL ORDERS")</f>
        <v xml:space="preserve">          4045 - TAXABLE SALES-SPECIAL ORDERS</v>
      </c>
      <c r="C32" s="11"/>
      <c r="D32" s="2">
        <f>--2575.36</f>
        <v>2575.36</v>
      </c>
      <c r="E32" s="2"/>
      <c r="F32" s="22"/>
      <c r="G32" s="2"/>
      <c r="H32" s="2"/>
      <c r="I32" s="2"/>
      <c r="J32" s="22"/>
      <c r="K32" s="2"/>
      <c r="L32" s="2">
        <f t="shared" si="0"/>
        <v>2575.36</v>
      </c>
      <c r="M32" s="2"/>
      <c r="N32" s="22">
        <f t="shared" si="1"/>
        <v>0</v>
      </c>
      <c r="O32" s="11"/>
      <c r="P32" s="2">
        <f>--92006.44</f>
        <v>92006.44</v>
      </c>
      <c r="Q32" s="2"/>
      <c r="R32" s="22"/>
      <c r="S32" s="2"/>
      <c r="T32" s="2"/>
      <c r="U32" s="2"/>
      <c r="V32" s="22"/>
      <c r="W32" s="2"/>
      <c r="X32" s="2">
        <f t="shared" si="2"/>
        <v>92006.44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"4081", " - ", "TAXABLE SALES-ELECTRONICS")</f>
        <v xml:space="preserve">          4081 - TAXABLE SALES-ELECTRONICS</v>
      </c>
      <c r="C33" s="11"/>
      <c r="D33" s="2">
        <f>--71.95</f>
        <v>71.95</v>
      </c>
      <c r="E33" s="2"/>
      <c r="F33" s="22"/>
      <c r="G33" s="2"/>
      <c r="H33" s="2"/>
      <c r="I33" s="2"/>
      <c r="J33" s="22"/>
      <c r="K33" s="2"/>
      <c r="L33" s="2">
        <f t="shared" si="0"/>
        <v>71.95</v>
      </c>
      <c r="M33" s="2"/>
      <c r="N33" s="22">
        <f t="shared" si="1"/>
        <v>0</v>
      </c>
      <c r="O33" s="11"/>
      <c r="P33" s="2">
        <f>--71.95</f>
        <v>71.95</v>
      </c>
      <c r="Q33" s="2"/>
      <c r="R33" s="22"/>
      <c r="S33" s="2"/>
      <c r="T33" s="2"/>
      <c r="U33" s="2"/>
      <c r="V33" s="22"/>
      <c r="W33" s="2"/>
      <c r="X33" s="2">
        <f t="shared" si="2"/>
        <v>71.95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--9.99</f>
        <v>9.99</v>
      </c>
      <c r="E34" s="2"/>
      <c r="F34" s="22"/>
      <c r="G34" s="2"/>
      <c r="H34" s="2"/>
      <c r="I34" s="2"/>
      <c r="J34" s="22"/>
      <c r="K34" s="2"/>
      <c r="L34" s="2">
        <f t="shared" si="0"/>
        <v>9.99</v>
      </c>
      <c r="M34" s="2"/>
      <c r="N34" s="22">
        <f t="shared" si="1"/>
        <v>0</v>
      </c>
      <c r="O34" s="11"/>
      <c r="P34" s="2">
        <f>--9.99</f>
        <v>9.99</v>
      </c>
      <c r="Q34" s="2"/>
      <c r="R34" s="22"/>
      <c r="S34" s="2"/>
      <c r="T34" s="2"/>
      <c r="U34" s="2"/>
      <c r="V34" s="22"/>
      <c r="W34" s="2"/>
      <c r="X34" s="2">
        <f t="shared" si="2"/>
        <v>9.99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"4100", " - ", "NON-TAXABLE SALES")</f>
        <v xml:space="preserve">          4100 - NON-TAXABLE SALES</v>
      </c>
      <c r="C35" s="11"/>
      <c r="D35" s="2">
        <f>--10945.69</f>
        <v>10945.69</v>
      </c>
      <c r="E35" s="2"/>
      <c r="F35" s="22"/>
      <c r="G35" s="2"/>
      <c r="H35" s="2">
        <v>64123.000000000007</v>
      </c>
      <c r="I35" s="2"/>
      <c r="J35" s="22"/>
      <c r="K35" s="2"/>
      <c r="L35" s="2">
        <f t="shared" si="0"/>
        <v>-53177.310000000005</v>
      </c>
      <c r="M35" s="2"/>
      <c r="N35" s="22">
        <f t="shared" si="1"/>
        <v>-0.82930165463250316</v>
      </c>
      <c r="O35" s="11"/>
      <c r="P35" s="2">
        <f>--164344.02</f>
        <v>164344.01999999999</v>
      </c>
      <c r="Q35" s="2"/>
      <c r="R35" s="22"/>
      <c r="S35" s="2"/>
      <c r="T35" s="2">
        <v>76749</v>
      </c>
      <c r="U35" s="2"/>
      <c r="V35" s="22"/>
      <c r="W35" s="2"/>
      <c r="X35" s="2">
        <f t="shared" si="2"/>
        <v>87595.01999999999</v>
      </c>
      <c r="Y35" s="2"/>
      <c r="Z35" s="22">
        <f t="shared" si="3"/>
        <v>1.1413180627760622</v>
      </c>
    </row>
    <row r="36" spans="1:26" s="24" customFormat="1" hidden="1" outlineLevel="1" x14ac:dyDescent="0.25">
      <c r="A36" s="51"/>
      <c r="B36" s="11" t="str">
        <f>CONCATENATE("          ", "4101", " - ", "NON-TAXABLE SALES-NEW TEXT")</f>
        <v xml:space="preserve">          4101 - NON-TAXABLE SALES-NEW TEXT</v>
      </c>
      <c r="C36" s="11"/>
      <c r="D36" s="2">
        <f>--18824.16</f>
        <v>18824.16</v>
      </c>
      <c r="E36" s="2"/>
      <c r="F36" s="22"/>
      <c r="G36" s="2"/>
      <c r="H36" s="2"/>
      <c r="I36" s="2"/>
      <c r="J36" s="22"/>
      <c r="K36" s="2"/>
      <c r="L36" s="2">
        <f t="shared" si="0"/>
        <v>18824.16</v>
      </c>
      <c r="M36" s="2"/>
      <c r="N36" s="22">
        <f t="shared" si="1"/>
        <v>0</v>
      </c>
      <c r="O36" s="11"/>
      <c r="P36" s="2">
        <f>--70404.84</f>
        <v>70404.84</v>
      </c>
      <c r="Q36" s="2"/>
      <c r="R36" s="22"/>
      <c r="S36" s="2"/>
      <c r="T36" s="2"/>
      <c r="U36" s="2"/>
      <c r="V36" s="22"/>
      <c r="W36" s="2"/>
      <c r="X36" s="2">
        <f t="shared" si="2"/>
        <v>70404.84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"4102", " - ", "NON-TAXABLE SALES-USED TEXT")</f>
        <v xml:space="preserve">          4102 - NON-TAXABLE SALES-USED TEXT</v>
      </c>
      <c r="C37" s="11"/>
      <c r="D37" s="2">
        <f>--8807.08</f>
        <v>8807.08</v>
      </c>
      <c r="E37" s="2"/>
      <c r="F37" s="22"/>
      <c r="G37" s="2"/>
      <c r="H37" s="2"/>
      <c r="I37" s="2"/>
      <c r="J37" s="22"/>
      <c r="K37" s="2"/>
      <c r="L37" s="2">
        <f t="shared" si="0"/>
        <v>8807.08</v>
      </c>
      <c r="M37" s="2"/>
      <c r="N37" s="22">
        <f t="shared" si="1"/>
        <v>0</v>
      </c>
      <c r="O37" s="11"/>
      <c r="P37" s="2">
        <f>--30370.82</f>
        <v>30370.82</v>
      </c>
      <c r="Q37" s="2"/>
      <c r="R37" s="22"/>
      <c r="S37" s="2"/>
      <c r="T37" s="2"/>
      <c r="U37" s="2"/>
      <c r="V37" s="22"/>
      <c r="W37" s="2"/>
      <c r="X37" s="2">
        <f t="shared" si="2"/>
        <v>30370.82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"4103", " - ", "NON-TAXABLE SALES-RENTAL TEXT")</f>
        <v xml:space="preserve">          4103 - NON-TAXABLE SALES-RENTAL TEXT</v>
      </c>
      <c r="C38" s="11"/>
      <c r="D38" s="2">
        <f>--284.97</f>
        <v>284.97000000000003</v>
      </c>
      <c r="E38" s="2"/>
      <c r="F38" s="22"/>
      <c r="G38" s="2"/>
      <c r="H38" s="2"/>
      <c r="I38" s="2"/>
      <c r="J38" s="22"/>
      <c r="K38" s="2"/>
      <c r="L38" s="2">
        <f t="shared" si="0"/>
        <v>284.97000000000003</v>
      </c>
      <c r="M38" s="2"/>
      <c r="N38" s="22">
        <f t="shared" si="1"/>
        <v>0</v>
      </c>
      <c r="O38" s="11"/>
      <c r="P38" s="2">
        <f>--284.97</f>
        <v>284.97000000000003</v>
      </c>
      <c r="Q38" s="2"/>
      <c r="R38" s="22"/>
      <c r="S38" s="2"/>
      <c r="T38" s="2"/>
      <c r="U38" s="2"/>
      <c r="V38" s="22"/>
      <c r="W38" s="2"/>
      <c r="X38" s="2">
        <f t="shared" si="2"/>
        <v>284.97000000000003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"4104", " - ", "NON-TAXABLE SALES-DIGITAL TEXT")</f>
        <v xml:space="preserve">          4104 - NON-TAXABLE SALES-DIGITAL TEXT</v>
      </c>
      <c r="C39" s="11"/>
      <c r="D39" s="2">
        <f>--73817.67</f>
        <v>73817.67</v>
      </c>
      <c r="E39" s="2"/>
      <c r="F39" s="22"/>
      <c r="G39" s="2"/>
      <c r="H39" s="2"/>
      <c r="I39" s="2"/>
      <c r="J39" s="22"/>
      <c r="K39" s="2"/>
      <c r="L39" s="2">
        <f t="shared" si="0"/>
        <v>73817.67</v>
      </c>
      <c r="M39" s="2"/>
      <c r="N39" s="22">
        <f t="shared" si="1"/>
        <v>0</v>
      </c>
      <c r="O39" s="11"/>
      <c r="P39" s="2">
        <f>--286707.85</f>
        <v>286707.84999999998</v>
      </c>
      <c r="Q39" s="2"/>
      <c r="R39" s="22"/>
      <c r="S39" s="2"/>
      <c r="T39" s="2"/>
      <c r="U39" s="2"/>
      <c r="V39" s="22"/>
      <c r="W39" s="2"/>
      <c r="X39" s="2">
        <f t="shared" si="2"/>
        <v>286707.84999999998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"4118", " - ", "NON-TAXABLE SALES-STUDY GUIDES")</f>
        <v xml:space="preserve">          4118 - NON-TAXABLE SALES-STUDY GUIDES</v>
      </c>
      <c r="C40" s="11"/>
      <c r="D40" s="2">
        <f>--6.5</f>
        <v>6.5</v>
      </c>
      <c r="E40" s="2"/>
      <c r="F40" s="22"/>
      <c r="G40" s="2"/>
      <c r="H40" s="2"/>
      <c r="I40" s="2"/>
      <c r="J40" s="22"/>
      <c r="K40" s="2"/>
      <c r="L40" s="2">
        <f t="shared" si="0"/>
        <v>6.5</v>
      </c>
      <c r="M40" s="2"/>
      <c r="N40" s="22">
        <f t="shared" si="1"/>
        <v>0</v>
      </c>
      <c r="O40" s="11"/>
      <c r="P40" s="2">
        <f>--108.33</f>
        <v>108.33</v>
      </c>
      <c r="Q40" s="2"/>
      <c r="R40" s="22"/>
      <c r="S40" s="2"/>
      <c r="T40" s="2"/>
      <c r="U40" s="2"/>
      <c r="V40" s="22"/>
      <c r="W40" s="2"/>
      <c r="X40" s="2">
        <f t="shared" si="2"/>
        <v>108.33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"4126", " - ", "NON-TAXABLE SALES-WRITING INST")</f>
        <v xml:space="preserve">          4126 - NON-TAXABLE SALES-WRITING INST</v>
      </c>
      <c r="C41" s="11"/>
      <c r="D41" s="2">
        <f>0</f>
        <v>0</v>
      </c>
      <c r="E41" s="2"/>
      <c r="F41" s="22"/>
      <c r="G41" s="2"/>
      <c r="H41" s="2"/>
      <c r="I41" s="2"/>
      <c r="J41" s="22"/>
      <c r="K41" s="2"/>
      <c r="L41" s="2">
        <f t="shared" si="0"/>
        <v>0</v>
      </c>
      <c r="M41" s="2"/>
      <c r="N41" s="22">
        <f t="shared" si="1"/>
        <v>0</v>
      </c>
      <c r="O41" s="11"/>
      <c r="P41" s="2">
        <f>--52.68</f>
        <v>52.68</v>
      </c>
      <c r="Q41" s="2"/>
      <c r="R41" s="22"/>
      <c r="S41" s="2"/>
      <c r="T41" s="2"/>
      <c r="U41" s="2"/>
      <c r="V41" s="22"/>
      <c r="W41" s="2"/>
      <c r="X41" s="2">
        <f t="shared" si="2"/>
        <v>52.68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"4127", " - ", "NON-TAXABLE SALES-SCHOOL SUPPL")</f>
        <v xml:space="preserve">          4127 - NON-TAXABLE SALES-SCHOOL SUPPL</v>
      </c>
      <c r="C42" s="11"/>
      <c r="D42" s="2">
        <f>--810.33</f>
        <v>810.33</v>
      </c>
      <c r="E42" s="2"/>
      <c r="F42" s="22"/>
      <c r="G42" s="2"/>
      <c r="H42" s="2"/>
      <c r="I42" s="2"/>
      <c r="J42" s="22"/>
      <c r="K42" s="2"/>
      <c r="L42" s="2">
        <f t="shared" si="0"/>
        <v>810.33</v>
      </c>
      <c r="M42" s="2"/>
      <c r="N42" s="22">
        <f t="shared" si="1"/>
        <v>0</v>
      </c>
      <c r="O42" s="11"/>
      <c r="P42" s="2">
        <f>--2670.74</f>
        <v>2670.74</v>
      </c>
      <c r="Q42" s="2"/>
      <c r="R42" s="22"/>
      <c r="S42" s="2"/>
      <c r="T42" s="2"/>
      <c r="U42" s="2"/>
      <c r="V42" s="22"/>
      <c r="W42" s="2"/>
      <c r="X42" s="2">
        <f t="shared" si="2"/>
        <v>2670.74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"4131", " - ", "NON-TAXABLE SALES-FOOD")</f>
        <v xml:space="preserve">          4131 - NON-TAXABLE SALES-FOOD</v>
      </c>
      <c r="C43" s="11"/>
      <c r="D43" s="2">
        <f>--2168.74</f>
        <v>2168.7399999999998</v>
      </c>
      <c r="E43" s="2"/>
      <c r="F43" s="22"/>
      <c r="G43" s="2"/>
      <c r="H43" s="2"/>
      <c r="I43" s="2"/>
      <c r="J43" s="22"/>
      <c r="K43" s="2"/>
      <c r="L43" s="2">
        <f t="shared" si="0"/>
        <v>2168.7399999999998</v>
      </c>
      <c r="M43" s="2"/>
      <c r="N43" s="22">
        <f t="shared" si="1"/>
        <v>0</v>
      </c>
      <c r="O43" s="11"/>
      <c r="P43" s="2">
        <f>--4003.96</f>
        <v>4003.96</v>
      </c>
      <c r="Q43" s="2"/>
      <c r="R43" s="22"/>
      <c r="S43" s="2"/>
      <c r="T43" s="2"/>
      <c r="U43" s="2"/>
      <c r="V43" s="22"/>
      <c r="W43" s="2"/>
      <c r="X43" s="2">
        <f t="shared" si="2"/>
        <v>4003.96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"4132", " - ", "NON-TAXABLE SALES-JUICE")</f>
        <v xml:space="preserve">          4132 - NON-TAXABLE SALES-JUICE</v>
      </c>
      <c r="C44" s="11"/>
      <c r="D44" s="2">
        <f>--1406.08</f>
        <v>1406.08</v>
      </c>
      <c r="E44" s="2"/>
      <c r="F44" s="22"/>
      <c r="G44" s="2"/>
      <c r="H44" s="2"/>
      <c r="I44" s="2"/>
      <c r="J44" s="22"/>
      <c r="K44" s="2"/>
      <c r="L44" s="2">
        <f t="shared" si="0"/>
        <v>1406.08</v>
      </c>
      <c r="M44" s="2"/>
      <c r="N44" s="22">
        <f t="shared" si="1"/>
        <v>0</v>
      </c>
      <c r="O44" s="11"/>
      <c r="P44" s="2">
        <f>--2054.37</f>
        <v>2054.37</v>
      </c>
      <c r="Q44" s="2"/>
      <c r="R44" s="22"/>
      <c r="S44" s="2"/>
      <c r="T44" s="2"/>
      <c r="U44" s="2"/>
      <c r="V44" s="22"/>
      <c r="W44" s="2"/>
      <c r="X44" s="2">
        <f t="shared" si="2"/>
        <v>2054.37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"4133", " - ", "NON-TAXABLE SALES-CANDY")</f>
        <v xml:space="preserve">          4133 - NON-TAXABLE SALES-CANDY</v>
      </c>
      <c r="C45" s="11"/>
      <c r="D45" s="2">
        <f t="shared" ref="D45:D47" si="4">0</f>
        <v>0</v>
      </c>
      <c r="E45" s="2"/>
      <c r="F45" s="22"/>
      <c r="G45" s="2"/>
      <c r="H45" s="2"/>
      <c r="I45" s="2"/>
      <c r="J45" s="22"/>
      <c r="K45" s="2"/>
      <c r="L45" s="2">
        <f t="shared" si="0"/>
        <v>0</v>
      </c>
      <c r="M45" s="2"/>
      <c r="N45" s="22">
        <f t="shared" si="1"/>
        <v>0</v>
      </c>
      <c r="O45" s="11"/>
      <c r="P45" s="2">
        <f>--80.71</f>
        <v>80.709999999999994</v>
      </c>
      <c r="Q45" s="2"/>
      <c r="R45" s="22"/>
      <c r="S45" s="2"/>
      <c r="T45" s="2"/>
      <c r="U45" s="2"/>
      <c r="V45" s="22"/>
      <c r="W45" s="2"/>
      <c r="X45" s="2">
        <f t="shared" si="2"/>
        <v>80.709999999999994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"4134", " - ", "NON-TAXABLE SALES-SODA")</f>
        <v xml:space="preserve">          4134 - NON-TAXABLE SALES-SODA</v>
      </c>
      <c r="C46" s="11"/>
      <c r="D46" s="2">
        <f t="shared" si="4"/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--45.53</f>
        <v>45.53</v>
      </c>
      <c r="Q46" s="2"/>
      <c r="R46" s="22"/>
      <c r="S46" s="2"/>
      <c r="T46" s="2"/>
      <c r="U46" s="2"/>
      <c r="V46" s="22"/>
      <c r="W46" s="2"/>
      <c r="X46" s="2">
        <f t="shared" si="2"/>
        <v>45.53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"4137", " - ", "NON-TAXABLE SALES-WATER")</f>
        <v xml:space="preserve">          4137 - NON-TAXABLE SALES-WATER</v>
      </c>
      <c r="C47" s="11"/>
      <c r="D47" s="2">
        <f t="shared" si="4"/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--68.25</f>
        <v>68.25</v>
      </c>
      <c r="Q47" s="2"/>
      <c r="R47" s="22"/>
      <c r="S47" s="2"/>
      <c r="T47" s="2"/>
      <c r="U47" s="2"/>
      <c r="V47" s="22"/>
      <c r="W47" s="2"/>
      <c r="X47" s="2">
        <f t="shared" si="2"/>
        <v>68.25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"4140", " - ", "NON-TAXABLE SALES-LOGO CLOTHIN")</f>
        <v xml:space="preserve">          4140 - NON-TAXABLE SALES-LOGO CLOTHIN</v>
      </c>
      <c r="C48" s="11"/>
      <c r="D48" s="2">
        <f>--3339.7</f>
        <v>3339.7</v>
      </c>
      <c r="E48" s="2"/>
      <c r="F48" s="22"/>
      <c r="G48" s="2"/>
      <c r="H48" s="2"/>
      <c r="I48" s="2"/>
      <c r="J48" s="22"/>
      <c r="K48" s="2"/>
      <c r="L48" s="2">
        <f t="shared" si="0"/>
        <v>3339.7</v>
      </c>
      <c r="M48" s="2"/>
      <c r="N48" s="22">
        <f t="shared" si="1"/>
        <v>0</v>
      </c>
      <c r="O48" s="11"/>
      <c r="P48" s="2">
        <f>--17452.44</f>
        <v>17452.439999999999</v>
      </c>
      <c r="Q48" s="2"/>
      <c r="R48" s="22"/>
      <c r="S48" s="2"/>
      <c r="T48" s="2"/>
      <c r="U48" s="2"/>
      <c r="V48" s="22"/>
      <c r="W48" s="2"/>
      <c r="X48" s="2">
        <f t="shared" si="2"/>
        <v>17452.439999999999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"4141", " - ", "NON-TAXABLE SALES-LOGO GIFTS")</f>
        <v xml:space="preserve">          4141 - NON-TAXABLE SALES-LOGO GIFTS</v>
      </c>
      <c r="C49" s="11"/>
      <c r="D49" s="2">
        <f>--555.74</f>
        <v>555.74</v>
      </c>
      <c r="E49" s="2"/>
      <c r="F49" s="22"/>
      <c r="G49" s="2"/>
      <c r="H49" s="2"/>
      <c r="I49" s="2"/>
      <c r="J49" s="22"/>
      <c r="K49" s="2"/>
      <c r="L49" s="2">
        <f t="shared" si="0"/>
        <v>555.74</v>
      </c>
      <c r="M49" s="2"/>
      <c r="N49" s="22">
        <f t="shared" si="1"/>
        <v>0</v>
      </c>
      <c r="O49" s="11"/>
      <c r="P49" s="2">
        <f>--2944.99</f>
        <v>2944.99</v>
      </c>
      <c r="Q49" s="2"/>
      <c r="R49" s="22"/>
      <c r="S49" s="2"/>
      <c r="T49" s="2"/>
      <c r="U49" s="2"/>
      <c r="V49" s="22"/>
      <c r="W49" s="2"/>
      <c r="X49" s="2">
        <f t="shared" si="2"/>
        <v>2944.99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"4142", " - ", "NON-TAXABLE SALES-EVERYDAY GIF")</f>
        <v xml:space="preserve">          4142 - NON-TAXABLE SALES-EVERYDAY GIF</v>
      </c>
      <c r="C50" s="11"/>
      <c r="D50" s="2">
        <f>--30.16</f>
        <v>30.16</v>
      </c>
      <c r="E50" s="2"/>
      <c r="F50" s="22"/>
      <c r="G50" s="2"/>
      <c r="H50" s="2"/>
      <c r="I50" s="2"/>
      <c r="J50" s="22"/>
      <c r="K50" s="2"/>
      <c r="L50" s="2">
        <f t="shared" si="0"/>
        <v>30.16</v>
      </c>
      <c r="M50" s="2"/>
      <c r="N50" s="22">
        <f t="shared" si="1"/>
        <v>0</v>
      </c>
      <c r="O50" s="11"/>
      <c r="P50" s="2">
        <f>--1009.73</f>
        <v>1009.73</v>
      </c>
      <c r="Q50" s="2"/>
      <c r="R50" s="22"/>
      <c r="S50" s="2"/>
      <c r="T50" s="2"/>
      <c r="U50" s="2"/>
      <c r="V50" s="22"/>
      <c r="W50" s="2"/>
      <c r="X50" s="2">
        <f t="shared" si="2"/>
        <v>1009.73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"4143", " - ", "NON-TAXABLE SALES-CARDS")</f>
        <v xml:space="preserve">          4143 - NON-TAXABLE SALES-CARDS</v>
      </c>
      <c r="C51" s="11"/>
      <c r="D51" s="2">
        <f>0</f>
        <v>0</v>
      </c>
      <c r="E51" s="2"/>
      <c r="F51" s="22"/>
      <c r="G51" s="2"/>
      <c r="H51" s="2"/>
      <c r="I51" s="2"/>
      <c r="J51" s="22"/>
      <c r="K51" s="2"/>
      <c r="L51" s="2">
        <f t="shared" si="0"/>
        <v>0</v>
      </c>
      <c r="M51" s="2"/>
      <c r="N51" s="22">
        <f t="shared" si="1"/>
        <v>0</v>
      </c>
      <c r="O51" s="11"/>
      <c r="P51" s="2">
        <f>--19.98</f>
        <v>19.98</v>
      </c>
      <c r="Q51" s="2"/>
      <c r="R51" s="22"/>
      <c r="S51" s="2"/>
      <c r="T51" s="2"/>
      <c r="U51" s="2"/>
      <c r="V51" s="22"/>
      <c r="W51" s="2"/>
      <c r="X51" s="2">
        <f t="shared" si="2"/>
        <v>19.98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"4144", " - ", "NON-TAXABLE SALES-ACCESSORIES")</f>
        <v xml:space="preserve">          4144 - NON-TAXABLE SALES-ACCESSORIES</v>
      </c>
      <c r="C52" s="11"/>
      <c r="D52" s="2">
        <f>--59.95</f>
        <v>59.95</v>
      </c>
      <c r="E52" s="2"/>
      <c r="F52" s="22"/>
      <c r="G52" s="2"/>
      <c r="H52" s="2"/>
      <c r="I52" s="2"/>
      <c r="J52" s="22"/>
      <c r="K52" s="2"/>
      <c r="L52" s="2">
        <f t="shared" si="0"/>
        <v>59.95</v>
      </c>
      <c r="M52" s="2"/>
      <c r="N52" s="22">
        <f t="shared" si="1"/>
        <v>0</v>
      </c>
      <c r="O52" s="11"/>
      <c r="P52" s="2">
        <f>--215.75</f>
        <v>215.75</v>
      </c>
      <c r="Q52" s="2"/>
      <c r="R52" s="22"/>
      <c r="S52" s="2"/>
      <c r="T52" s="2"/>
      <c r="U52" s="2"/>
      <c r="V52" s="22"/>
      <c r="W52" s="2"/>
      <c r="X52" s="2">
        <f t="shared" si="2"/>
        <v>215.75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"4145", " - ", "NON-TAXABLE SALES-SPECIAL ORDE")</f>
        <v xml:space="preserve">          4145 - NON-TAXABLE SALES-SPECIAL ORDE</v>
      </c>
      <c r="C53" s="11"/>
      <c r="D53" s="2">
        <f>0</f>
        <v>0</v>
      </c>
      <c r="E53" s="2"/>
      <c r="F53" s="22"/>
      <c r="G53" s="2"/>
      <c r="H53" s="2"/>
      <c r="I53" s="2"/>
      <c r="J53" s="22"/>
      <c r="K53" s="2"/>
      <c r="L53" s="2">
        <f t="shared" si="0"/>
        <v>0</v>
      </c>
      <c r="M53" s="2"/>
      <c r="N53" s="22">
        <f t="shared" si="1"/>
        <v>0</v>
      </c>
      <c r="O53" s="11"/>
      <c r="P53" s="2">
        <f>--35846</f>
        <v>35846</v>
      </c>
      <c r="Q53" s="2"/>
      <c r="R53" s="22"/>
      <c r="S53" s="2"/>
      <c r="T53" s="2"/>
      <c r="U53" s="2"/>
      <c r="V53" s="22"/>
      <c r="W53" s="2"/>
      <c r="X53" s="2">
        <f t="shared" si="2"/>
        <v>35846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"4146", " - ", "NON-TAXABLE SALES-COIN OP MACH")</f>
        <v xml:space="preserve">          4146 - NON-TAXABLE SALES-COIN OP MACH</v>
      </c>
      <c r="C54" s="11"/>
      <c r="D54" s="2">
        <f>--49.7</f>
        <v>49.7</v>
      </c>
      <c r="E54" s="2"/>
      <c r="F54" s="22"/>
      <c r="G54" s="2"/>
      <c r="H54" s="2"/>
      <c r="I54" s="2"/>
      <c r="J54" s="22"/>
      <c r="K54" s="2"/>
      <c r="L54" s="2">
        <f t="shared" si="0"/>
        <v>49.7</v>
      </c>
      <c r="M54" s="2"/>
      <c r="N54" s="22">
        <f t="shared" si="1"/>
        <v>0</v>
      </c>
      <c r="O54" s="11"/>
      <c r="P54" s="2">
        <f>--65.2</f>
        <v>65.2</v>
      </c>
      <c r="Q54" s="2"/>
      <c r="R54" s="22"/>
      <c r="S54" s="2"/>
      <c r="T54" s="2"/>
      <c r="U54" s="2"/>
      <c r="V54" s="22"/>
      <c r="W54" s="2"/>
      <c r="X54" s="2">
        <f t="shared" si="2"/>
        <v>65.2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"4147", " - ", "NON-TAXABLE SALES-MISC")</f>
        <v xml:space="preserve">          4147 - NON-TAXABLE SALES-MISC</v>
      </c>
      <c r="C55" s="11"/>
      <c r="D55" s="2">
        <f>--24</f>
        <v>24</v>
      </c>
      <c r="E55" s="2"/>
      <c r="F55" s="22"/>
      <c r="G55" s="2"/>
      <c r="H55" s="2"/>
      <c r="I55" s="2"/>
      <c r="J55" s="22"/>
      <c r="K55" s="2"/>
      <c r="L55" s="2">
        <f t="shared" si="0"/>
        <v>24</v>
      </c>
      <c r="M55" s="2"/>
      <c r="N55" s="22">
        <f t="shared" si="1"/>
        <v>0</v>
      </c>
      <c r="O55" s="11"/>
      <c r="P55" s="2">
        <f>--48</f>
        <v>48</v>
      </c>
      <c r="Q55" s="2"/>
      <c r="R55" s="22"/>
      <c r="S55" s="2"/>
      <c r="T55" s="2"/>
      <c r="U55" s="2"/>
      <c r="V55" s="22"/>
      <c r="W55" s="2"/>
      <c r="X55" s="2">
        <f t="shared" si="2"/>
        <v>48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"4153", " - ", "NON-TAXABLE SALES-FOOD")</f>
        <v xml:space="preserve">          4153 - NON-TAXABLE SALES-FOOD</v>
      </c>
      <c r="C56" s="11"/>
      <c r="D56" s="2">
        <f>0</f>
        <v>0</v>
      </c>
      <c r="E56" s="2"/>
      <c r="F56" s="22"/>
      <c r="G56" s="2"/>
      <c r="H56" s="2"/>
      <c r="I56" s="2"/>
      <c r="J56" s="22"/>
      <c r="K56" s="2"/>
      <c r="L56" s="2">
        <f t="shared" si="0"/>
        <v>0</v>
      </c>
      <c r="M56" s="2"/>
      <c r="N56" s="22">
        <f t="shared" si="1"/>
        <v>0</v>
      </c>
      <c r="O56" s="11"/>
      <c r="P56" s="2">
        <f>--110</f>
        <v>110</v>
      </c>
      <c r="Q56" s="2"/>
      <c r="R56" s="22"/>
      <c r="S56" s="2"/>
      <c r="T56" s="2"/>
      <c r="U56" s="2"/>
      <c r="V56" s="22"/>
      <c r="W56" s="2"/>
      <c r="X56" s="2">
        <f t="shared" si="2"/>
        <v>110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"4201", " - ", "SALES RETURN TAXABLE-NEW TEXT")</f>
        <v xml:space="preserve">          4201 - SALES RETURN TAXABLE-NEW TEXT</v>
      </c>
      <c r="C57" s="11"/>
      <c r="D57" s="2">
        <f>-13393.2</f>
        <v>-13393.2</v>
      </c>
      <c r="E57" s="2"/>
      <c r="F57" s="22"/>
      <c r="G57" s="2"/>
      <c r="H57" s="2"/>
      <c r="I57" s="2"/>
      <c r="J57" s="22"/>
      <c r="K57" s="2"/>
      <c r="L57" s="2">
        <f t="shared" si="0"/>
        <v>-13393.2</v>
      </c>
      <c r="M57" s="2"/>
      <c r="N57" s="22">
        <f t="shared" si="1"/>
        <v>0</v>
      </c>
      <c r="O57" s="11"/>
      <c r="P57" s="2">
        <f>-32248.99</f>
        <v>-32248.99</v>
      </c>
      <c r="Q57" s="2"/>
      <c r="R57" s="22"/>
      <c r="S57" s="2"/>
      <c r="T57" s="2"/>
      <c r="U57" s="2"/>
      <c r="V57" s="22"/>
      <c r="W57" s="2"/>
      <c r="X57" s="2">
        <f t="shared" si="2"/>
        <v>-32248.99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"4202", " - ", "SALES RETURN TAXABLE-USED TEXT")</f>
        <v xml:space="preserve">          4202 - SALES RETURN TAXABLE-USED TEXT</v>
      </c>
      <c r="C58" s="11"/>
      <c r="D58" s="2">
        <f>-1345.2</f>
        <v>-1345.2</v>
      </c>
      <c r="E58" s="2"/>
      <c r="F58" s="22"/>
      <c r="G58" s="2"/>
      <c r="H58" s="2"/>
      <c r="I58" s="2"/>
      <c r="J58" s="22"/>
      <c r="K58" s="2"/>
      <c r="L58" s="2">
        <f t="shared" si="0"/>
        <v>-1345.2</v>
      </c>
      <c r="M58" s="2"/>
      <c r="N58" s="22">
        <f t="shared" si="1"/>
        <v>0</v>
      </c>
      <c r="O58" s="11"/>
      <c r="P58" s="2">
        <f>-10392.95</f>
        <v>-10392.950000000001</v>
      </c>
      <c r="Q58" s="2"/>
      <c r="R58" s="22"/>
      <c r="S58" s="2"/>
      <c r="T58" s="2"/>
      <c r="U58" s="2"/>
      <c r="V58" s="22"/>
      <c r="W58" s="2"/>
      <c r="X58" s="2">
        <f t="shared" si="2"/>
        <v>-10392.950000000001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"4204", " - ", "SALES RETURN TAXABLE-DIGITAL T")</f>
        <v xml:space="preserve">          4204 - SALES RETURN TAXABLE-DIGITAL T</v>
      </c>
      <c r="C59" s="11"/>
      <c r="D59" s="2">
        <f>-105.87</f>
        <v>-105.87</v>
      </c>
      <c r="E59" s="2"/>
      <c r="F59" s="22"/>
      <c r="G59" s="2"/>
      <c r="H59" s="2"/>
      <c r="I59" s="2"/>
      <c r="J59" s="22"/>
      <c r="K59" s="2"/>
      <c r="L59" s="2">
        <f t="shared" si="0"/>
        <v>-105.87</v>
      </c>
      <c r="M59" s="2"/>
      <c r="N59" s="22">
        <f t="shared" si="1"/>
        <v>0</v>
      </c>
      <c r="O59" s="11"/>
      <c r="P59" s="2">
        <f>-1246.95</f>
        <v>-1246.95</v>
      </c>
      <c r="Q59" s="2"/>
      <c r="R59" s="22"/>
      <c r="S59" s="2"/>
      <c r="T59" s="2"/>
      <c r="U59" s="2"/>
      <c r="V59" s="22"/>
      <c r="W59" s="2"/>
      <c r="X59" s="2">
        <f t="shared" si="2"/>
        <v>-1246.95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"4226", " - ", "SALES RETURN TAXABLE-WRITING I")</f>
        <v xml:space="preserve">          4226 - SALES RETURN TAXABLE-WRITING I</v>
      </c>
      <c r="C60" s="11"/>
      <c r="D60" s="2">
        <f>-22.49</f>
        <v>-22.49</v>
      </c>
      <c r="E60" s="2"/>
      <c r="F60" s="22"/>
      <c r="G60" s="2"/>
      <c r="H60" s="2"/>
      <c r="I60" s="2"/>
      <c r="J60" s="22"/>
      <c r="K60" s="2"/>
      <c r="L60" s="2">
        <f t="shared" si="0"/>
        <v>-22.49</v>
      </c>
      <c r="M60" s="2"/>
      <c r="N60" s="22">
        <f t="shared" si="1"/>
        <v>0</v>
      </c>
      <c r="O60" s="11"/>
      <c r="P60" s="2">
        <f>-28.87</f>
        <v>-28.87</v>
      </c>
      <c r="Q60" s="2"/>
      <c r="R60" s="22"/>
      <c r="S60" s="2"/>
      <c r="T60" s="2"/>
      <c r="U60" s="2"/>
      <c r="V60" s="22"/>
      <c r="W60" s="2"/>
      <c r="X60" s="2">
        <f t="shared" si="2"/>
        <v>-28.87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"4227", " - ", "SALES RETURN TAXABLE-SCHOOL SU")</f>
        <v xml:space="preserve">          4227 - SALES RETURN TAXABLE-SCHOOL SU</v>
      </c>
      <c r="C61" s="11"/>
      <c r="D61" s="2">
        <f>-152.29</f>
        <v>-152.29</v>
      </c>
      <c r="E61" s="2"/>
      <c r="F61" s="22"/>
      <c r="G61" s="2"/>
      <c r="H61" s="2"/>
      <c r="I61" s="2"/>
      <c r="J61" s="22"/>
      <c r="K61" s="2"/>
      <c r="L61" s="2">
        <f t="shared" si="0"/>
        <v>-152.29</v>
      </c>
      <c r="M61" s="2"/>
      <c r="N61" s="22">
        <f t="shared" si="1"/>
        <v>0</v>
      </c>
      <c r="O61" s="11"/>
      <c r="P61" s="2">
        <f>-568.67</f>
        <v>-568.66999999999996</v>
      </c>
      <c r="Q61" s="2"/>
      <c r="R61" s="22"/>
      <c r="S61" s="2"/>
      <c r="T61" s="2"/>
      <c r="U61" s="2"/>
      <c r="V61" s="22"/>
      <c r="W61" s="2"/>
      <c r="X61" s="2">
        <f t="shared" si="2"/>
        <v>-568.66999999999996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"4228", " - ", "SALES RETURN TAXABLE-ART/TECH")</f>
        <v xml:space="preserve">          4228 - SALES RETURN TAXABLE-ART/TECH</v>
      </c>
      <c r="C62" s="11"/>
      <c r="D62" s="2">
        <f>-57.76</f>
        <v>-57.76</v>
      </c>
      <c r="E62" s="2"/>
      <c r="F62" s="22"/>
      <c r="G62" s="2"/>
      <c r="H62" s="2"/>
      <c r="I62" s="2"/>
      <c r="J62" s="22"/>
      <c r="K62" s="2"/>
      <c r="L62" s="2">
        <f t="shared" si="0"/>
        <v>-57.76</v>
      </c>
      <c r="M62" s="2"/>
      <c r="N62" s="22">
        <f t="shared" si="1"/>
        <v>0</v>
      </c>
      <c r="O62" s="11"/>
      <c r="P62" s="2">
        <f>-222.2</f>
        <v>-222.2</v>
      </c>
      <c r="Q62" s="2"/>
      <c r="R62" s="22"/>
      <c r="S62" s="2"/>
      <c r="T62" s="2"/>
      <c r="U62" s="2"/>
      <c r="V62" s="22"/>
      <c r="W62" s="2"/>
      <c r="X62" s="2">
        <f t="shared" si="2"/>
        <v>-222.2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"4240", " - ", "SALES RETURN TAXABLE-LOGO CLOT")</f>
        <v xml:space="preserve">          4240 - SALES RETURN TAXABLE-LOGO CLOT</v>
      </c>
      <c r="C63" s="11"/>
      <c r="D63" s="2">
        <f>-3453.14</f>
        <v>-3453.14</v>
      </c>
      <c r="E63" s="2"/>
      <c r="F63" s="22"/>
      <c r="G63" s="2"/>
      <c r="H63" s="2"/>
      <c r="I63" s="2"/>
      <c r="J63" s="22"/>
      <c r="K63" s="2"/>
      <c r="L63" s="2">
        <f t="shared" si="0"/>
        <v>-3453.14</v>
      </c>
      <c r="M63" s="2"/>
      <c r="N63" s="22">
        <f t="shared" si="1"/>
        <v>0</v>
      </c>
      <c r="O63" s="11"/>
      <c r="P63" s="2">
        <f>-11609.96</f>
        <v>-11609.96</v>
      </c>
      <c r="Q63" s="2"/>
      <c r="R63" s="22"/>
      <c r="S63" s="2"/>
      <c r="T63" s="2"/>
      <c r="U63" s="2"/>
      <c r="V63" s="22"/>
      <c r="W63" s="2"/>
      <c r="X63" s="2">
        <f t="shared" si="2"/>
        <v>-11609.96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"4241", " - ", "SALES RETURN TAXABLE-LOGO GIFT")</f>
        <v xml:space="preserve">          4241 - SALES RETURN TAXABLE-LOGO GIFT</v>
      </c>
      <c r="C64" s="11"/>
      <c r="D64" s="2">
        <f>-988.92</f>
        <v>-988.92</v>
      </c>
      <c r="E64" s="2"/>
      <c r="F64" s="22"/>
      <c r="G64" s="2"/>
      <c r="H64" s="2"/>
      <c r="I64" s="2"/>
      <c r="J64" s="22"/>
      <c r="K64" s="2"/>
      <c r="L64" s="2">
        <f t="shared" si="0"/>
        <v>-988.92</v>
      </c>
      <c r="M64" s="2"/>
      <c r="N64" s="22">
        <f t="shared" si="1"/>
        <v>0</v>
      </c>
      <c r="O64" s="11"/>
      <c r="P64" s="2">
        <f>-2317.11</f>
        <v>-2317.11</v>
      </c>
      <c r="Q64" s="2"/>
      <c r="R64" s="22"/>
      <c r="S64" s="2"/>
      <c r="T64" s="2"/>
      <c r="U64" s="2"/>
      <c r="V64" s="22"/>
      <c r="W64" s="2"/>
      <c r="X64" s="2">
        <f t="shared" si="2"/>
        <v>-2317.11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"4242", " - ", "SALES RETURN TAXABLE-EVERYDAY")</f>
        <v xml:space="preserve">          4242 - SALES RETURN TAXABLE-EVERYDAY</v>
      </c>
      <c r="C65" s="11"/>
      <c r="D65" s="2">
        <f>-405.07</f>
        <v>-405.07</v>
      </c>
      <c r="E65" s="2"/>
      <c r="F65" s="22"/>
      <c r="G65" s="2"/>
      <c r="H65" s="2"/>
      <c r="I65" s="2"/>
      <c r="J65" s="22"/>
      <c r="K65" s="2"/>
      <c r="L65" s="2">
        <f t="shared" si="0"/>
        <v>-405.07</v>
      </c>
      <c r="M65" s="2"/>
      <c r="N65" s="22">
        <f t="shared" si="1"/>
        <v>0</v>
      </c>
      <c r="O65" s="11"/>
      <c r="P65" s="2">
        <f>-1054.56</f>
        <v>-1054.56</v>
      </c>
      <c r="Q65" s="2"/>
      <c r="R65" s="22"/>
      <c r="S65" s="2"/>
      <c r="T65" s="2"/>
      <c r="U65" s="2"/>
      <c r="V65" s="22"/>
      <c r="W65" s="2"/>
      <c r="X65" s="2">
        <f t="shared" si="2"/>
        <v>-1054.56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"4243", " - ", "SALES RETURN TAXABLE-CARDS")</f>
        <v xml:space="preserve">          4243 - SALES RETURN TAXABLE-CARDS</v>
      </c>
      <c r="C66" s="11"/>
      <c r="D66" s="2">
        <f>-59.94</f>
        <v>-59.94</v>
      </c>
      <c r="E66" s="2"/>
      <c r="F66" s="22"/>
      <c r="G66" s="2"/>
      <c r="H66" s="2"/>
      <c r="I66" s="2"/>
      <c r="J66" s="22"/>
      <c r="K66" s="2"/>
      <c r="L66" s="2">
        <f t="shared" si="0"/>
        <v>-59.94</v>
      </c>
      <c r="M66" s="2"/>
      <c r="N66" s="22">
        <f t="shared" si="1"/>
        <v>0</v>
      </c>
      <c r="O66" s="11"/>
      <c r="P66" s="2">
        <f>-153.37</f>
        <v>-153.37</v>
      </c>
      <c r="Q66" s="2"/>
      <c r="R66" s="22"/>
      <c r="S66" s="2"/>
      <c r="T66" s="2"/>
      <c r="U66" s="2"/>
      <c r="V66" s="22"/>
      <c r="W66" s="2"/>
      <c r="X66" s="2">
        <f t="shared" si="2"/>
        <v>-153.37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"4244", " - ", "SALES RETURN TAXABLE-ACCESSORI")</f>
        <v xml:space="preserve">          4244 - SALES RETURN TAXABLE-ACCESSORI</v>
      </c>
      <c r="C67" s="11"/>
      <c r="D67" s="2">
        <f>-60</f>
        <v>-60</v>
      </c>
      <c r="E67" s="2"/>
      <c r="F67" s="22"/>
      <c r="G67" s="2"/>
      <c r="H67" s="2"/>
      <c r="I67" s="2"/>
      <c r="J67" s="22"/>
      <c r="K67" s="2"/>
      <c r="L67" s="2">
        <f t="shared" si="0"/>
        <v>-60</v>
      </c>
      <c r="M67" s="2"/>
      <c r="N67" s="22">
        <f t="shared" si="1"/>
        <v>0</v>
      </c>
      <c r="O67" s="11"/>
      <c r="P67" s="2">
        <f>-410.99</f>
        <v>-410.99</v>
      </c>
      <c r="Q67" s="2"/>
      <c r="R67" s="22"/>
      <c r="S67" s="2"/>
      <c r="T67" s="2"/>
      <c r="U67" s="2"/>
      <c r="V67" s="22"/>
      <c r="W67" s="2"/>
      <c r="X67" s="2">
        <f t="shared" si="2"/>
        <v>-410.99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"4245", " - ", "SALES RETURN TAXABLE-SPECIAL O")</f>
        <v xml:space="preserve">          4245 - SALES RETURN TAXABLE-SPECIAL O</v>
      </c>
      <c r="C68" s="11"/>
      <c r="D68" s="2">
        <f>-3.99</f>
        <v>-3.99</v>
      </c>
      <c r="E68" s="2"/>
      <c r="F68" s="22"/>
      <c r="G68" s="2"/>
      <c r="H68" s="2"/>
      <c r="I68" s="2"/>
      <c r="J68" s="22"/>
      <c r="K68" s="2"/>
      <c r="L68" s="2">
        <f t="shared" si="0"/>
        <v>-3.99</v>
      </c>
      <c r="M68" s="2"/>
      <c r="N68" s="22">
        <f t="shared" si="1"/>
        <v>0</v>
      </c>
      <c r="O68" s="11"/>
      <c r="P68" s="2">
        <f>-1182.95</f>
        <v>-1182.95</v>
      </c>
      <c r="Q68" s="2"/>
      <c r="R68" s="22"/>
      <c r="S68" s="2"/>
      <c r="T68" s="2"/>
      <c r="U68" s="2"/>
      <c r="V68" s="22"/>
      <c r="W68" s="2"/>
      <c r="X68" s="2">
        <f t="shared" si="2"/>
        <v>-1182.95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"4301", " - ", "SALES RETURN NON TAXABLE-NEW T")</f>
        <v xml:space="preserve">          4301 - SALES RETURN NON TAXABLE-NEW T</v>
      </c>
      <c r="C69" s="11"/>
      <c r="D69" s="2">
        <f>-1820.43</f>
        <v>-1820.43</v>
      </c>
      <c r="E69" s="2"/>
      <c r="F69" s="22"/>
      <c r="G69" s="2"/>
      <c r="H69" s="2"/>
      <c r="I69" s="2"/>
      <c r="J69" s="22"/>
      <c r="K69" s="2"/>
      <c r="L69" s="2">
        <f t="shared" si="0"/>
        <v>-1820.43</v>
      </c>
      <c r="M69" s="2"/>
      <c r="N69" s="22">
        <f t="shared" si="1"/>
        <v>0</v>
      </c>
      <c r="O69" s="11"/>
      <c r="P69" s="2">
        <f>-1840.68</f>
        <v>-1840.68</v>
      </c>
      <c r="Q69" s="2"/>
      <c r="R69" s="22"/>
      <c r="S69" s="2"/>
      <c r="T69" s="2"/>
      <c r="U69" s="2"/>
      <c r="V69" s="22"/>
      <c r="W69" s="2"/>
      <c r="X69" s="2">
        <f t="shared" si="2"/>
        <v>-1840.68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"4302", " - ", "SALES RETURN NON TAXABLE-TEXT")</f>
        <v xml:space="preserve">          4302 - SALES RETURN NON TAXABLE-TEXT</v>
      </c>
      <c r="C70" s="11"/>
      <c r="D70" s="2">
        <f>-737.24</f>
        <v>-737.24</v>
      </c>
      <c r="E70" s="2"/>
      <c r="F70" s="22"/>
      <c r="G70" s="2"/>
      <c r="H70" s="2"/>
      <c r="I70" s="2"/>
      <c r="J70" s="22"/>
      <c r="K70" s="2"/>
      <c r="L70" s="2">
        <f t="shared" si="0"/>
        <v>-737.24</v>
      </c>
      <c r="M70" s="2"/>
      <c r="N70" s="22">
        <f t="shared" si="1"/>
        <v>0</v>
      </c>
      <c r="O70" s="11"/>
      <c r="P70" s="2">
        <f>-1147.08</f>
        <v>-1147.08</v>
      </c>
      <c r="Q70" s="2"/>
      <c r="R70" s="22"/>
      <c r="S70" s="2"/>
      <c r="T70" s="2"/>
      <c r="U70" s="2"/>
      <c r="V70" s="22"/>
      <c r="W70" s="2"/>
      <c r="X70" s="2">
        <f t="shared" si="2"/>
        <v>-1147.08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"4304", " - ", "SALES RETURN NON TAXABLE-DIGIT")</f>
        <v xml:space="preserve">          4304 - SALES RETURN NON TAXABLE-DIGIT</v>
      </c>
      <c r="C71" s="11"/>
      <c r="D71" s="2">
        <f>-7456.63</f>
        <v>-7456.63</v>
      </c>
      <c r="E71" s="2"/>
      <c r="F71" s="22"/>
      <c r="G71" s="2"/>
      <c r="H71" s="2"/>
      <c r="I71" s="2"/>
      <c r="J71" s="22"/>
      <c r="K71" s="2"/>
      <c r="L71" s="2">
        <f t="shared" si="0"/>
        <v>-7456.63</v>
      </c>
      <c r="M71" s="2"/>
      <c r="N71" s="22">
        <f t="shared" si="1"/>
        <v>0</v>
      </c>
      <c r="O71" s="11"/>
      <c r="P71" s="2">
        <f>-13409.36</f>
        <v>-13409.36</v>
      </c>
      <c r="Q71" s="2"/>
      <c r="R71" s="22"/>
      <c r="S71" s="2"/>
      <c r="T71" s="2"/>
      <c r="U71" s="2"/>
      <c r="V71" s="22"/>
      <c r="W71" s="2"/>
      <c r="X71" s="2">
        <f t="shared" si="2"/>
        <v>-13409.36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"4340", " - ", "SALES RETURN NON TAXABLE-LOGO")</f>
        <v xml:space="preserve">          4340 - SALES RETURN NON TAXABLE-LOGO</v>
      </c>
      <c r="C72" s="11"/>
      <c r="D72" s="2">
        <f>-36.9</f>
        <v>-36.9</v>
      </c>
      <c r="E72" s="2"/>
      <c r="F72" s="22"/>
      <c r="G72" s="2"/>
      <c r="H72" s="2"/>
      <c r="I72" s="2"/>
      <c r="J72" s="22"/>
      <c r="K72" s="2"/>
      <c r="L72" s="2">
        <f t="shared" si="0"/>
        <v>-36.9</v>
      </c>
      <c r="M72" s="2"/>
      <c r="N72" s="22">
        <f t="shared" si="1"/>
        <v>0</v>
      </c>
      <c r="O72" s="11"/>
      <c r="P72" s="2">
        <f>-541.04</f>
        <v>-541.04</v>
      </c>
      <c r="Q72" s="2"/>
      <c r="R72" s="22"/>
      <c r="S72" s="2"/>
      <c r="T72" s="2"/>
      <c r="U72" s="2"/>
      <c r="V72" s="22"/>
      <c r="W72" s="2"/>
      <c r="X72" s="2">
        <f t="shared" si="2"/>
        <v>-541.04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"4341", " - ", "SALES RETURN NON TAXABLE-LOGO")</f>
        <v xml:space="preserve">          4341 - SALES RETURN NON TAXABLE-LOGO</v>
      </c>
      <c r="C73" s="11"/>
      <c r="D73" s="2">
        <f>-129.95</f>
        <v>-129.94999999999999</v>
      </c>
      <c r="E73" s="2"/>
      <c r="F73" s="22"/>
      <c r="G73" s="2"/>
      <c r="H73" s="2"/>
      <c r="I73" s="2"/>
      <c r="J73" s="22"/>
      <c r="K73" s="2"/>
      <c r="L73" s="2">
        <f t="shared" si="0"/>
        <v>-129.94999999999999</v>
      </c>
      <c r="M73" s="2"/>
      <c r="N73" s="22">
        <f t="shared" si="1"/>
        <v>0</v>
      </c>
      <c r="O73" s="11"/>
      <c r="P73" s="2">
        <f>-146.9</f>
        <v>-146.9</v>
      </c>
      <c r="Q73" s="2"/>
      <c r="R73" s="22"/>
      <c r="S73" s="2"/>
      <c r="T73" s="2"/>
      <c r="U73" s="2"/>
      <c r="V73" s="22"/>
      <c r="W73" s="2"/>
      <c r="X73" s="2">
        <f t="shared" si="2"/>
        <v>-146.9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"4342", " - ", "SALES RETURN NON TAXABLE-EVERY")</f>
        <v xml:space="preserve">          4342 - SALES RETURN NON TAXABLE-EVERY</v>
      </c>
      <c r="C74" s="11"/>
      <c r="D74" s="2">
        <f>-24.95</f>
        <v>-24.95</v>
      </c>
      <c r="E74" s="2"/>
      <c r="F74" s="22"/>
      <c r="G74" s="2"/>
      <c r="H74" s="2"/>
      <c r="I74" s="2"/>
      <c r="J74" s="22"/>
      <c r="K74" s="2"/>
      <c r="L74" s="2">
        <f t="shared" si="0"/>
        <v>-24.95</v>
      </c>
      <c r="M74" s="2"/>
      <c r="N74" s="22">
        <f t="shared" si="1"/>
        <v>0</v>
      </c>
      <c r="O74" s="11"/>
      <c r="P74" s="2">
        <f>-118.7</f>
        <v>-118.7</v>
      </c>
      <c r="Q74" s="2"/>
      <c r="R74" s="22"/>
      <c r="S74" s="2"/>
      <c r="T74" s="2"/>
      <c r="U74" s="2"/>
      <c r="V74" s="22"/>
      <c r="W74" s="2"/>
      <c r="X74" s="2">
        <f t="shared" si="2"/>
        <v>-118.7</v>
      </c>
      <c r="Y74" s="2"/>
      <c r="Z74" s="22">
        <f t="shared" si="3"/>
        <v>0</v>
      </c>
    </row>
    <row r="75" spans="1:26" x14ac:dyDescent="0.25">
      <c r="A75" s="9"/>
      <c r="B75" s="10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collapsed="1" x14ac:dyDescent="0.25">
      <c r="A76" s="10"/>
      <c r="B76" s="25" t="s">
        <v>8</v>
      </c>
      <c r="C76" s="10"/>
      <c r="D76" s="4">
        <f>SUM(OSRRefD16x_0)</f>
        <v>231194.24999999991</v>
      </c>
      <c r="E76" s="4"/>
      <c r="F76" s="12">
        <f t="shared" ref="F76:F104" si="5">IF(D$12=0,0,D76/D$12)</f>
        <v>0.62332077332306202</v>
      </c>
      <c r="G76" s="4"/>
      <c r="H76" s="4">
        <f>SUM(OSRRefH16x_0)</f>
        <v>852353</v>
      </c>
      <c r="I76" s="4"/>
      <c r="J76" s="12">
        <f t="shared" ref="J76:J104" si="6">IF(H$12=0,0,H76/H$12)</f>
        <v>0.63667063549567293</v>
      </c>
      <c r="K76" s="4"/>
      <c r="L76" s="4">
        <f t="shared" ref="L76:L104" si="7">+D76-H76</f>
        <v>-621158.75000000012</v>
      </c>
      <c r="M76" s="4"/>
      <c r="N76" s="12">
        <f t="shared" ref="N76:N104" si="8">IF(H76=0,0,L76/H76)</f>
        <v>-0.72875762741493266</v>
      </c>
      <c r="O76" s="10"/>
      <c r="P76" s="4">
        <f>SUM(OSRRefP16x_0)</f>
        <v>1451742.94</v>
      </c>
      <c r="Q76" s="4"/>
      <c r="R76" s="12">
        <f t="shared" ref="R76:R104" si="9">IF(P$12=0,0,P76/P$12)</f>
        <v>0.66093834260943074</v>
      </c>
      <c r="S76" s="4"/>
      <c r="T76" s="4">
        <f>SUM(OSRRefT16x_0)</f>
        <v>2305337</v>
      </c>
      <c r="U76" s="4"/>
      <c r="V76" s="12">
        <f t="shared" ref="V76:V104" si="10">IF(T$12=0,0,T76/T$12)</f>
        <v>0.63348313958361102</v>
      </c>
      <c r="W76" s="4"/>
      <c r="X76" s="4">
        <f t="shared" ref="X76:X104" si="11">+P76-T76</f>
        <v>-853594.06</v>
      </c>
      <c r="Y76" s="4"/>
      <c r="Z76" s="12">
        <f t="shared" ref="Z76:Z104" si="12">IF(T76=0,0,X76/T76)</f>
        <v>-0.37026866787805862</v>
      </c>
    </row>
    <row r="77" spans="1:26" s="24" customFormat="1" hidden="1" outlineLevel="1" x14ac:dyDescent="0.25">
      <c r="A77" s="51"/>
      <c r="B77" s="11" t="str">
        <f>CONCATENATE("          ", "5000", " - ", "PURCHASES @ COST")</f>
        <v xml:space="preserve">          5000 - PURCHASES @ COST</v>
      </c>
      <c r="C77" s="11"/>
      <c r="D77" s="2"/>
      <c r="E77" s="2"/>
      <c r="F77" s="22">
        <f t="shared" si="5"/>
        <v>0</v>
      </c>
      <c r="G77" s="2"/>
      <c r="H77" s="2">
        <v>852353</v>
      </c>
      <c r="I77" s="2"/>
      <c r="J77" s="22">
        <f t="shared" si="6"/>
        <v>0.63667063549567293</v>
      </c>
      <c r="K77" s="2"/>
      <c r="L77" s="2">
        <f t="shared" si="7"/>
        <v>-852353</v>
      </c>
      <c r="M77" s="2"/>
      <c r="N77" s="22">
        <f t="shared" si="8"/>
        <v>-1</v>
      </c>
      <c r="O77" s="11"/>
      <c r="P77" s="2"/>
      <c r="Q77" s="2"/>
      <c r="R77" s="22">
        <f t="shared" si="9"/>
        <v>0</v>
      </c>
      <c r="S77" s="2"/>
      <c r="T77" s="2">
        <v>2305337</v>
      </c>
      <c r="U77" s="2"/>
      <c r="V77" s="22">
        <f t="shared" si="10"/>
        <v>0.63348313958361102</v>
      </c>
      <c r="W77" s="2"/>
      <c r="X77" s="2">
        <f t="shared" si="11"/>
        <v>-2305337</v>
      </c>
      <c r="Y77" s="2"/>
      <c r="Z77" s="22">
        <f t="shared" si="12"/>
        <v>-1</v>
      </c>
    </row>
    <row r="78" spans="1:26" s="24" customFormat="1" hidden="1" outlineLevel="1" x14ac:dyDescent="0.25">
      <c r="A78" s="51"/>
      <c r="B78" s="11" t="str">
        <f>CONCATENATE("          ", "5001", " - ", "PURCHASES @ COST-NEW TEXT")</f>
        <v xml:space="preserve">          5001 - PURCHASES @ COST-NEW TEXT</v>
      </c>
      <c r="C78" s="11"/>
      <c r="D78" s="2">
        <v>602088.99</v>
      </c>
      <c r="E78" s="2"/>
      <c r="F78" s="22">
        <f t="shared" si="5"/>
        <v>1.6232868025744649</v>
      </c>
      <c r="G78" s="2"/>
      <c r="H78" s="2"/>
      <c r="I78" s="2"/>
      <c r="J78" s="22">
        <f t="shared" si="6"/>
        <v>0</v>
      </c>
      <c r="K78" s="2"/>
      <c r="L78" s="2">
        <f t="shared" si="7"/>
        <v>602088.99</v>
      </c>
      <c r="M78" s="2"/>
      <c r="N78" s="22">
        <f t="shared" si="8"/>
        <v>0</v>
      </c>
      <c r="O78" s="11"/>
      <c r="P78" s="2">
        <v>1293421.76</v>
      </c>
      <c r="Q78" s="2"/>
      <c r="R78" s="22">
        <f t="shared" si="9"/>
        <v>0.58885909536393055</v>
      </c>
      <c r="S78" s="2"/>
      <c r="T78" s="2"/>
      <c r="U78" s="2"/>
      <c r="V78" s="22">
        <f t="shared" si="10"/>
        <v>0</v>
      </c>
      <c r="W78" s="2"/>
      <c r="X78" s="2">
        <f t="shared" si="11"/>
        <v>1293421.76</v>
      </c>
      <c r="Y78" s="2"/>
      <c r="Z78" s="22">
        <f t="shared" si="12"/>
        <v>0</v>
      </c>
    </row>
    <row r="79" spans="1:26" s="24" customFormat="1" hidden="1" outlineLevel="1" x14ac:dyDescent="0.25">
      <c r="A79" s="51"/>
      <c r="B79" s="11" t="str">
        <f>CONCATENATE("          ", "5002", " - ", "PURCHASES @ COST-USED TEXT")</f>
        <v xml:space="preserve">          5002 - PURCHASES @ COST-USED TEXT</v>
      </c>
      <c r="C79" s="11"/>
      <c r="D79" s="2">
        <v>108363.86</v>
      </c>
      <c r="E79" s="2"/>
      <c r="F79" s="22">
        <f t="shared" si="5"/>
        <v>0.29215884484788029</v>
      </c>
      <c r="G79" s="2"/>
      <c r="H79" s="2"/>
      <c r="I79" s="2"/>
      <c r="J79" s="22">
        <f t="shared" si="6"/>
        <v>0</v>
      </c>
      <c r="K79" s="2"/>
      <c r="L79" s="2">
        <f t="shared" si="7"/>
        <v>108363.86</v>
      </c>
      <c r="M79" s="2"/>
      <c r="N79" s="22">
        <f t="shared" si="8"/>
        <v>0</v>
      </c>
      <c r="O79" s="11"/>
      <c r="P79" s="2">
        <v>296731.38</v>
      </c>
      <c r="Q79" s="2"/>
      <c r="R79" s="22">
        <f t="shared" si="9"/>
        <v>0.13509357689551374</v>
      </c>
      <c r="S79" s="2"/>
      <c r="T79" s="2"/>
      <c r="U79" s="2"/>
      <c r="V79" s="22">
        <f t="shared" si="10"/>
        <v>0</v>
      </c>
      <c r="W79" s="2"/>
      <c r="X79" s="2">
        <f t="shared" si="11"/>
        <v>296731.38</v>
      </c>
      <c r="Y79" s="2"/>
      <c r="Z79" s="22">
        <f t="shared" si="12"/>
        <v>0</v>
      </c>
    </row>
    <row r="80" spans="1:26" s="24" customFormat="1" hidden="1" outlineLevel="1" x14ac:dyDescent="0.25">
      <c r="A80" s="51"/>
      <c r="B80" s="11" t="str">
        <f>CONCATENATE("          ", "5003", " - ", "PURCHASES @ COST-RENTAL TEXT")</f>
        <v xml:space="preserve">          5003 - PURCHASES @ COST-RENTAL TEXT</v>
      </c>
      <c r="C80" s="11"/>
      <c r="D80" s="2">
        <v>781.74</v>
      </c>
      <c r="E80" s="2"/>
      <c r="F80" s="22">
        <f t="shared" si="5"/>
        <v>2.1076423022526325E-3</v>
      </c>
      <c r="G80" s="2"/>
      <c r="H80" s="2"/>
      <c r="I80" s="2"/>
      <c r="J80" s="22">
        <f t="shared" si="6"/>
        <v>0</v>
      </c>
      <c r="K80" s="2"/>
      <c r="L80" s="2">
        <f t="shared" si="7"/>
        <v>781.74</v>
      </c>
      <c r="M80" s="2"/>
      <c r="N80" s="22">
        <f t="shared" si="8"/>
        <v>0</v>
      </c>
      <c r="O80" s="11"/>
      <c r="P80" s="2">
        <v>-11086.1</v>
      </c>
      <c r="Q80" s="2"/>
      <c r="R80" s="22">
        <f t="shared" si="9"/>
        <v>-5.0471942091913392E-3</v>
      </c>
      <c r="S80" s="2"/>
      <c r="T80" s="2"/>
      <c r="U80" s="2"/>
      <c r="V80" s="22">
        <f t="shared" si="10"/>
        <v>0</v>
      </c>
      <c r="W80" s="2"/>
      <c r="X80" s="2">
        <f t="shared" si="11"/>
        <v>-11086.1</v>
      </c>
      <c r="Y80" s="2"/>
      <c r="Z80" s="22">
        <f t="shared" si="12"/>
        <v>0</v>
      </c>
    </row>
    <row r="81" spans="1:26" s="24" customFormat="1" hidden="1" outlineLevel="1" x14ac:dyDescent="0.25">
      <c r="A81" s="51"/>
      <c r="B81" s="11" t="str">
        <f>CONCATENATE("          ", "5004", " - ", "PURCHASES @ COST-DIGITAL TEXT")</f>
        <v xml:space="preserve">          5004 - PURCHASES @ COST-DIGITAL TEXT</v>
      </c>
      <c r="C81" s="11"/>
      <c r="D81" s="2">
        <v>60186.1</v>
      </c>
      <c r="E81" s="2"/>
      <c r="F81" s="22">
        <f t="shared" si="5"/>
        <v>0.16226721207512365</v>
      </c>
      <c r="G81" s="2"/>
      <c r="H81" s="2"/>
      <c r="I81" s="2"/>
      <c r="J81" s="22">
        <f t="shared" si="6"/>
        <v>0</v>
      </c>
      <c r="K81" s="2"/>
      <c r="L81" s="2">
        <f t="shared" si="7"/>
        <v>60186.1</v>
      </c>
      <c r="M81" s="2"/>
      <c r="N81" s="22">
        <f t="shared" si="8"/>
        <v>0</v>
      </c>
      <c r="O81" s="11"/>
      <c r="P81" s="2">
        <v>182616.07</v>
      </c>
      <c r="Q81" s="2"/>
      <c r="R81" s="22">
        <f t="shared" si="9"/>
        <v>8.3140037615507728E-2</v>
      </c>
      <c r="S81" s="2"/>
      <c r="T81" s="2"/>
      <c r="U81" s="2"/>
      <c r="V81" s="22">
        <f t="shared" si="10"/>
        <v>0</v>
      </c>
      <c r="W81" s="2"/>
      <c r="X81" s="2">
        <f t="shared" si="11"/>
        <v>182616.07</v>
      </c>
      <c r="Y81" s="2"/>
      <c r="Z81" s="22">
        <f t="shared" si="12"/>
        <v>0</v>
      </c>
    </row>
    <row r="82" spans="1:26" s="24" customFormat="1" hidden="1" outlineLevel="1" x14ac:dyDescent="0.25">
      <c r="A82" s="51"/>
      <c r="B82" s="11" t="str">
        <f>CONCATENATE("          ", "5013", " - ", "PURCHASES @ COST-TRADE BOOKS")</f>
        <v xml:space="preserve">          5013 - PURCHASES @ COST-TRADE BOOKS</v>
      </c>
      <c r="C82" s="11"/>
      <c r="D82" s="2">
        <v>-9.36</v>
      </c>
      <c r="E82" s="2"/>
      <c r="F82" s="22">
        <f t="shared" si="5"/>
        <v>-2.5235413243641927E-5</v>
      </c>
      <c r="G82" s="2"/>
      <c r="H82" s="2"/>
      <c r="I82" s="2"/>
      <c r="J82" s="22">
        <f t="shared" si="6"/>
        <v>0</v>
      </c>
      <c r="K82" s="2"/>
      <c r="L82" s="2">
        <f t="shared" si="7"/>
        <v>-9.36</v>
      </c>
      <c r="M82" s="2"/>
      <c r="N82" s="22">
        <f t="shared" si="8"/>
        <v>0</v>
      </c>
      <c r="O82" s="11"/>
      <c r="P82" s="2">
        <v>99.18</v>
      </c>
      <c r="Q82" s="2"/>
      <c r="R82" s="22">
        <f t="shared" si="9"/>
        <v>4.5153906393375224E-5</v>
      </c>
      <c r="S82" s="2"/>
      <c r="T82" s="2"/>
      <c r="U82" s="2"/>
      <c r="V82" s="22">
        <f t="shared" si="10"/>
        <v>0</v>
      </c>
      <c r="W82" s="2"/>
      <c r="X82" s="2">
        <f t="shared" si="11"/>
        <v>99.18</v>
      </c>
      <c r="Y82" s="2"/>
      <c r="Z82" s="22">
        <f t="shared" si="12"/>
        <v>0</v>
      </c>
    </row>
    <row r="83" spans="1:26" s="24" customFormat="1" hidden="1" outlineLevel="1" x14ac:dyDescent="0.25">
      <c r="A83" s="51"/>
      <c r="B83" s="11" t="str">
        <f>CONCATENATE("          ", "5014", " - ", "PURCHASES @ COST-REMAINDERS")</f>
        <v xml:space="preserve">          5014 - PURCHASES @ COST-REMAINDERS</v>
      </c>
      <c r="C83" s="11"/>
      <c r="D83" s="2"/>
      <c r="E83" s="2"/>
      <c r="F83" s="22">
        <f t="shared" si="5"/>
        <v>0</v>
      </c>
      <c r="G83" s="2"/>
      <c r="H83" s="2"/>
      <c r="I83" s="2"/>
      <c r="J83" s="22">
        <f t="shared" si="6"/>
        <v>0</v>
      </c>
      <c r="K83" s="2"/>
      <c r="L83" s="2">
        <f t="shared" si="7"/>
        <v>0</v>
      </c>
      <c r="M83" s="2"/>
      <c r="N83" s="22">
        <f t="shared" si="8"/>
        <v>0</v>
      </c>
      <c r="O83" s="11"/>
      <c r="P83" s="2">
        <v>-12.51</v>
      </c>
      <c r="Q83" s="2"/>
      <c r="R83" s="22">
        <f t="shared" si="9"/>
        <v>-5.695456432558217E-6</v>
      </c>
      <c r="S83" s="2"/>
      <c r="T83" s="2"/>
      <c r="U83" s="2"/>
      <c r="V83" s="22">
        <f t="shared" si="10"/>
        <v>0</v>
      </c>
      <c r="W83" s="2"/>
      <c r="X83" s="2">
        <f t="shared" si="11"/>
        <v>-12.51</v>
      </c>
      <c r="Y83" s="2"/>
      <c r="Z83" s="22">
        <f t="shared" si="12"/>
        <v>0</v>
      </c>
    </row>
    <row r="84" spans="1:26" s="24" customFormat="1" hidden="1" outlineLevel="1" x14ac:dyDescent="0.25">
      <c r="A84" s="51"/>
      <c r="B84" s="11" t="str">
        <f>CONCATENATE("          ", "5027", " - ", "PURCHASES @ COST-SCHOOL SUPPLI")</f>
        <v xml:space="preserve">          5027 - PURCHASES @ COST-SCHOOL SUPPLI</v>
      </c>
      <c r="C84" s="11"/>
      <c r="D84" s="2"/>
      <c r="E84" s="2"/>
      <c r="F84" s="22">
        <f t="shared" si="5"/>
        <v>0</v>
      </c>
      <c r="G84" s="2"/>
      <c r="H84" s="2"/>
      <c r="I84" s="2"/>
      <c r="J84" s="22">
        <f t="shared" si="6"/>
        <v>0</v>
      </c>
      <c r="K84" s="2"/>
      <c r="L84" s="2">
        <f t="shared" si="7"/>
        <v>0</v>
      </c>
      <c r="M84" s="2"/>
      <c r="N84" s="22">
        <f t="shared" si="8"/>
        <v>0</v>
      </c>
      <c r="O84" s="11"/>
      <c r="P84" s="2">
        <v>8503.4</v>
      </c>
      <c r="Q84" s="2"/>
      <c r="R84" s="22">
        <f t="shared" si="9"/>
        <v>3.871362448330579E-3</v>
      </c>
      <c r="S84" s="2"/>
      <c r="T84" s="2"/>
      <c r="U84" s="2"/>
      <c r="V84" s="22">
        <f t="shared" si="10"/>
        <v>0</v>
      </c>
      <c r="W84" s="2"/>
      <c r="X84" s="2">
        <f t="shared" si="11"/>
        <v>8503.4</v>
      </c>
      <c r="Y84" s="2"/>
      <c r="Z84" s="22">
        <f t="shared" si="12"/>
        <v>0</v>
      </c>
    </row>
    <row r="85" spans="1:26" s="24" customFormat="1" hidden="1" outlineLevel="1" x14ac:dyDescent="0.25">
      <c r="A85" s="51"/>
      <c r="B85" s="11" t="str">
        <f>CONCATENATE("          ", "5028", " - ", "PURCHASES @ COST-ART/TECH")</f>
        <v xml:space="preserve">          5028 - PURCHASES @ COST-ART/TECH</v>
      </c>
      <c r="C85" s="11"/>
      <c r="D85" s="2">
        <v>-83.4</v>
      </c>
      <c r="E85" s="2"/>
      <c r="F85" s="22">
        <f t="shared" si="5"/>
        <v>-2.2485400261963002E-4</v>
      </c>
      <c r="G85" s="2"/>
      <c r="H85" s="2"/>
      <c r="I85" s="2"/>
      <c r="J85" s="22">
        <f t="shared" si="6"/>
        <v>0</v>
      </c>
      <c r="K85" s="2"/>
      <c r="L85" s="2">
        <f t="shared" si="7"/>
        <v>-83.4</v>
      </c>
      <c r="M85" s="2"/>
      <c r="N85" s="22">
        <f t="shared" si="8"/>
        <v>0</v>
      </c>
      <c r="O85" s="11"/>
      <c r="P85" s="2">
        <v>-83.4</v>
      </c>
      <c r="Q85" s="2"/>
      <c r="R85" s="22">
        <f t="shared" si="9"/>
        <v>-3.7969709550388119E-5</v>
      </c>
      <c r="S85" s="2"/>
      <c r="T85" s="2"/>
      <c r="U85" s="2"/>
      <c r="V85" s="22">
        <f t="shared" si="10"/>
        <v>0</v>
      </c>
      <c r="W85" s="2"/>
      <c r="X85" s="2">
        <f t="shared" si="11"/>
        <v>-83.4</v>
      </c>
      <c r="Y85" s="2"/>
      <c r="Z85" s="22">
        <f t="shared" si="12"/>
        <v>0</v>
      </c>
    </row>
    <row r="86" spans="1:26" s="24" customFormat="1" hidden="1" outlineLevel="1" x14ac:dyDescent="0.25">
      <c r="A86" s="51"/>
      <c r="B86" s="11" t="str">
        <f>CONCATENATE("          ", "5031", " - ", "PURCHASES @ COST-FOOD")</f>
        <v xml:space="preserve">          5031 - PURCHASES @ COST-FOOD</v>
      </c>
      <c r="C86" s="11"/>
      <c r="D86" s="2">
        <v>4065.92</v>
      </c>
      <c r="E86" s="2"/>
      <c r="F86" s="22">
        <f t="shared" si="5"/>
        <v>1.096209096320391E-2</v>
      </c>
      <c r="G86" s="2"/>
      <c r="H86" s="2"/>
      <c r="I86" s="2"/>
      <c r="J86" s="22">
        <f t="shared" si="6"/>
        <v>0</v>
      </c>
      <c r="K86" s="2"/>
      <c r="L86" s="2">
        <f t="shared" si="7"/>
        <v>4065.92</v>
      </c>
      <c r="M86" s="2"/>
      <c r="N86" s="22">
        <f t="shared" si="8"/>
        <v>0</v>
      </c>
      <c r="O86" s="11"/>
      <c r="P86" s="2">
        <v>4065.92</v>
      </c>
      <c r="Q86" s="2"/>
      <c r="R86" s="22">
        <f t="shared" si="9"/>
        <v>1.8511007368718711E-3</v>
      </c>
      <c r="S86" s="2"/>
      <c r="T86" s="2"/>
      <c r="U86" s="2"/>
      <c r="V86" s="22">
        <f t="shared" si="10"/>
        <v>0</v>
      </c>
      <c r="W86" s="2"/>
      <c r="X86" s="2">
        <f t="shared" si="11"/>
        <v>4065.92</v>
      </c>
      <c r="Y86" s="2"/>
      <c r="Z86" s="22">
        <f t="shared" si="12"/>
        <v>0</v>
      </c>
    </row>
    <row r="87" spans="1:26" s="24" customFormat="1" hidden="1" outlineLevel="1" x14ac:dyDescent="0.25">
      <c r="A87" s="51"/>
      <c r="B87" s="11" t="str">
        <f>CONCATENATE("          ", "5040", " - ", "PURCHASES @ COST-LOGO CLOTHING")</f>
        <v xml:space="preserve">          5040 - PURCHASES @ COST-LOGO CLOTHING</v>
      </c>
      <c r="C87" s="11"/>
      <c r="D87" s="2">
        <v>4398.1499999999996</v>
      </c>
      <c r="E87" s="2"/>
      <c r="F87" s="22">
        <f t="shared" si="5"/>
        <v>1.1857813328795271E-2</v>
      </c>
      <c r="G87" s="2"/>
      <c r="H87" s="2"/>
      <c r="I87" s="2"/>
      <c r="J87" s="22">
        <f t="shared" si="6"/>
        <v>0</v>
      </c>
      <c r="K87" s="2"/>
      <c r="L87" s="2">
        <f t="shared" si="7"/>
        <v>4398.1499999999996</v>
      </c>
      <c r="M87" s="2"/>
      <c r="N87" s="22">
        <f t="shared" si="8"/>
        <v>0</v>
      </c>
      <c r="O87" s="11"/>
      <c r="P87" s="2">
        <v>13750.05</v>
      </c>
      <c r="Q87" s="2"/>
      <c r="R87" s="22">
        <f t="shared" si="9"/>
        <v>6.2600168441644373E-3</v>
      </c>
      <c r="S87" s="2"/>
      <c r="T87" s="2"/>
      <c r="U87" s="2"/>
      <c r="V87" s="22">
        <f t="shared" si="10"/>
        <v>0</v>
      </c>
      <c r="W87" s="2"/>
      <c r="X87" s="2">
        <f t="shared" si="11"/>
        <v>13750.05</v>
      </c>
      <c r="Y87" s="2"/>
      <c r="Z87" s="22">
        <f t="shared" si="12"/>
        <v>0</v>
      </c>
    </row>
    <row r="88" spans="1:26" s="24" customFormat="1" hidden="1" outlineLevel="1" x14ac:dyDescent="0.25">
      <c r="A88" s="51"/>
      <c r="B88" s="11" t="str">
        <f>CONCATENATE("          ", "5041", " - ", "PURCHASES @ COST-LOGO GIFTS")</f>
        <v xml:space="preserve">          5041 - PURCHASES @ COST-LOGO GIFTS</v>
      </c>
      <c r="C88" s="11"/>
      <c r="D88" s="2">
        <v>868</v>
      </c>
      <c r="E88" s="2"/>
      <c r="F88" s="22">
        <f t="shared" si="5"/>
        <v>2.3402071255855974E-3</v>
      </c>
      <c r="G88" s="2"/>
      <c r="H88" s="2"/>
      <c r="I88" s="2"/>
      <c r="J88" s="22">
        <f t="shared" si="6"/>
        <v>0</v>
      </c>
      <c r="K88" s="2"/>
      <c r="L88" s="2">
        <f t="shared" si="7"/>
        <v>868</v>
      </c>
      <c r="M88" s="2"/>
      <c r="N88" s="22">
        <f t="shared" si="8"/>
        <v>0</v>
      </c>
      <c r="O88" s="11"/>
      <c r="P88" s="2">
        <v>1997.54</v>
      </c>
      <c r="Q88" s="2"/>
      <c r="R88" s="22">
        <f t="shared" si="9"/>
        <v>9.0942462368443975E-4</v>
      </c>
      <c r="S88" s="2"/>
      <c r="T88" s="2"/>
      <c r="U88" s="2"/>
      <c r="V88" s="22">
        <f t="shared" si="10"/>
        <v>0</v>
      </c>
      <c r="W88" s="2"/>
      <c r="X88" s="2">
        <f t="shared" si="11"/>
        <v>1997.54</v>
      </c>
      <c r="Y88" s="2"/>
      <c r="Z88" s="22">
        <f t="shared" si="12"/>
        <v>0</v>
      </c>
    </row>
    <row r="89" spans="1:26" s="24" customFormat="1" hidden="1" outlineLevel="1" x14ac:dyDescent="0.25">
      <c r="A89" s="51"/>
      <c r="B89" s="11" t="str">
        <f>CONCATENATE("          ", "5042", " - ", "PURCHASES @ COST-EVERYDAY GIFT")</f>
        <v xml:space="preserve">          5042 - PURCHASES @ COST-EVERYDAY GIFT</v>
      </c>
      <c r="C89" s="11"/>
      <c r="D89" s="2">
        <v>522</v>
      </c>
      <c r="E89" s="2"/>
      <c r="F89" s="22">
        <f t="shared" si="5"/>
        <v>1.4073595847415691E-3</v>
      </c>
      <c r="G89" s="2"/>
      <c r="H89" s="2"/>
      <c r="I89" s="2"/>
      <c r="J89" s="22">
        <f t="shared" si="6"/>
        <v>0</v>
      </c>
      <c r="K89" s="2"/>
      <c r="L89" s="2">
        <f t="shared" si="7"/>
        <v>522</v>
      </c>
      <c r="M89" s="2"/>
      <c r="N89" s="22">
        <f t="shared" si="8"/>
        <v>0</v>
      </c>
      <c r="O89" s="11"/>
      <c r="P89" s="2">
        <v>1491.15</v>
      </c>
      <c r="Q89" s="2"/>
      <c r="R89" s="22">
        <f t="shared" si="9"/>
        <v>6.7887928532447538E-4</v>
      </c>
      <c r="S89" s="2"/>
      <c r="T89" s="2"/>
      <c r="U89" s="2"/>
      <c r="V89" s="22">
        <f t="shared" si="10"/>
        <v>0</v>
      </c>
      <c r="W89" s="2"/>
      <c r="X89" s="2">
        <f t="shared" si="11"/>
        <v>1491.15</v>
      </c>
      <c r="Y89" s="2"/>
      <c r="Z89" s="22">
        <f t="shared" si="12"/>
        <v>0</v>
      </c>
    </row>
    <row r="90" spans="1:26" s="24" customFormat="1" hidden="1" outlineLevel="1" x14ac:dyDescent="0.25">
      <c r="A90" s="51"/>
      <c r="B90" s="11" t="str">
        <f>CONCATENATE("          ", "5043", " - ", "PURCHASES @ COST-CARDS")</f>
        <v xml:space="preserve">          5043 - PURCHASES @ COST-CARDS</v>
      </c>
      <c r="C90" s="11"/>
      <c r="D90" s="2">
        <v>1401</v>
      </c>
      <c r="E90" s="2"/>
      <c r="F90" s="22">
        <f t="shared" si="5"/>
        <v>3.7772237130707627E-3</v>
      </c>
      <c r="G90" s="2"/>
      <c r="H90" s="2"/>
      <c r="I90" s="2"/>
      <c r="J90" s="22">
        <f t="shared" si="6"/>
        <v>0</v>
      </c>
      <c r="K90" s="2"/>
      <c r="L90" s="2">
        <f t="shared" si="7"/>
        <v>1401</v>
      </c>
      <c r="M90" s="2"/>
      <c r="N90" s="22">
        <f t="shared" si="8"/>
        <v>0</v>
      </c>
      <c r="O90" s="11"/>
      <c r="P90" s="2">
        <v>3116.25</v>
      </c>
      <c r="Q90" s="2"/>
      <c r="R90" s="22">
        <f t="shared" si="9"/>
        <v>1.4187422948009228E-3</v>
      </c>
      <c r="S90" s="2"/>
      <c r="T90" s="2"/>
      <c r="U90" s="2"/>
      <c r="V90" s="22">
        <f t="shared" si="10"/>
        <v>0</v>
      </c>
      <c r="W90" s="2"/>
      <c r="X90" s="2">
        <f t="shared" si="11"/>
        <v>3116.25</v>
      </c>
      <c r="Y90" s="2"/>
      <c r="Z90" s="22">
        <f t="shared" si="12"/>
        <v>0</v>
      </c>
    </row>
    <row r="91" spans="1:26" s="24" customFormat="1" hidden="1" outlineLevel="1" x14ac:dyDescent="0.25">
      <c r="A91" s="51"/>
      <c r="B91" s="11" t="str">
        <f>CONCATENATE("          ", "5045", " - ", "PURCHASES @ COST-SPECIAL ORDER")</f>
        <v xml:space="preserve">          5045 - PURCHASES @ COST-SPECIAL ORDER</v>
      </c>
      <c r="C91" s="11"/>
      <c r="D91" s="2">
        <v>52784.12</v>
      </c>
      <c r="E91" s="2"/>
      <c r="F91" s="22">
        <f t="shared" si="5"/>
        <v>0.14231079924166504</v>
      </c>
      <c r="G91" s="2"/>
      <c r="H91" s="2"/>
      <c r="I91" s="2"/>
      <c r="J91" s="22">
        <f t="shared" si="6"/>
        <v>0</v>
      </c>
      <c r="K91" s="2"/>
      <c r="L91" s="2">
        <f t="shared" si="7"/>
        <v>52784.12</v>
      </c>
      <c r="M91" s="2"/>
      <c r="N91" s="22">
        <f t="shared" si="8"/>
        <v>0</v>
      </c>
      <c r="O91" s="11"/>
      <c r="P91" s="2">
        <v>61174.290000000008</v>
      </c>
      <c r="Q91" s="2"/>
      <c r="R91" s="22">
        <f t="shared" si="9"/>
        <v>2.7850959511405426E-2</v>
      </c>
      <c r="S91" s="2"/>
      <c r="T91" s="2"/>
      <c r="U91" s="2"/>
      <c r="V91" s="22">
        <f t="shared" si="10"/>
        <v>0</v>
      </c>
      <c r="W91" s="2"/>
      <c r="X91" s="2">
        <f t="shared" si="11"/>
        <v>61174.290000000008</v>
      </c>
      <c r="Y91" s="2"/>
      <c r="Z91" s="22">
        <f t="shared" si="12"/>
        <v>0</v>
      </c>
    </row>
    <row r="92" spans="1:26" s="24" customFormat="1" hidden="1" outlineLevel="1" x14ac:dyDescent="0.25">
      <c r="A92" s="51"/>
      <c r="B92" s="11" t="str">
        <f>CONCATENATE("          ", "5053", " - ", "PURCHASES @ COST-FOOD")</f>
        <v xml:space="preserve">          5053 - PURCHASES @ COST-FOOD</v>
      </c>
      <c r="C92" s="11"/>
      <c r="D92" s="2">
        <v>53.15</v>
      </c>
      <c r="E92" s="2"/>
      <c r="F92" s="22">
        <f t="shared" si="5"/>
        <v>1.4329724507474023E-4</v>
      </c>
      <c r="G92" s="2"/>
      <c r="H92" s="2"/>
      <c r="I92" s="2"/>
      <c r="J92" s="22">
        <f t="shared" si="6"/>
        <v>0</v>
      </c>
      <c r="K92" s="2"/>
      <c r="L92" s="2">
        <f t="shared" si="7"/>
        <v>53.15</v>
      </c>
      <c r="M92" s="2"/>
      <c r="N92" s="22">
        <f t="shared" si="8"/>
        <v>0</v>
      </c>
      <c r="O92" s="11"/>
      <c r="P92" s="2">
        <v>-2285.4</v>
      </c>
      <c r="Q92" s="2"/>
      <c r="R92" s="22">
        <f t="shared" si="9"/>
        <v>-1.0404793070318587E-3</v>
      </c>
      <c r="S92" s="2"/>
      <c r="T92" s="2"/>
      <c r="U92" s="2"/>
      <c r="V92" s="22">
        <f t="shared" si="10"/>
        <v>0</v>
      </c>
      <c r="W92" s="2"/>
      <c r="X92" s="2">
        <f t="shared" si="11"/>
        <v>-2285.4</v>
      </c>
      <c r="Y92" s="2"/>
      <c r="Z92" s="22">
        <f t="shared" si="12"/>
        <v>0</v>
      </c>
    </row>
    <row r="93" spans="1:26" s="24" customFormat="1" hidden="1" outlineLevel="1" x14ac:dyDescent="0.25">
      <c r="A93" s="51"/>
      <c r="B93" s="11" t="str">
        <f>CONCATENATE("          ", "5059", " - ", "PURCHASES @ COST-FOOD")</f>
        <v xml:space="preserve">          5059 - PURCHASES @ COST-FOOD</v>
      </c>
      <c r="C93" s="11"/>
      <c r="D93" s="2"/>
      <c r="E93" s="2"/>
      <c r="F93" s="22">
        <f t="shared" si="5"/>
        <v>0</v>
      </c>
      <c r="G93" s="2"/>
      <c r="H93" s="2"/>
      <c r="I93" s="2"/>
      <c r="J93" s="22">
        <f t="shared" si="6"/>
        <v>0</v>
      </c>
      <c r="K93" s="2"/>
      <c r="L93" s="2">
        <f t="shared" si="7"/>
        <v>0</v>
      </c>
      <c r="M93" s="2"/>
      <c r="N93" s="22">
        <f t="shared" si="8"/>
        <v>0</v>
      </c>
      <c r="O93" s="11"/>
      <c r="P93" s="2">
        <v>68.91</v>
      </c>
      <c r="Q93" s="2"/>
      <c r="R93" s="22">
        <f t="shared" si="9"/>
        <v>3.1372813970230753E-5</v>
      </c>
      <c r="S93" s="2"/>
      <c r="T93" s="2"/>
      <c r="U93" s="2"/>
      <c r="V93" s="22">
        <f t="shared" si="10"/>
        <v>0</v>
      </c>
      <c r="W93" s="2"/>
      <c r="X93" s="2">
        <f t="shared" si="11"/>
        <v>68.91</v>
      </c>
      <c r="Y93" s="2"/>
      <c r="Z93" s="22">
        <f t="shared" si="12"/>
        <v>0</v>
      </c>
    </row>
    <row r="94" spans="1:26" s="24" customFormat="1" hidden="1" outlineLevel="1" x14ac:dyDescent="0.25">
      <c r="A94" s="51"/>
      <c r="B94" s="11" t="str">
        <f>CONCATENATE("          ", "5200", " - ", "PURCHASES OFFSET")</f>
        <v xml:space="preserve">          5200 - PURCHASES OFFSET</v>
      </c>
      <c r="C94" s="11"/>
      <c r="D94" s="2">
        <v>-821971.10000000009</v>
      </c>
      <c r="E94" s="2"/>
      <c r="F94" s="22">
        <f t="shared" si="5"/>
        <v>-2.2161090152597143</v>
      </c>
      <c r="G94" s="2"/>
      <c r="H94" s="2"/>
      <c r="I94" s="2"/>
      <c r="J94" s="22">
        <f t="shared" si="6"/>
        <v>0</v>
      </c>
      <c r="K94" s="2"/>
      <c r="L94" s="2">
        <f t="shared" si="7"/>
        <v>-821971.10000000009</v>
      </c>
      <c r="M94" s="2"/>
      <c r="N94" s="22">
        <f t="shared" si="8"/>
        <v>0</v>
      </c>
      <c r="O94" s="11"/>
      <c r="P94" s="2">
        <v>-1534973.6800000002</v>
      </c>
      <c r="Q94" s="2"/>
      <c r="R94" s="22">
        <f t="shared" si="9"/>
        <v>-0.69883099277086813</v>
      </c>
      <c r="S94" s="2"/>
      <c r="T94" s="2"/>
      <c r="U94" s="2"/>
      <c r="V94" s="22">
        <f t="shared" si="10"/>
        <v>0</v>
      </c>
      <c r="W94" s="2"/>
      <c r="X94" s="2">
        <f t="shared" si="11"/>
        <v>-1534973.6800000002</v>
      </c>
      <c r="Y94" s="2"/>
      <c r="Z94" s="22">
        <f t="shared" si="12"/>
        <v>0</v>
      </c>
    </row>
    <row r="95" spans="1:26" s="24" customFormat="1" hidden="1" outlineLevel="1" x14ac:dyDescent="0.25">
      <c r="A95" s="51"/>
      <c r="B95" s="11" t="str">
        <f>CONCATENATE("          ", "5300", " - ", "COG$ OFFSET")</f>
        <v xml:space="preserve">          5300 - COG$ OFFSET</v>
      </c>
      <c r="C95" s="11"/>
      <c r="D95" s="2">
        <v>204421</v>
      </c>
      <c r="E95" s="2"/>
      <c r="F95" s="22">
        <f t="shared" si="5"/>
        <v>0.55113765071351783</v>
      </c>
      <c r="G95" s="2"/>
      <c r="H95" s="2"/>
      <c r="I95" s="2"/>
      <c r="J95" s="22">
        <f t="shared" si="6"/>
        <v>0</v>
      </c>
      <c r="K95" s="2"/>
      <c r="L95" s="2">
        <f t="shared" si="7"/>
        <v>204421</v>
      </c>
      <c r="M95" s="2"/>
      <c r="N95" s="22">
        <f t="shared" si="8"/>
        <v>0</v>
      </c>
      <c r="O95" s="11"/>
      <c r="P95" s="2">
        <v>1110478</v>
      </c>
      <c r="Q95" s="2"/>
      <c r="R95" s="22">
        <f t="shared" si="9"/>
        <v>0.50556986956949512</v>
      </c>
      <c r="S95" s="2"/>
      <c r="T95" s="2"/>
      <c r="U95" s="2"/>
      <c r="V95" s="22">
        <f t="shared" si="10"/>
        <v>0</v>
      </c>
      <c r="W95" s="2"/>
      <c r="X95" s="2">
        <f t="shared" si="11"/>
        <v>1110478</v>
      </c>
      <c r="Y95" s="2"/>
      <c r="Z95" s="22">
        <f t="shared" si="12"/>
        <v>0</v>
      </c>
    </row>
    <row r="96" spans="1:26" s="24" customFormat="1" hidden="1" outlineLevel="1" x14ac:dyDescent="0.25">
      <c r="A96" s="51"/>
      <c r="B96" s="11" t="str">
        <f>CONCATENATE("          ", "5501", " - ", "FREIGHT-IN-NEW TEXT")</f>
        <v xml:space="preserve">          5501 - FREIGHT-IN-NEW TEXT</v>
      </c>
      <c r="C96" s="11"/>
      <c r="D96" s="2">
        <v>5279.6</v>
      </c>
      <c r="E96" s="2"/>
      <c r="F96" s="22">
        <f t="shared" si="5"/>
        <v>1.4234282880462813E-2</v>
      </c>
      <c r="G96" s="2"/>
      <c r="H96" s="2"/>
      <c r="I96" s="2"/>
      <c r="J96" s="22">
        <f t="shared" si="6"/>
        <v>0</v>
      </c>
      <c r="K96" s="2"/>
      <c r="L96" s="2">
        <f t="shared" si="7"/>
        <v>5279.6</v>
      </c>
      <c r="M96" s="2"/>
      <c r="N96" s="22">
        <f t="shared" si="8"/>
        <v>0</v>
      </c>
      <c r="O96" s="11"/>
      <c r="P96" s="2">
        <v>10762.88</v>
      </c>
      <c r="Q96" s="2"/>
      <c r="R96" s="22">
        <f t="shared" si="9"/>
        <v>4.9000410974302305E-3</v>
      </c>
      <c r="S96" s="2"/>
      <c r="T96" s="2"/>
      <c r="U96" s="2"/>
      <c r="V96" s="22">
        <f t="shared" si="10"/>
        <v>0</v>
      </c>
      <c r="W96" s="2"/>
      <c r="X96" s="2">
        <f t="shared" si="11"/>
        <v>10762.88</v>
      </c>
      <c r="Y96" s="2"/>
      <c r="Z96" s="22">
        <f t="shared" si="12"/>
        <v>0</v>
      </c>
    </row>
    <row r="97" spans="1:26" s="24" customFormat="1" hidden="1" outlineLevel="1" x14ac:dyDescent="0.25">
      <c r="A97" s="51"/>
      <c r="B97" s="11" t="str">
        <f>CONCATENATE("          ", "5502", " - ", "FREIGHT-IN-USED TEXT")</f>
        <v xml:space="preserve">          5502 - FREIGHT-IN-USED TEXT</v>
      </c>
      <c r="C97" s="11"/>
      <c r="D97" s="2">
        <v>7276.27</v>
      </c>
      <c r="E97" s="2"/>
      <c r="F97" s="22">
        <f t="shared" si="5"/>
        <v>1.9617487213922487E-2</v>
      </c>
      <c r="G97" s="2"/>
      <c r="H97" s="2"/>
      <c r="I97" s="2"/>
      <c r="J97" s="22">
        <f t="shared" si="6"/>
        <v>0</v>
      </c>
      <c r="K97" s="2"/>
      <c r="L97" s="2">
        <f t="shared" si="7"/>
        <v>7276.27</v>
      </c>
      <c r="M97" s="2"/>
      <c r="N97" s="22">
        <f t="shared" si="8"/>
        <v>0</v>
      </c>
      <c r="O97" s="11"/>
      <c r="P97" s="2">
        <v>8510.82</v>
      </c>
      <c r="Q97" s="2"/>
      <c r="R97" s="22">
        <f t="shared" si="9"/>
        <v>3.8747405687725922E-3</v>
      </c>
      <c r="S97" s="2"/>
      <c r="T97" s="2"/>
      <c r="U97" s="2"/>
      <c r="V97" s="22">
        <f t="shared" si="10"/>
        <v>0</v>
      </c>
      <c r="W97" s="2"/>
      <c r="X97" s="2">
        <f t="shared" si="11"/>
        <v>8510.82</v>
      </c>
      <c r="Y97" s="2"/>
      <c r="Z97" s="22">
        <f t="shared" si="12"/>
        <v>0</v>
      </c>
    </row>
    <row r="98" spans="1:26" s="24" customFormat="1" hidden="1" outlineLevel="1" x14ac:dyDescent="0.25">
      <c r="A98" s="51"/>
      <c r="B98" s="11" t="str">
        <f>CONCATENATE("          ", "5504", " - ", "FREIGHT-IN-DIGITAL TEXT")</f>
        <v xml:space="preserve">          5504 - FREIGHT-IN-DIGITAL TEXT</v>
      </c>
      <c r="C98" s="11"/>
      <c r="D98" s="2">
        <v>10.99</v>
      </c>
      <c r="E98" s="2"/>
      <c r="F98" s="22">
        <f t="shared" si="5"/>
        <v>2.9630041832011195E-5</v>
      </c>
      <c r="G98" s="2"/>
      <c r="H98" s="2"/>
      <c r="I98" s="2"/>
      <c r="J98" s="22">
        <f t="shared" si="6"/>
        <v>0</v>
      </c>
      <c r="K98" s="2"/>
      <c r="L98" s="2">
        <f t="shared" si="7"/>
        <v>10.99</v>
      </c>
      <c r="M98" s="2"/>
      <c r="N98" s="22">
        <f t="shared" si="8"/>
        <v>0</v>
      </c>
      <c r="O98" s="11"/>
      <c r="P98" s="2">
        <v>10.99</v>
      </c>
      <c r="Q98" s="2"/>
      <c r="R98" s="22">
        <f t="shared" si="9"/>
        <v>5.0034425414720077E-6</v>
      </c>
      <c r="S98" s="2"/>
      <c r="T98" s="2"/>
      <c r="U98" s="2"/>
      <c r="V98" s="22">
        <f t="shared" si="10"/>
        <v>0</v>
      </c>
      <c r="W98" s="2"/>
      <c r="X98" s="2">
        <f t="shared" si="11"/>
        <v>10.99</v>
      </c>
      <c r="Y98" s="2"/>
      <c r="Z98" s="22">
        <f t="shared" si="12"/>
        <v>0</v>
      </c>
    </row>
    <row r="99" spans="1:26" s="24" customFormat="1" hidden="1" outlineLevel="1" x14ac:dyDescent="0.25">
      <c r="A99" s="51"/>
      <c r="B99" s="11" t="str">
        <f>CONCATENATE("          ", "5528", " - ", "FREIGHT-IN-ART/TECH")</f>
        <v xml:space="preserve">          5528 - FREIGHT-IN-ART/TECH</v>
      </c>
      <c r="C99" s="11"/>
      <c r="D99" s="2">
        <v>6.76</v>
      </c>
      <c r="E99" s="2"/>
      <c r="F99" s="22">
        <f t="shared" si="5"/>
        <v>1.8225576231519168E-5</v>
      </c>
      <c r="G99" s="2"/>
      <c r="H99" s="2"/>
      <c r="I99" s="2"/>
      <c r="J99" s="22">
        <f t="shared" si="6"/>
        <v>0</v>
      </c>
      <c r="K99" s="2"/>
      <c r="L99" s="2">
        <f t="shared" si="7"/>
        <v>6.76</v>
      </c>
      <c r="M99" s="2"/>
      <c r="N99" s="22">
        <f t="shared" si="8"/>
        <v>0</v>
      </c>
      <c r="O99" s="11"/>
      <c r="P99" s="2">
        <v>44.81</v>
      </c>
      <c r="Q99" s="2"/>
      <c r="R99" s="22">
        <f t="shared" si="9"/>
        <v>2.0400751618140188E-5</v>
      </c>
      <c r="S99" s="2"/>
      <c r="T99" s="2"/>
      <c r="U99" s="2"/>
      <c r="V99" s="22">
        <f t="shared" si="10"/>
        <v>0</v>
      </c>
      <c r="W99" s="2"/>
      <c r="X99" s="2">
        <f t="shared" si="11"/>
        <v>44.81</v>
      </c>
      <c r="Y99" s="2"/>
      <c r="Z99" s="22">
        <f t="shared" si="12"/>
        <v>0</v>
      </c>
    </row>
    <row r="100" spans="1:26" s="24" customFormat="1" hidden="1" outlineLevel="1" x14ac:dyDescent="0.25">
      <c r="A100" s="51"/>
      <c r="B100" s="11" t="str">
        <f>CONCATENATE("          ", "5540", " - ", "FREIGHT-IN-LOGO CLOTHING")</f>
        <v xml:space="preserve">          5540 - FREIGHT-IN-LOGO CLOTHING</v>
      </c>
      <c r="C100" s="11"/>
      <c r="D100" s="2">
        <v>234.23</v>
      </c>
      <c r="E100" s="2"/>
      <c r="F100" s="22">
        <f t="shared" si="5"/>
        <v>6.315054320575052E-4</v>
      </c>
      <c r="G100" s="2"/>
      <c r="H100" s="2"/>
      <c r="I100" s="2"/>
      <c r="J100" s="22">
        <f t="shared" si="6"/>
        <v>0</v>
      </c>
      <c r="K100" s="2"/>
      <c r="L100" s="2">
        <f t="shared" si="7"/>
        <v>234.23</v>
      </c>
      <c r="M100" s="2"/>
      <c r="N100" s="22">
        <f t="shared" si="8"/>
        <v>0</v>
      </c>
      <c r="O100" s="11"/>
      <c r="P100" s="2">
        <v>2165.7600000000002</v>
      </c>
      <c r="Q100" s="2"/>
      <c r="R100" s="22">
        <f t="shared" si="9"/>
        <v>9.860105294466257E-4</v>
      </c>
      <c r="S100" s="2"/>
      <c r="T100" s="2"/>
      <c r="U100" s="2"/>
      <c r="V100" s="22">
        <f t="shared" si="10"/>
        <v>0</v>
      </c>
      <c r="W100" s="2"/>
      <c r="X100" s="2">
        <f t="shared" si="11"/>
        <v>2165.7600000000002</v>
      </c>
      <c r="Y100" s="2"/>
      <c r="Z100" s="22">
        <f t="shared" si="12"/>
        <v>0</v>
      </c>
    </row>
    <row r="101" spans="1:26" s="24" customFormat="1" hidden="1" outlineLevel="1" x14ac:dyDescent="0.25">
      <c r="A101" s="51"/>
      <c r="B101" s="11" t="str">
        <f>CONCATENATE("          ", "5541", " - ", "FREIGHT-IN-LOGO GIFTS")</f>
        <v xml:space="preserve">          5541 - FREIGHT-IN-LOGO GIFTS</v>
      </c>
      <c r="C101" s="11"/>
      <c r="D101" s="2">
        <v>154.41</v>
      </c>
      <c r="E101" s="2"/>
      <c r="F101" s="22">
        <f t="shared" si="5"/>
        <v>4.1630343578533656E-4</v>
      </c>
      <c r="G101" s="2"/>
      <c r="H101" s="2"/>
      <c r="I101" s="2"/>
      <c r="J101" s="22">
        <f t="shared" si="6"/>
        <v>0</v>
      </c>
      <c r="K101" s="2"/>
      <c r="L101" s="2">
        <f t="shared" si="7"/>
        <v>154.41</v>
      </c>
      <c r="M101" s="2"/>
      <c r="N101" s="22">
        <f t="shared" si="8"/>
        <v>0</v>
      </c>
      <c r="O101" s="11"/>
      <c r="P101" s="2">
        <v>361.11</v>
      </c>
      <c r="Q101" s="2"/>
      <c r="R101" s="22">
        <f t="shared" si="9"/>
        <v>1.6440337908561935E-4</v>
      </c>
      <c r="S101" s="2"/>
      <c r="T101" s="2"/>
      <c r="U101" s="2"/>
      <c r="V101" s="22">
        <f t="shared" si="10"/>
        <v>0</v>
      </c>
      <c r="W101" s="2"/>
      <c r="X101" s="2">
        <f t="shared" si="11"/>
        <v>361.11</v>
      </c>
      <c r="Y101" s="2"/>
      <c r="Z101" s="22">
        <f t="shared" si="12"/>
        <v>0</v>
      </c>
    </row>
    <row r="102" spans="1:26" s="24" customFormat="1" hidden="1" outlineLevel="1" x14ac:dyDescent="0.25">
      <c r="A102" s="51"/>
      <c r="B102" s="11" t="str">
        <f>CONCATENATE("          ", "5542", " - ", "FREIGHT-IN-EVERYDAY GIFTS")</f>
        <v xml:space="preserve">          5542 - FREIGHT-IN-EVERYDAY GIFTS</v>
      </c>
      <c r="C102" s="11"/>
      <c r="D102" s="2">
        <v>65.44</v>
      </c>
      <c r="E102" s="2"/>
      <c r="F102" s="22">
        <f t="shared" si="5"/>
        <v>1.7643220541281278E-4</v>
      </c>
      <c r="G102" s="2"/>
      <c r="H102" s="2"/>
      <c r="I102" s="2"/>
      <c r="J102" s="22">
        <f t="shared" si="6"/>
        <v>0</v>
      </c>
      <c r="K102" s="2"/>
      <c r="L102" s="2">
        <f t="shared" si="7"/>
        <v>65.44</v>
      </c>
      <c r="M102" s="2"/>
      <c r="N102" s="22">
        <f t="shared" si="8"/>
        <v>0</v>
      </c>
      <c r="O102" s="11"/>
      <c r="P102" s="2">
        <v>71.38</v>
      </c>
      <c r="Q102" s="2"/>
      <c r="R102" s="22">
        <f t="shared" si="9"/>
        <v>3.2497336543245844E-5</v>
      </c>
      <c r="S102" s="2"/>
      <c r="T102" s="2"/>
      <c r="U102" s="2"/>
      <c r="V102" s="22">
        <f t="shared" si="10"/>
        <v>0</v>
      </c>
      <c r="W102" s="2"/>
      <c r="X102" s="2">
        <f t="shared" si="11"/>
        <v>71.38</v>
      </c>
      <c r="Y102" s="2"/>
      <c r="Z102" s="22">
        <f t="shared" si="12"/>
        <v>0</v>
      </c>
    </row>
    <row r="103" spans="1:26" s="24" customFormat="1" hidden="1" outlineLevel="1" x14ac:dyDescent="0.25">
      <c r="A103" s="51"/>
      <c r="B103" s="11" t="str">
        <f>CONCATENATE("          ", "5543", " - ", "FREIGHT-IN-CARDS")</f>
        <v xml:space="preserve">          5543 - FREIGHT-IN-CARDS</v>
      </c>
      <c r="C103" s="11"/>
      <c r="D103" s="2">
        <v>81.77</v>
      </c>
      <c r="E103" s="2"/>
      <c r="F103" s="22">
        <f t="shared" si="5"/>
        <v>2.2045937403126071E-4</v>
      </c>
      <c r="G103" s="2"/>
      <c r="H103" s="2"/>
      <c r="I103" s="2"/>
      <c r="J103" s="22">
        <f t="shared" si="6"/>
        <v>0</v>
      </c>
      <c r="K103" s="2"/>
      <c r="L103" s="2">
        <f t="shared" si="7"/>
        <v>81.77</v>
      </c>
      <c r="M103" s="2"/>
      <c r="N103" s="22">
        <f t="shared" si="8"/>
        <v>0</v>
      </c>
      <c r="O103" s="11"/>
      <c r="P103" s="2">
        <v>81.77</v>
      </c>
      <c r="Q103" s="2"/>
      <c r="R103" s="22">
        <f t="shared" si="9"/>
        <v>3.7227615706657508E-5</v>
      </c>
      <c r="S103" s="2"/>
      <c r="T103" s="2"/>
      <c r="U103" s="2"/>
      <c r="V103" s="22">
        <f t="shared" si="10"/>
        <v>0</v>
      </c>
      <c r="W103" s="2"/>
      <c r="X103" s="2">
        <f t="shared" si="11"/>
        <v>81.77</v>
      </c>
      <c r="Y103" s="2"/>
      <c r="Z103" s="22">
        <f t="shared" si="12"/>
        <v>0</v>
      </c>
    </row>
    <row r="104" spans="1:26" s="24" customFormat="1" hidden="1" outlineLevel="1" x14ac:dyDescent="0.25">
      <c r="A104" s="51"/>
      <c r="B104" s="11" t="str">
        <f>CONCATENATE("          ", "5545", " - ", "FREIGHT-IN-SPECIAL ORDERS")</f>
        <v xml:space="preserve">          5545 - FREIGHT-IN-SPECIAL ORDERS</v>
      </c>
      <c r="C104" s="11"/>
      <c r="D104" s="2">
        <v>214.61</v>
      </c>
      <c r="E104" s="2"/>
      <c r="F104" s="22">
        <f t="shared" si="5"/>
        <v>5.7860812352756349E-4</v>
      </c>
      <c r="G104" s="2"/>
      <c r="H104" s="2"/>
      <c r="I104" s="2"/>
      <c r="J104" s="22">
        <f t="shared" si="6"/>
        <v>0</v>
      </c>
      <c r="K104" s="2"/>
      <c r="L104" s="2">
        <f t="shared" si="7"/>
        <v>214.61</v>
      </c>
      <c r="M104" s="2"/>
      <c r="N104" s="22">
        <f t="shared" si="8"/>
        <v>0</v>
      </c>
      <c r="O104" s="11"/>
      <c r="P104" s="2">
        <v>660.61</v>
      </c>
      <c r="Q104" s="2"/>
      <c r="R104" s="22">
        <f t="shared" si="9"/>
        <v>3.007574319674088E-4</v>
      </c>
      <c r="S104" s="2"/>
      <c r="T104" s="2"/>
      <c r="U104" s="2"/>
      <c r="V104" s="22">
        <f t="shared" si="10"/>
        <v>0</v>
      </c>
      <c r="W104" s="2"/>
      <c r="X104" s="2">
        <f t="shared" si="11"/>
        <v>660.61</v>
      </c>
      <c r="Y104" s="2"/>
      <c r="Z104" s="22">
        <f t="shared" si="12"/>
        <v>0</v>
      </c>
    </row>
    <row r="105" spans="1:26" x14ac:dyDescent="0.25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x14ac:dyDescent="0.25">
      <c r="A106" s="10"/>
      <c r="B106" s="26" t="s">
        <v>6</v>
      </c>
      <c r="C106" s="26"/>
      <c r="D106" s="20">
        <f>D12-D76</f>
        <v>139713.09000000011</v>
      </c>
      <c r="E106" s="13"/>
      <c r="F106" s="21">
        <f>IF(D$12=0,0,D106/D$12)</f>
        <v>0.37667922667693798</v>
      </c>
      <c r="G106" s="13"/>
      <c r="H106" s="20">
        <f>H12-H76</f>
        <v>486413</v>
      </c>
      <c r="I106" s="13"/>
      <c r="J106" s="21">
        <f>IF(H$12=0,0,H106/H$12)</f>
        <v>0.36332936450432712</v>
      </c>
      <c r="K106" s="16"/>
      <c r="L106" s="20">
        <f>+D106-H106</f>
        <v>-346699.90999999992</v>
      </c>
      <c r="M106" s="16"/>
      <c r="N106" s="21">
        <f>IF(H106=0,0,L106/H106)</f>
        <v>-0.71276859376702495</v>
      </c>
      <c r="O106" s="25"/>
      <c r="P106" s="20">
        <f>P12-P76</f>
        <v>744744.75999999931</v>
      </c>
      <c r="Q106" s="13"/>
      <c r="R106" s="21">
        <f>IF(P$12=0,0,P106/P$12)</f>
        <v>0.33906165739056932</v>
      </c>
      <c r="S106" s="13"/>
      <c r="T106" s="20">
        <f>T12-T76</f>
        <v>1333808</v>
      </c>
      <c r="U106" s="13"/>
      <c r="V106" s="21">
        <f>IF(T$12=0,0,T106/T$12)</f>
        <v>0.36651686041638903</v>
      </c>
      <c r="W106" s="16"/>
      <c r="X106" s="20">
        <f>+P106-T106</f>
        <v>-589063.24000000069</v>
      </c>
      <c r="Y106" s="16"/>
      <c r="Z106" s="21">
        <f>IF(T106=0,0,X106/T106)</f>
        <v>-0.44164020608663368</v>
      </c>
    </row>
    <row r="107" spans="1:26" x14ac:dyDescent="0.25">
      <c r="A107" s="9"/>
      <c r="B107" s="10"/>
      <c r="C107" s="9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6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x14ac:dyDescent="0.25">
      <c r="A108" s="10"/>
      <c r="B108" s="25" t="s">
        <v>9</v>
      </c>
      <c r="C108" s="10"/>
      <c r="D108" s="19">
        <f>SUM(OSRRefD22x_0)</f>
        <v>291986.44</v>
      </c>
      <c r="E108" s="19"/>
      <c r="F108" s="35">
        <f t="shared" ref="F108:F119" si="13">IF(D$12=0,0,D108/D$12)</f>
        <v>0.78722205928844646</v>
      </c>
      <c r="G108" s="19"/>
      <c r="H108" s="19">
        <f>SUM(OSRRefH22x_0)</f>
        <v>457136.67182081542</v>
      </c>
      <c r="I108" s="19"/>
      <c r="J108" s="35">
        <f t="shared" ref="J108:J119" si="14">IF(H$12=0,0,H108/H$12)</f>
        <v>0.34146122012421543</v>
      </c>
      <c r="K108" s="4"/>
      <c r="L108" s="19">
        <f t="shared" ref="L108:L119" si="15">+D108-H108</f>
        <v>-165150.23182081542</v>
      </c>
      <c r="M108" s="4"/>
      <c r="N108" s="35">
        <f t="shared" ref="N108:N119" si="16">IF(H108=0,0,L108/H108)</f>
        <v>-0.36127102024654373</v>
      </c>
      <c r="O108" s="10"/>
      <c r="P108" s="19">
        <f>SUM(OSRRefP22x_0)</f>
        <v>899728.87999999989</v>
      </c>
      <c r="Q108" s="19"/>
      <c r="R108" s="35">
        <f t="shared" ref="R108:R119" si="17">IF(P$12=0,0,P108/P$12)</f>
        <v>0.40962163366541965</v>
      </c>
      <c r="S108" s="19"/>
      <c r="T108" s="19">
        <f>SUM(OSRRefT22x_0)</f>
        <v>1372207.958039175</v>
      </c>
      <c r="U108" s="19"/>
      <c r="V108" s="35">
        <f t="shared" ref="V108:V119" si="18">IF(T$12=0,0,T108/T$12)</f>
        <v>0.37706877797921629</v>
      </c>
      <c r="W108" s="4"/>
      <c r="X108" s="19">
        <f t="shared" ref="X108:X119" si="19">+P108-T108</f>
        <v>-472479.07803917513</v>
      </c>
      <c r="Y108" s="4"/>
      <c r="Z108" s="35">
        <f t="shared" ref="Z108:Z119" si="20">IF(T108=0,0,X108/T108)</f>
        <v>-0.34432031622548454</v>
      </c>
    </row>
    <row r="109" spans="1:26" s="28" customFormat="1" outlineLevel="1" collapsed="1" x14ac:dyDescent="0.25">
      <c r="A109" s="27"/>
      <c r="B109" s="14" t="str">
        <f>CONCATENATE("     ","*Benefits                                         ")</f>
        <v xml:space="preserve">     *Benefits                                         </v>
      </c>
      <c r="C109" s="14"/>
      <c r="D109" s="1">
        <f>SUM(OSRRefD22_0x_0)</f>
        <v>52903.110000000008</v>
      </c>
      <c r="E109" s="1"/>
      <c r="F109" s="5">
        <f t="shared" si="13"/>
        <v>0.14263160712861603</v>
      </c>
      <c r="G109" s="1"/>
      <c r="H109" s="1">
        <f>SUM(OSRRefH22_0x_0)</f>
        <v>49415.136038661534</v>
      </c>
      <c r="I109" s="1"/>
      <c r="J109" s="5">
        <f t="shared" si="14"/>
        <v>3.6910958329283483E-2</v>
      </c>
      <c r="K109" s="1"/>
      <c r="L109" s="1">
        <f t="shared" si="15"/>
        <v>3487.9739613384736</v>
      </c>
      <c r="M109" s="1"/>
      <c r="N109" s="5">
        <f t="shared" si="16"/>
        <v>7.0585133239530987E-2</v>
      </c>
      <c r="O109" s="14"/>
      <c r="P109" s="1">
        <f>SUM(OSRRefP22_0x_0)</f>
        <v>153954.12000000002</v>
      </c>
      <c r="Q109" s="1"/>
      <c r="R109" s="5">
        <f t="shared" si="17"/>
        <v>7.0091045809179839E-2</v>
      </c>
      <c r="S109" s="1"/>
      <c r="T109" s="1">
        <f>SUM(OSRRefT22_0x_0)</f>
        <v>164453.97824717496</v>
      </c>
      <c r="U109" s="1"/>
      <c r="V109" s="5">
        <f t="shared" si="18"/>
        <v>4.5190279103244024E-2</v>
      </c>
      <c r="W109" s="1"/>
      <c r="X109" s="1">
        <f t="shared" si="19"/>
        <v>-10499.85824717494</v>
      </c>
      <c r="Y109" s="1"/>
      <c r="Z109" s="5">
        <f t="shared" si="20"/>
        <v>-6.384678777057988E-2</v>
      </c>
    </row>
    <row r="110" spans="1:26" s="24" customFormat="1" hidden="1" outlineLevel="2" x14ac:dyDescent="0.25">
      <c r="A110" s="29"/>
      <c r="B110" s="11" t="str">
        <f>CONCATENATE("          ", "6111", " - ", "F.I.C.A.")</f>
        <v xml:space="preserve">          6111 - F.I.C.A.</v>
      </c>
      <c r="C110" s="11"/>
      <c r="D110" s="6">
        <v>12116.03</v>
      </c>
      <c r="E110" s="2"/>
      <c r="F110" s="7">
        <f t="shared" si="13"/>
        <v>3.2665921359226809E-2</v>
      </c>
      <c r="G110" s="2"/>
      <c r="H110" s="6">
        <v>7357.6567191230779</v>
      </c>
      <c r="I110" s="2"/>
      <c r="J110" s="7">
        <f t="shared" si="14"/>
        <v>5.4958496997407147E-3</v>
      </c>
      <c r="K110" s="2"/>
      <c r="L110" s="6">
        <f t="shared" si="15"/>
        <v>4758.3732808769228</v>
      </c>
      <c r="M110" s="2"/>
      <c r="N110" s="7">
        <f t="shared" si="16"/>
        <v>0.64672401316435013</v>
      </c>
      <c r="O110" s="11"/>
      <c r="P110" s="6">
        <v>31956.52</v>
      </c>
      <c r="Q110" s="2"/>
      <c r="R110" s="7">
        <f t="shared" si="17"/>
        <v>1.4548918257088355E-2</v>
      </c>
      <c r="S110" s="2"/>
      <c r="T110" s="6">
        <v>33987.835684425001</v>
      </c>
      <c r="U110" s="2"/>
      <c r="V110" s="7">
        <f t="shared" si="18"/>
        <v>9.3395112545460544E-3</v>
      </c>
      <c r="W110" s="2"/>
      <c r="X110" s="6">
        <f t="shared" si="19"/>
        <v>-2031.3156844250007</v>
      </c>
      <c r="Y110" s="2"/>
      <c r="Z110" s="7">
        <f t="shared" si="20"/>
        <v>-5.9765961660096394E-2</v>
      </c>
    </row>
    <row r="111" spans="1:26" s="24" customFormat="1" hidden="1" outlineLevel="2" x14ac:dyDescent="0.25">
      <c r="A111" s="29"/>
      <c r="B111" s="11" t="str">
        <f>CONCATENATE("          ", "6112", " - ", "COMPENSATION INSURANCE")</f>
        <v xml:space="preserve">          6112 - COMPENSATION INSURANCE</v>
      </c>
      <c r="C111" s="11"/>
      <c r="D111" s="6">
        <v>4233.78</v>
      </c>
      <c r="E111" s="2"/>
      <c r="F111" s="7">
        <f t="shared" si="13"/>
        <v>1.1414656825071187E-2</v>
      </c>
      <c r="G111" s="2"/>
      <c r="H111" s="6">
        <v>3583.3363530769211</v>
      </c>
      <c r="I111" s="2"/>
      <c r="J111" s="7">
        <f t="shared" si="14"/>
        <v>2.6765964724805688E-3</v>
      </c>
      <c r="K111" s="2"/>
      <c r="L111" s="6">
        <f t="shared" si="15"/>
        <v>650.44364692307863</v>
      </c>
      <c r="M111" s="2"/>
      <c r="N111" s="7">
        <f t="shared" si="16"/>
        <v>0.18151900431131981</v>
      </c>
      <c r="O111" s="11"/>
      <c r="P111" s="6">
        <v>8711.15</v>
      </c>
      <c r="Q111" s="2"/>
      <c r="R111" s="7">
        <f t="shared" si="17"/>
        <v>3.9659452679839738E-3</v>
      </c>
      <c r="S111" s="2"/>
      <c r="T111" s="6">
        <v>11174.117521249993</v>
      </c>
      <c r="U111" s="2"/>
      <c r="V111" s="7">
        <f t="shared" si="18"/>
        <v>3.0705337438464235E-3</v>
      </c>
      <c r="W111" s="2"/>
      <c r="X111" s="6">
        <f t="shared" si="19"/>
        <v>-2462.9675212499933</v>
      </c>
      <c r="Y111" s="2"/>
      <c r="Z111" s="7">
        <f t="shared" si="20"/>
        <v>-0.22041718431599897</v>
      </c>
    </row>
    <row r="112" spans="1:26" s="24" customFormat="1" hidden="1" outlineLevel="2" x14ac:dyDescent="0.25">
      <c r="A112" s="29"/>
      <c r="B112" s="11" t="str">
        <f>CONCATENATE("          ", "6113", " - ", "GROUP INSURANCE")</f>
        <v xml:space="preserve">          6113 - GROUP INSURANCE</v>
      </c>
      <c r="C112" s="11"/>
      <c r="D112" s="6">
        <v>17485.86</v>
      </c>
      <c r="E112" s="2"/>
      <c r="F112" s="7">
        <f t="shared" si="13"/>
        <v>4.7143472544921863E-2</v>
      </c>
      <c r="G112" s="2"/>
      <c r="H112" s="6">
        <v>21247.5</v>
      </c>
      <c r="I112" s="2"/>
      <c r="J112" s="7">
        <f t="shared" si="14"/>
        <v>1.5870958778457175E-2</v>
      </c>
      <c r="K112" s="2"/>
      <c r="L112" s="6">
        <f t="shared" si="15"/>
        <v>-3761.6399999999994</v>
      </c>
      <c r="M112" s="2"/>
      <c r="N112" s="7">
        <f t="shared" si="16"/>
        <v>-0.17703918108012703</v>
      </c>
      <c r="O112" s="11"/>
      <c r="P112" s="6">
        <v>53815.44</v>
      </c>
      <c r="Q112" s="2"/>
      <c r="R112" s="7">
        <f t="shared" si="17"/>
        <v>2.4500678970339793E-2</v>
      </c>
      <c r="S112" s="2"/>
      <c r="T112" s="6">
        <v>64522.499999999985</v>
      </c>
      <c r="U112" s="2"/>
      <c r="V112" s="7">
        <f t="shared" si="18"/>
        <v>1.7730126169745911E-2</v>
      </c>
      <c r="W112" s="2"/>
      <c r="X112" s="6">
        <f t="shared" si="19"/>
        <v>-10707.059999999983</v>
      </c>
      <c r="Y112" s="2"/>
      <c r="Z112" s="7">
        <f t="shared" si="20"/>
        <v>-0.16594304312449124</v>
      </c>
    </row>
    <row r="113" spans="1:26" s="24" customFormat="1" hidden="1" outlineLevel="2" x14ac:dyDescent="0.25">
      <c r="A113" s="29"/>
      <c r="B113" s="11" t="str">
        <f>CONCATENATE("          ", "6114", " - ", "STATE UNEMPLOYMENT INSURANCE")</f>
        <v xml:space="preserve">          6114 - STATE UNEMPLOYMENT INSURANCE</v>
      </c>
      <c r="C113" s="11"/>
      <c r="D113" s="6">
        <v>510.55</v>
      </c>
      <c r="E113" s="2"/>
      <c r="F113" s="7">
        <f t="shared" si="13"/>
        <v>1.3764893409766439E-3</v>
      </c>
      <c r="G113" s="2"/>
      <c r="H113" s="6">
        <v>508.30222800000001</v>
      </c>
      <c r="I113" s="2"/>
      <c r="J113" s="7">
        <f t="shared" si="14"/>
        <v>3.7967966620006783E-4</v>
      </c>
      <c r="K113" s="2"/>
      <c r="L113" s="6">
        <f t="shared" si="15"/>
        <v>2.2477719999999977</v>
      </c>
      <c r="M113" s="2"/>
      <c r="N113" s="7">
        <f t="shared" si="16"/>
        <v>4.4221171503501609E-3</v>
      </c>
      <c r="O113" s="11"/>
      <c r="P113" s="6">
        <v>1205.6600000000001</v>
      </c>
      <c r="Q113" s="2"/>
      <c r="R113" s="7">
        <f t="shared" si="17"/>
        <v>5.4890359732039497E-4</v>
      </c>
      <c r="S113" s="2"/>
      <c r="T113" s="6">
        <v>1578.2581164999999</v>
      </c>
      <c r="U113" s="2"/>
      <c r="V113" s="7">
        <f t="shared" si="18"/>
        <v>4.3368926396172727E-4</v>
      </c>
      <c r="W113" s="2"/>
      <c r="X113" s="6">
        <f t="shared" si="19"/>
        <v>-372.59811649999983</v>
      </c>
      <c r="Y113" s="2"/>
      <c r="Z113" s="7">
        <f t="shared" si="20"/>
        <v>-0.23608186303916268</v>
      </c>
    </row>
    <row r="114" spans="1:26" s="24" customFormat="1" hidden="1" outlineLevel="2" x14ac:dyDescent="0.25">
      <c r="A114" s="29"/>
      <c r="B114" s="11" t="str">
        <f>CONCATENATE("          ", "6115", " - ", "P.E.R.S.")</f>
        <v xml:space="preserve">          6115 - P.E.R.S.</v>
      </c>
      <c r="C114" s="11"/>
      <c r="D114" s="6">
        <v>6866.1</v>
      </c>
      <c r="E114" s="2"/>
      <c r="F114" s="7">
        <f t="shared" si="13"/>
        <v>1.8511631503436949E-2</v>
      </c>
      <c r="G114" s="2"/>
      <c r="H114" s="6">
        <v>5529.1917153846161</v>
      </c>
      <c r="I114" s="2"/>
      <c r="J114" s="7">
        <f t="shared" si="14"/>
        <v>4.1300658333006781E-3</v>
      </c>
      <c r="K114" s="2"/>
      <c r="L114" s="6">
        <f t="shared" si="15"/>
        <v>1336.9082846153842</v>
      </c>
      <c r="M114" s="2"/>
      <c r="N114" s="7">
        <f t="shared" si="16"/>
        <v>0.24179090786371613</v>
      </c>
      <c r="O114" s="11"/>
      <c r="P114" s="6">
        <v>23978.12</v>
      </c>
      <c r="Q114" s="2"/>
      <c r="R114" s="7">
        <f t="shared" si="17"/>
        <v>1.0916573764560579E-2</v>
      </c>
      <c r="S114" s="2"/>
      <c r="T114" s="6">
        <v>17969.873075</v>
      </c>
      <c r="U114" s="2"/>
      <c r="V114" s="7">
        <f t="shared" si="18"/>
        <v>4.9379381901518077E-3</v>
      </c>
      <c r="W114" s="2"/>
      <c r="X114" s="6">
        <f t="shared" si="19"/>
        <v>6008.2469249999995</v>
      </c>
      <c r="Y114" s="2"/>
      <c r="Z114" s="7">
        <f t="shared" si="20"/>
        <v>0.3343511053151943</v>
      </c>
    </row>
    <row r="115" spans="1:26" s="24" customFormat="1" hidden="1" outlineLevel="2" x14ac:dyDescent="0.25">
      <c r="A115" s="29"/>
      <c r="B115" s="11" t="str">
        <f>CONCATENATE("          ", "6116", " - ", "EDUCATIONAL BENEFITS")</f>
        <v xml:space="preserve">          6116 - EDUCATIONAL BENEFITS</v>
      </c>
      <c r="C115" s="11"/>
      <c r="D115" s="6"/>
      <c r="E115" s="2"/>
      <c r="F115" s="7">
        <f t="shared" si="13"/>
        <v>0</v>
      </c>
      <c r="G115" s="2"/>
      <c r="H115" s="6">
        <v>0</v>
      </c>
      <c r="I115" s="2"/>
      <c r="J115" s="7">
        <f t="shared" si="14"/>
        <v>0</v>
      </c>
      <c r="K115" s="2"/>
      <c r="L115" s="6">
        <f t="shared" si="15"/>
        <v>0</v>
      </c>
      <c r="M115" s="2"/>
      <c r="N115" s="7">
        <f t="shared" si="16"/>
        <v>0</v>
      </c>
      <c r="O115" s="11"/>
      <c r="P115" s="6">
        <v>0</v>
      </c>
      <c r="Q115" s="2"/>
      <c r="R115" s="7">
        <f t="shared" si="17"/>
        <v>0</v>
      </c>
      <c r="S115" s="2"/>
      <c r="T115" s="6">
        <v>0</v>
      </c>
      <c r="U115" s="2"/>
      <c r="V115" s="7">
        <f t="shared" si="18"/>
        <v>0</v>
      </c>
      <c r="W115" s="2"/>
      <c r="X115" s="6">
        <f t="shared" si="19"/>
        <v>0</v>
      </c>
      <c r="Y115" s="2"/>
      <c r="Z115" s="7">
        <f t="shared" si="20"/>
        <v>0</v>
      </c>
    </row>
    <row r="116" spans="1:26" s="24" customFormat="1" hidden="1" outlineLevel="2" x14ac:dyDescent="0.25">
      <c r="A116" s="29"/>
      <c r="B116" s="11" t="str">
        <f>CONCATENATE("          ", "6117", " - ", "RETIREMENT STAFF HOURLY")</f>
        <v xml:space="preserve">          6117 - RETIREMENT STAFF HOURLY</v>
      </c>
      <c r="C116" s="11"/>
      <c r="D116" s="6">
        <v>248.98</v>
      </c>
      <c r="E116" s="2"/>
      <c r="F116" s="7">
        <f t="shared" si="13"/>
        <v>6.7127277664550929E-4</v>
      </c>
      <c r="G116" s="2"/>
      <c r="H116" s="6"/>
      <c r="I116" s="2"/>
      <c r="J116" s="7">
        <f t="shared" si="14"/>
        <v>0</v>
      </c>
      <c r="K116" s="2"/>
      <c r="L116" s="6">
        <f t="shared" si="15"/>
        <v>248.98</v>
      </c>
      <c r="M116" s="2"/>
      <c r="N116" s="7">
        <f t="shared" si="16"/>
        <v>0</v>
      </c>
      <c r="O116" s="11"/>
      <c r="P116" s="6">
        <v>837.77</v>
      </c>
      <c r="Q116" s="2"/>
      <c r="R116" s="7">
        <f t="shared" si="17"/>
        <v>3.8141347206269367E-4</v>
      </c>
      <c r="S116" s="2"/>
      <c r="T116" s="6"/>
      <c r="U116" s="2"/>
      <c r="V116" s="7">
        <f t="shared" si="18"/>
        <v>0</v>
      </c>
      <c r="W116" s="2"/>
      <c r="X116" s="6">
        <f t="shared" si="19"/>
        <v>837.77</v>
      </c>
      <c r="Y116" s="2"/>
      <c r="Z116" s="7">
        <f t="shared" si="20"/>
        <v>0</v>
      </c>
    </row>
    <row r="117" spans="1:26" s="24" customFormat="1" hidden="1" outlineLevel="2" x14ac:dyDescent="0.25">
      <c r="A117" s="29"/>
      <c r="B117" s="11" t="str">
        <f>CONCATENATE("          ", "6118", " - ", "VACATION")</f>
        <v xml:space="preserve">          6118 - VACATION</v>
      </c>
      <c r="C117" s="11"/>
      <c r="D117" s="6">
        <v>5351.69</v>
      </c>
      <c r="E117" s="2"/>
      <c r="F117" s="7">
        <f t="shared" si="13"/>
        <v>1.4428644092079708E-2</v>
      </c>
      <c r="G117" s="2"/>
      <c r="H117" s="6">
        <v>4320.7234200000012</v>
      </c>
      <c r="I117" s="2"/>
      <c r="J117" s="7">
        <f t="shared" si="14"/>
        <v>3.2273925540385706E-3</v>
      </c>
      <c r="K117" s="2"/>
      <c r="L117" s="6">
        <f t="shared" si="15"/>
        <v>1030.9665799999984</v>
      </c>
      <c r="M117" s="2"/>
      <c r="N117" s="7">
        <f t="shared" si="16"/>
        <v>0.23860971411125365</v>
      </c>
      <c r="O117" s="11"/>
      <c r="P117" s="6">
        <v>16522.009999999998</v>
      </c>
      <c r="Q117" s="2"/>
      <c r="R117" s="7">
        <f t="shared" si="17"/>
        <v>7.5220134399113662E-3</v>
      </c>
      <c r="S117" s="2"/>
      <c r="T117" s="6">
        <v>14042.351114999998</v>
      </c>
      <c r="U117" s="2"/>
      <c r="V117" s="7">
        <f t="shared" si="18"/>
        <v>3.8586951371819473E-3</v>
      </c>
      <c r="W117" s="2"/>
      <c r="X117" s="6">
        <f t="shared" si="19"/>
        <v>2479.6588850000007</v>
      </c>
      <c r="Y117" s="2"/>
      <c r="Z117" s="7">
        <f t="shared" si="20"/>
        <v>0.17658431018372961</v>
      </c>
    </row>
    <row r="118" spans="1:26" s="24" customFormat="1" hidden="1" outlineLevel="2" x14ac:dyDescent="0.25">
      <c r="A118" s="29"/>
      <c r="B118" s="11" t="str">
        <f>CONCATENATE("          ", "6119", " - ", "SICK LEAVE")</f>
        <v xml:space="preserve">          6119 - SICK LEAVE</v>
      </c>
      <c r="C118" s="11"/>
      <c r="D118" s="6">
        <v>3971.91</v>
      </c>
      <c r="E118" s="2"/>
      <c r="F118" s="7">
        <f t="shared" si="13"/>
        <v>1.07086314333925E-2</v>
      </c>
      <c r="G118" s="2"/>
      <c r="H118" s="6">
        <v>5068.4256030769202</v>
      </c>
      <c r="I118" s="2"/>
      <c r="J118" s="7">
        <f t="shared" si="14"/>
        <v>3.7858935789203789E-3</v>
      </c>
      <c r="K118" s="2"/>
      <c r="L118" s="6">
        <f t="shared" si="15"/>
        <v>-1096.5156030769203</v>
      </c>
      <c r="M118" s="2"/>
      <c r="N118" s="7">
        <f t="shared" si="16"/>
        <v>-0.21634244811865283</v>
      </c>
      <c r="O118" s="11"/>
      <c r="P118" s="6">
        <v>12028.36</v>
      </c>
      <c r="Q118" s="2"/>
      <c r="R118" s="7">
        <f t="shared" si="17"/>
        <v>5.4761790835432429E-3</v>
      </c>
      <c r="S118" s="2"/>
      <c r="T118" s="6">
        <v>15779.042734999988</v>
      </c>
      <c r="U118" s="2"/>
      <c r="V118" s="7">
        <f t="shared" si="18"/>
        <v>4.3359203150740043E-3</v>
      </c>
      <c r="W118" s="2"/>
      <c r="X118" s="6">
        <f t="shared" si="19"/>
        <v>-3750.6827349999876</v>
      </c>
      <c r="Y118" s="2"/>
      <c r="Z118" s="7">
        <f t="shared" si="20"/>
        <v>-0.23770027104879315</v>
      </c>
    </row>
    <row r="119" spans="1:26" s="24" customFormat="1" hidden="1" outlineLevel="2" x14ac:dyDescent="0.25">
      <c r="A119" s="29"/>
      <c r="B119" s="11" t="str">
        <f>CONCATENATE("          ", "6156", " - ", "EMPLOYEE MEALS")</f>
        <v xml:space="preserve">          6156 - EMPLOYEE MEALS</v>
      </c>
      <c r="C119" s="11"/>
      <c r="D119" s="6">
        <v>2118.21</v>
      </c>
      <c r="E119" s="2"/>
      <c r="F119" s="7">
        <f t="shared" si="13"/>
        <v>5.7108872528648259E-3</v>
      </c>
      <c r="G119" s="2"/>
      <c r="H119" s="6">
        <v>1800</v>
      </c>
      <c r="I119" s="2"/>
      <c r="J119" s="7">
        <f t="shared" si="14"/>
        <v>1.3445217461453308E-3</v>
      </c>
      <c r="K119" s="2"/>
      <c r="L119" s="6">
        <f t="shared" si="15"/>
        <v>318.21000000000004</v>
      </c>
      <c r="M119" s="2"/>
      <c r="N119" s="7">
        <f t="shared" si="16"/>
        <v>0.17678333333333335</v>
      </c>
      <c r="O119" s="11"/>
      <c r="P119" s="6">
        <v>4899.09</v>
      </c>
      <c r="Q119" s="2"/>
      <c r="R119" s="7">
        <f t="shared" si="17"/>
        <v>2.2304199563694354E-3</v>
      </c>
      <c r="S119" s="2"/>
      <c r="T119" s="6">
        <v>5400</v>
      </c>
      <c r="U119" s="2"/>
      <c r="V119" s="7">
        <f t="shared" si="18"/>
        <v>1.4838650287361454E-3</v>
      </c>
      <c r="W119" s="2"/>
      <c r="X119" s="6">
        <f t="shared" si="19"/>
        <v>-500.90999999999985</v>
      </c>
      <c r="Y119" s="2"/>
      <c r="Z119" s="7">
        <f t="shared" si="20"/>
        <v>-9.2761111111111086E-2</v>
      </c>
    </row>
    <row r="120" spans="1:26" s="28" customFormat="1" outlineLevel="1" collapsed="1" x14ac:dyDescent="0.25">
      <c r="A120" s="27"/>
      <c r="B120" s="14" t="str">
        <f>CONCATENATE("     ","*Payroll                                          ")</f>
        <v xml:space="preserve">     *Payroll                                          </v>
      </c>
      <c r="C120" s="14"/>
      <c r="D120" s="1">
        <f>SUM(OSRRefD22_1x_0)</f>
        <v>131236.80000000002</v>
      </c>
      <c r="E120" s="1"/>
      <c r="F120" s="5">
        <f t="shared" ref="F120:F130" si="21">IF(D$12=0,0,D120/D$12)</f>
        <v>0.35382637615098156</v>
      </c>
      <c r="G120" s="1"/>
      <c r="H120" s="1">
        <f>SUM(OSRRefH22_1x_0)</f>
        <v>182156.53578215386</v>
      </c>
      <c r="I120" s="1"/>
      <c r="J120" s="5">
        <f t="shared" ref="J120:J130" si="22">IF(H$12=0,0,H120/H$12)</f>
        <v>0.13606301308978108</v>
      </c>
      <c r="K120" s="1"/>
      <c r="L120" s="1">
        <f t="shared" ref="L120:L130" si="23">+D120-H120</f>
        <v>-50919.735782153846</v>
      </c>
      <c r="M120" s="1"/>
      <c r="N120" s="5">
        <f t="shared" ref="N120:N130" si="24">IF(H120=0,0,L120/H120)</f>
        <v>-0.27953834082050283</v>
      </c>
      <c r="O120" s="14"/>
      <c r="P120" s="1">
        <f>SUM(OSRRefP22_1x_0)</f>
        <v>433201.06</v>
      </c>
      <c r="Q120" s="1"/>
      <c r="R120" s="5">
        <f t="shared" ref="R120:R130" si="25">IF(P$12=0,0,P120/P$12)</f>
        <v>0.19722444154820451</v>
      </c>
      <c r="S120" s="1"/>
      <c r="T120" s="1">
        <f>SUM(OSRRefT22_1x_0)</f>
        <v>569471.97979200014</v>
      </c>
      <c r="U120" s="1"/>
      <c r="V120" s="5">
        <f t="shared" ref="V120:V130" si="26">IF(T$12=0,0,T120/T$12)</f>
        <v>0.15648510289971962</v>
      </c>
      <c r="W120" s="1"/>
      <c r="X120" s="1">
        <f t="shared" ref="X120:X130" si="27">+P120-T120</f>
        <v>-136270.91979200015</v>
      </c>
      <c r="Y120" s="1"/>
      <c r="Z120" s="5">
        <f t="shared" ref="Z120:Z130" si="28">IF(T120=0,0,X120/T120)</f>
        <v>-0.23929345890165335</v>
      </c>
    </row>
    <row r="121" spans="1:26" s="24" customFormat="1" hidden="1" outlineLevel="2" x14ac:dyDescent="0.25">
      <c r="A121" s="29"/>
      <c r="B121" s="11" t="str">
        <f>CONCATENATE("          ", "6001", " - ", "ADMINISTRATIVE SALARIES")</f>
        <v xml:space="preserve">          6001 - ADMINISTRATIVE SALARIES</v>
      </c>
      <c r="C121" s="11"/>
      <c r="D121" s="6">
        <v>4205.74</v>
      </c>
      <c r="E121" s="2"/>
      <c r="F121" s="7">
        <f t="shared" si="21"/>
        <v>1.1339058428986602E-2</v>
      </c>
      <c r="G121" s="2"/>
      <c r="H121" s="6">
        <v>13047.392307692309</v>
      </c>
      <c r="I121" s="2"/>
      <c r="J121" s="7">
        <f t="shared" si="22"/>
        <v>9.7458348267675677E-3</v>
      </c>
      <c r="K121" s="2"/>
      <c r="L121" s="6">
        <f t="shared" si="23"/>
        <v>-8841.6523076923095</v>
      </c>
      <c r="M121" s="2"/>
      <c r="N121" s="7">
        <f t="shared" si="24"/>
        <v>-0.67765666113063561</v>
      </c>
      <c r="O121" s="11"/>
      <c r="P121" s="6">
        <v>12937.33</v>
      </c>
      <c r="Q121" s="2"/>
      <c r="R121" s="7">
        <f t="shared" si="25"/>
        <v>5.890007943135764E-3</v>
      </c>
      <c r="S121" s="2"/>
      <c r="T121" s="6">
        <v>42404.025000000009</v>
      </c>
      <c r="U121" s="2"/>
      <c r="V121" s="7">
        <f t="shared" si="26"/>
        <v>1.1652194402806156E-2</v>
      </c>
      <c r="W121" s="2"/>
      <c r="X121" s="6">
        <f t="shared" si="27"/>
        <v>-29466.695000000007</v>
      </c>
      <c r="Y121" s="2"/>
      <c r="Z121" s="7">
        <f t="shared" si="28"/>
        <v>-0.69490325505656603</v>
      </c>
    </row>
    <row r="122" spans="1:26" s="24" customFormat="1" hidden="1" outlineLevel="2" x14ac:dyDescent="0.25">
      <c r="A122" s="29"/>
      <c r="B122" s="11" t="str">
        <f>CONCATENATE("          ", "6002", " - ", "STAFF SALARIES")</f>
        <v xml:space="preserve">          6002 - STAFF SALARIES</v>
      </c>
      <c r="C122" s="11"/>
      <c r="D122" s="6">
        <v>62783.420000000006</v>
      </c>
      <c r="E122" s="2"/>
      <c r="F122" s="7">
        <f t="shared" si="21"/>
        <v>0.16926982356294162</v>
      </c>
      <c r="G122" s="2"/>
      <c r="H122" s="6">
        <v>44951.275394461554</v>
      </c>
      <c r="I122" s="2"/>
      <c r="J122" s="7">
        <f t="shared" si="22"/>
        <v>3.3576648491567274E-2</v>
      </c>
      <c r="K122" s="2"/>
      <c r="L122" s="6">
        <f t="shared" si="23"/>
        <v>17832.144605538451</v>
      </c>
      <c r="M122" s="2"/>
      <c r="N122" s="7">
        <f t="shared" si="24"/>
        <v>0.39669941395557262</v>
      </c>
      <c r="O122" s="11"/>
      <c r="P122" s="6">
        <v>202274.27000000002</v>
      </c>
      <c r="Q122" s="2"/>
      <c r="R122" s="7">
        <f t="shared" si="25"/>
        <v>9.2089871479817564E-2</v>
      </c>
      <c r="S122" s="2"/>
      <c r="T122" s="6">
        <v>146091.64503200009</v>
      </c>
      <c r="U122" s="2"/>
      <c r="V122" s="7">
        <f t="shared" si="26"/>
        <v>4.0144496861762885E-2</v>
      </c>
      <c r="W122" s="2"/>
      <c r="X122" s="6">
        <f t="shared" si="27"/>
        <v>56182.624967999931</v>
      </c>
      <c r="Y122" s="2"/>
      <c r="Z122" s="7">
        <f t="shared" si="28"/>
        <v>0.38457110230837377</v>
      </c>
    </row>
    <row r="123" spans="1:26" s="24" customFormat="1" hidden="1" outlineLevel="2" x14ac:dyDescent="0.25">
      <c r="A123" s="29"/>
      <c r="B123" s="11" t="str">
        <f>CONCATENATE("          ", "6003", " - ", "STAFF HOURLY-9 MONTH")</f>
        <v xml:space="preserve">          6003 - STAFF HOURLY-9 MONTH</v>
      </c>
      <c r="C123" s="11"/>
      <c r="D123" s="6"/>
      <c r="E123" s="2"/>
      <c r="F123" s="7">
        <f t="shared" si="21"/>
        <v>0</v>
      </c>
      <c r="G123" s="2"/>
      <c r="H123" s="6">
        <v>0</v>
      </c>
      <c r="I123" s="2"/>
      <c r="J123" s="7">
        <f t="shared" si="22"/>
        <v>0</v>
      </c>
      <c r="K123" s="2"/>
      <c r="L123" s="6">
        <f t="shared" si="23"/>
        <v>0</v>
      </c>
      <c r="M123" s="2"/>
      <c r="N123" s="7">
        <f t="shared" si="24"/>
        <v>0</v>
      </c>
      <c r="O123" s="11"/>
      <c r="P123" s="6"/>
      <c r="Q123" s="2"/>
      <c r="R123" s="7">
        <f t="shared" si="25"/>
        <v>0</v>
      </c>
      <c r="S123" s="2"/>
      <c r="T123" s="6">
        <v>0</v>
      </c>
      <c r="U123" s="2"/>
      <c r="V123" s="7">
        <f t="shared" si="26"/>
        <v>0</v>
      </c>
      <c r="W123" s="2"/>
      <c r="X123" s="6">
        <f t="shared" si="27"/>
        <v>0</v>
      </c>
      <c r="Y123" s="2"/>
      <c r="Z123" s="7">
        <f t="shared" si="28"/>
        <v>0</v>
      </c>
    </row>
    <row r="124" spans="1:26" s="24" customFormat="1" hidden="1" outlineLevel="2" x14ac:dyDescent="0.25">
      <c r="A124" s="29"/>
      <c r="B124" s="11" t="str">
        <f>CONCATENATE("          ", "6004", " - ", "STAFF HOURLY")</f>
        <v xml:space="preserve">          6004 - STAFF HOURLY</v>
      </c>
      <c r="C124" s="11"/>
      <c r="D124" s="6">
        <v>15888.169999999998</v>
      </c>
      <c r="E124" s="2"/>
      <c r="F124" s="7">
        <f t="shared" si="21"/>
        <v>4.2835954661884008E-2</v>
      </c>
      <c r="G124" s="2"/>
      <c r="H124" s="6">
        <v>28278.24008</v>
      </c>
      <c r="I124" s="2"/>
      <c r="J124" s="7">
        <f t="shared" si="22"/>
        <v>2.1122615961265821E-2</v>
      </c>
      <c r="K124" s="2"/>
      <c r="L124" s="6">
        <f t="shared" si="23"/>
        <v>-12390.070080000001</v>
      </c>
      <c r="M124" s="2"/>
      <c r="N124" s="7">
        <f t="shared" si="24"/>
        <v>-0.43814855680368076</v>
      </c>
      <c r="O124" s="11"/>
      <c r="P124" s="6">
        <v>45478.049999999996</v>
      </c>
      <c r="Q124" s="2"/>
      <c r="R124" s="7">
        <f t="shared" si="25"/>
        <v>2.0704896275995539E-2</v>
      </c>
      <c r="S124" s="2"/>
      <c r="T124" s="6">
        <v>86194.397759999993</v>
      </c>
      <c r="U124" s="2"/>
      <c r="V124" s="7">
        <f t="shared" si="26"/>
        <v>2.3685343057229101E-2</v>
      </c>
      <c r="W124" s="2"/>
      <c r="X124" s="6">
        <f t="shared" si="27"/>
        <v>-40716.347759999997</v>
      </c>
      <c r="Y124" s="2"/>
      <c r="Z124" s="7">
        <f t="shared" si="28"/>
        <v>-0.47237812222287057</v>
      </c>
    </row>
    <row r="125" spans="1:26" s="24" customFormat="1" hidden="1" outlineLevel="2" x14ac:dyDescent="0.25">
      <c r="A125" s="29"/>
      <c r="B125" s="11" t="str">
        <f>CONCATENATE("          ", "6005", " - ", "TEMPORARY WAGES-HOURLY")</f>
        <v xml:space="preserve">          6005 - TEMPORARY WAGES-HOURLY</v>
      </c>
      <c r="C125" s="11"/>
      <c r="D125" s="6">
        <v>27625.56</v>
      </c>
      <c r="E125" s="2"/>
      <c r="F125" s="7">
        <f t="shared" si="21"/>
        <v>7.4481028064853072E-2</v>
      </c>
      <c r="G125" s="2"/>
      <c r="H125" s="6">
        <v>7482.5479999999998</v>
      </c>
      <c r="I125" s="2"/>
      <c r="J125" s="7">
        <f t="shared" si="22"/>
        <v>5.5891380569868072E-3</v>
      </c>
      <c r="K125" s="2"/>
      <c r="L125" s="6">
        <f t="shared" si="23"/>
        <v>20143.012000000002</v>
      </c>
      <c r="M125" s="2"/>
      <c r="N125" s="7">
        <f t="shared" si="24"/>
        <v>2.6919990356226253</v>
      </c>
      <c r="O125" s="11"/>
      <c r="P125" s="6">
        <v>62516.600000000006</v>
      </c>
      <c r="Q125" s="2"/>
      <c r="R125" s="7">
        <f t="shared" si="25"/>
        <v>2.8462076068079063E-2</v>
      </c>
      <c r="S125" s="2"/>
      <c r="T125" s="6">
        <v>17503.072</v>
      </c>
      <c r="U125" s="2"/>
      <c r="V125" s="7">
        <f t="shared" si="26"/>
        <v>4.8096660067131151E-3</v>
      </c>
      <c r="W125" s="2"/>
      <c r="X125" s="6">
        <f t="shared" si="27"/>
        <v>45013.528000000006</v>
      </c>
      <c r="Y125" s="2"/>
      <c r="Z125" s="7">
        <f t="shared" si="28"/>
        <v>2.5717501476312274</v>
      </c>
    </row>
    <row r="126" spans="1:26" s="24" customFormat="1" hidden="1" outlineLevel="2" x14ac:dyDescent="0.25">
      <c r="A126" s="29"/>
      <c r="B126" s="11" t="str">
        <f>CONCATENATE("          ", "6006", " - ", "TEMPORARY PART TIME")</f>
        <v xml:space="preserve">          6006 - TEMPORARY PART TIME</v>
      </c>
      <c r="C126" s="11"/>
      <c r="D126" s="6">
        <v>1728.86</v>
      </c>
      <c r="E126" s="2"/>
      <c r="F126" s="7">
        <f t="shared" si="21"/>
        <v>4.6611641602994427E-3</v>
      </c>
      <c r="G126" s="2"/>
      <c r="H126" s="6">
        <v>0</v>
      </c>
      <c r="I126" s="2"/>
      <c r="J126" s="7">
        <f t="shared" si="22"/>
        <v>0</v>
      </c>
      <c r="K126" s="2"/>
      <c r="L126" s="6">
        <f t="shared" si="23"/>
        <v>1728.86</v>
      </c>
      <c r="M126" s="2"/>
      <c r="N126" s="7">
        <f t="shared" si="24"/>
        <v>0</v>
      </c>
      <c r="O126" s="11"/>
      <c r="P126" s="6">
        <v>5704.41</v>
      </c>
      <c r="Q126" s="2"/>
      <c r="R126" s="7">
        <f t="shared" si="25"/>
        <v>2.5970598424020319E-3</v>
      </c>
      <c r="S126" s="2"/>
      <c r="T126" s="6">
        <v>0</v>
      </c>
      <c r="U126" s="2"/>
      <c r="V126" s="7">
        <f t="shared" si="26"/>
        <v>0</v>
      </c>
      <c r="W126" s="2"/>
      <c r="X126" s="6">
        <f t="shared" si="27"/>
        <v>5704.41</v>
      </c>
      <c r="Y126" s="2"/>
      <c r="Z126" s="7">
        <f t="shared" si="28"/>
        <v>0</v>
      </c>
    </row>
    <row r="127" spans="1:26" s="24" customFormat="1" hidden="1" outlineLevel="2" x14ac:dyDescent="0.25">
      <c r="A127" s="29"/>
      <c r="B127" s="11" t="str">
        <f>CONCATENATE("          ", "6007", " - ", "STUDENT HOURLY")</f>
        <v xml:space="preserve">          6007 - STUDENT HOURLY</v>
      </c>
      <c r="C127" s="11"/>
      <c r="D127" s="6">
        <v>17949.38</v>
      </c>
      <c r="E127" s="2"/>
      <c r="F127" s="7">
        <f t="shared" si="21"/>
        <v>4.8393164718713841E-2</v>
      </c>
      <c r="G127" s="2"/>
      <c r="H127" s="6">
        <v>0</v>
      </c>
      <c r="I127" s="2"/>
      <c r="J127" s="7">
        <f t="shared" si="22"/>
        <v>0</v>
      </c>
      <c r="K127" s="2"/>
      <c r="L127" s="6">
        <f t="shared" si="23"/>
        <v>17949.38</v>
      </c>
      <c r="M127" s="2"/>
      <c r="N127" s="7">
        <f t="shared" si="24"/>
        <v>0</v>
      </c>
      <c r="O127" s="11"/>
      <c r="P127" s="6">
        <v>102801.7</v>
      </c>
      <c r="Q127" s="2"/>
      <c r="R127" s="7">
        <f t="shared" si="25"/>
        <v>4.6802766070577144E-2</v>
      </c>
      <c r="S127" s="2"/>
      <c r="T127" s="6">
        <v>137501.6</v>
      </c>
      <c r="U127" s="2"/>
      <c r="V127" s="7">
        <f t="shared" si="26"/>
        <v>3.7784039932456666E-2</v>
      </c>
      <c r="W127" s="2"/>
      <c r="X127" s="6">
        <f t="shared" si="27"/>
        <v>-34699.900000000009</v>
      </c>
      <c r="Y127" s="2"/>
      <c r="Z127" s="7">
        <f t="shared" si="28"/>
        <v>-0.2523599725385014</v>
      </c>
    </row>
    <row r="128" spans="1:26" s="24" customFormat="1" hidden="1" outlineLevel="2" x14ac:dyDescent="0.25">
      <c r="A128" s="29"/>
      <c r="B128" s="11" t="str">
        <f>CONCATENATE("          ", "6008", " - ", "STUDENT HOURLY-FICA EXEMPT")</f>
        <v xml:space="preserve">          6008 - STUDENT HOURLY-FICA EXEMPT</v>
      </c>
      <c r="C128" s="11"/>
      <c r="D128" s="6">
        <v>1055.67</v>
      </c>
      <c r="E128" s="2"/>
      <c r="F128" s="7">
        <f t="shared" si="21"/>
        <v>2.8461825533029356E-3</v>
      </c>
      <c r="G128" s="2"/>
      <c r="H128" s="6">
        <v>88397.08</v>
      </c>
      <c r="I128" s="2"/>
      <c r="J128" s="7">
        <f t="shared" si="22"/>
        <v>6.6028775753193616E-2</v>
      </c>
      <c r="K128" s="2"/>
      <c r="L128" s="6">
        <f t="shared" si="23"/>
        <v>-87341.41</v>
      </c>
      <c r="M128" s="2"/>
      <c r="N128" s="7">
        <f t="shared" si="24"/>
        <v>-0.9880576371979708</v>
      </c>
      <c r="O128" s="11"/>
      <c r="P128" s="6">
        <v>1488.7</v>
      </c>
      <c r="Q128" s="2"/>
      <c r="R128" s="7">
        <f t="shared" si="25"/>
        <v>6.7776386819739555E-4</v>
      </c>
      <c r="S128" s="2"/>
      <c r="T128" s="6">
        <v>139777.24000000002</v>
      </c>
      <c r="U128" s="2"/>
      <c r="V128" s="7">
        <f t="shared" si="26"/>
        <v>3.8409362638751693E-2</v>
      </c>
      <c r="W128" s="2"/>
      <c r="X128" s="6">
        <f t="shared" si="27"/>
        <v>-138288.54</v>
      </c>
      <c r="Y128" s="2"/>
      <c r="Z128" s="7">
        <f t="shared" si="28"/>
        <v>-0.98934948207590867</v>
      </c>
    </row>
    <row r="129" spans="1:26" s="24" customFormat="1" hidden="1" outlineLevel="2" x14ac:dyDescent="0.25">
      <c r="A129" s="29"/>
      <c r="B129" s="11" t="str">
        <f>CONCATENATE("          ", "6009", " - ", "TEMPORARY-SEASONAL")</f>
        <v xml:space="preserve">          6009 - TEMPORARY-SEASONAL</v>
      </c>
      <c r="C129" s="11"/>
      <c r="D129" s="6"/>
      <c r="E129" s="2"/>
      <c r="F129" s="7">
        <f t="shared" si="21"/>
        <v>0</v>
      </c>
      <c r="G129" s="2"/>
      <c r="H129" s="6">
        <v>0</v>
      </c>
      <c r="I129" s="2"/>
      <c r="J129" s="7">
        <f t="shared" si="22"/>
        <v>0</v>
      </c>
      <c r="K129" s="2"/>
      <c r="L129" s="6">
        <f t="shared" si="23"/>
        <v>0</v>
      </c>
      <c r="M129" s="2"/>
      <c r="N129" s="7">
        <f t="shared" si="24"/>
        <v>0</v>
      </c>
      <c r="O129" s="11"/>
      <c r="P129" s="6"/>
      <c r="Q129" s="2"/>
      <c r="R129" s="7">
        <f t="shared" si="25"/>
        <v>0</v>
      </c>
      <c r="S129" s="2"/>
      <c r="T129" s="6">
        <v>0</v>
      </c>
      <c r="U129" s="2"/>
      <c r="V129" s="7">
        <f t="shared" si="26"/>
        <v>0</v>
      </c>
      <c r="W129" s="2"/>
      <c r="X129" s="6">
        <f t="shared" si="27"/>
        <v>0</v>
      </c>
      <c r="Y129" s="2"/>
      <c r="Z129" s="7">
        <f t="shared" si="28"/>
        <v>0</v>
      </c>
    </row>
    <row r="130" spans="1:26" s="24" customFormat="1" hidden="1" outlineLevel="2" x14ac:dyDescent="0.25">
      <c r="A130" s="29"/>
      <c r="B130" s="11" t="str">
        <f>CONCATENATE("          ", "6010", " - ", "GRATUITY")</f>
        <v xml:space="preserve">          6010 - GRATUITY</v>
      </c>
      <c r="C130" s="11"/>
      <c r="D130" s="6"/>
      <c r="E130" s="2"/>
      <c r="F130" s="7">
        <f t="shared" si="21"/>
        <v>0</v>
      </c>
      <c r="G130" s="2"/>
      <c r="H130" s="6">
        <v>0</v>
      </c>
      <c r="I130" s="2"/>
      <c r="J130" s="7">
        <f t="shared" si="22"/>
        <v>0</v>
      </c>
      <c r="K130" s="2"/>
      <c r="L130" s="6">
        <f t="shared" si="23"/>
        <v>0</v>
      </c>
      <c r="M130" s="2"/>
      <c r="N130" s="7">
        <f t="shared" si="24"/>
        <v>0</v>
      </c>
      <c r="O130" s="11"/>
      <c r="P130" s="6"/>
      <c r="Q130" s="2"/>
      <c r="R130" s="7">
        <f t="shared" si="25"/>
        <v>0</v>
      </c>
      <c r="S130" s="2"/>
      <c r="T130" s="6">
        <v>0</v>
      </c>
      <c r="U130" s="2"/>
      <c r="V130" s="7">
        <f t="shared" si="26"/>
        <v>0</v>
      </c>
      <c r="W130" s="2"/>
      <c r="X130" s="6">
        <f t="shared" si="27"/>
        <v>0</v>
      </c>
      <c r="Y130" s="2"/>
      <c r="Z130" s="7">
        <f t="shared" si="28"/>
        <v>0</v>
      </c>
    </row>
    <row r="131" spans="1:26" s="28" customFormat="1" outlineLevel="1" collapsed="1" x14ac:dyDescent="0.25">
      <c r="A131" s="27"/>
      <c r="B131" s="14" t="str">
        <f>CONCATENATE("     ","Advertising/Promo                                 ")</f>
        <v xml:space="preserve">     Advertising/Promo                                 </v>
      </c>
      <c r="C131" s="14"/>
      <c r="D131" s="1">
        <f>SUM(OSRRefD22_2x_0)</f>
        <v>391.39</v>
      </c>
      <c r="E131" s="1"/>
      <c r="F131" s="5">
        <f t="shared" ref="F131:F135" si="29">IF(D$12=0,0,D131/D$12)</f>
        <v>1.0552231185287407E-3</v>
      </c>
      <c r="G131" s="1"/>
      <c r="H131" s="1">
        <f>SUM(OSRRefH22_2x_0)</f>
        <v>1230</v>
      </c>
      <c r="I131" s="1"/>
      <c r="J131" s="5">
        <f t="shared" ref="J131:J135" si="30">IF(H$12=0,0,H131/H$12)</f>
        <v>9.1875652653264275E-4</v>
      </c>
      <c r="K131" s="1"/>
      <c r="L131" s="1">
        <f t="shared" ref="L131:L135" si="31">+D131-H131</f>
        <v>-838.61</v>
      </c>
      <c r="M131" s="1"/>
      <c r="N131" s="5">
        <f t="shared" ref="N131:N135" si="32">IF(H131=0,0,L131/H131)</f>
        <v>-0.68179674796747969</v>
      </c>
      <c r="O131" s="14"/>
      <c r="P131" s="1">
        <f>SUM(OSRRefP22_2x_0)</f>
        <v>12393.59</v>
      </c>
      <c r="Q131" s="1"/>
      <c r="R131" s="5">
        <f t="shared" ref="R131:R135" si="33">IF(P$12=0,0,P131/P$12)</f>
        <v>5.6424581844915431E-3</v>
      </c>
      <c r="S131" s="1"/>
      <c r="T131" s="1">
        <f>SUM(OSRRefT22_2x_0)</f>
        <v>3970</v>
      </c>
      <c r="U131" s="1"/>
      <c r="V131" s="5">
        <f t="shared" ref="V131:V135" si="34">IF(T$12=0,0,T131/T$12)</f>
        <v>1.0909155859412031E-3</v>
      </c>
      <c r="W131" s="1"/>
      <c r="X131" s="1">
        <f t="shared" ref="X131:X135" si="35">+P131-T131</f>
        <v>8423.59</v>
      </c>
      <c r="Y131" s="1"/>
      <c r="Z131" s="5">
        <f t="shared" ref="Z131:Z135" si="36">IF(T131=0,0,X131/T131)</f>
        <v>2.1218110831234256</v>
      </c>
    </row>
    <row r="132" spans="1:26" s="24" customFormat="1" hidden="1" outlineLevel="2" x14ac:dyDescent="0.25">
      <c r="A132" s="29"/>
      <c r="B132" s="11" t="str">
        <f>CONCATENATE("          ", "6362", " - ", "ADVERTISING EXPENSE")</f>
        <v xml:space="preserve">          6362 - ADVERTISING EXPENSE</v>
      </c>
      <c r="C132" s="11"/>
      <c r="D132" s="6">
        <v>391.39</v>
      </c>
      <c r="E132" s="2"/>
      <c r="F132" s="7">
        <f t="shared" si="29"/>
        <v>1.0552231185287407E-3</v>
      </c>
      <c r="G132" s="2"/>
      <c r="H132" s="6">
        <v>1230</v>
      </c>
      <c r="I132" s="2"/>
      <c r="J132" s="7">
        <f t="shared" si="30"/>
        <v>9.1875652653264275E-4</v>
      </c>
      <c r="K132" s="2"/>
      <c r="L132" s="6">
        <f t="shared" si="31"/>
        <v>-838.61</v>
      </c>
      <c r="M132" s="2"/>
      <c r="N132" s="7">
        <f t="shared" si="32"/>
        <v>-0.68179674796747969</v>
      </c>
      <c r="O132" s="11"/>
      <c r="P132" s="6">
        <v>12393.59</v>
      </c>
      <c r="Q132" s="2"/>
      <c r="R132" s="7">
        <f t="shared" si="33"/>
        <v>5.6424581844915431E-3</v>
      </c>
      <c r="S132" s="2"/>
      <c r="T132" s="6">
        <v>3970</v>
      </c>
      <c r="U132" s="2"/>
      <c r="V132" s="7">
        <f t="shared" si="34"/>
        <v>1.0909155859412031E-3</v>
      </c>
      <c r="W132" s="2"/>
      <c r="X132" s="6">
        <f t="shared" si="35"/>
        <v>8423.59</v>
      </c>
      <c r="Y132" s="2"/>
      <c r="Z132" s="7">
        <f t="shared" si="36"/>
        <v>2.1218110831234256</v>
      </c>
    </row>
    <row r="133" spans="1:26" s="28" customFormat="1" outlineLevel="1" collapsed="1" x14ac:dyDescent="0.25">
      <c r="A133" s="27"/>
      <c r="B133" s="14" t="str">
        <f>CONCATENATE("     ","Bad Debts/Over/Short                              ")</f>
        <v xml:space="preserve">     Bad Debts/Over/Short                              </v>
      </c>
      <c r="C133" s="14"/>
      <c r="D133" s="1">
        <f>SUM(OSRRefD22_3x_0)</f>
        <v>7.78</v>
      </c>
      <c r="E133" s="1"/>
      <c r="F133" s="5">
        <f t="shared" si="29"/>
        <v>2.0975589213198097E-5</v>
      </c>
      <c r="G133" s="1"/>
      <c r="H133" s="1">
        <f>SUM(OSRRefH22_3x_0)</f>
        <v>118</v>
      </c>
      <c r="I133" s="1"/>
      <c r="J133" s="5">
        <f t="shared" si="30"/>
        <v>8.81408700250828E-5</v>
      </c>
      <c r="K133" s="1"/>
      <c r="L133" s="1">
        <f t="shared" si="31"/>
        <v>-110.22</v>
      </c>
      <c r="M133" s="1"/>
      <c r="N133" s="5">
        <f t="shared" si="32"/>
        <v>-0.93406779661016948</v>
      </c>
      <c r="O133" s="14"/>
      <c r="P133" s="1">
        <f>SUM(OSRRefP22_3x_0)</f>
        <v>83.32</v>
      </c>
      <c r="Q133" s="1"/>
      <c r="R133" s="5">
        <f t="shared" si="33"/>
        <v>3.7933287766646731E-5</v>
      </c>
      <c r="S133" s="1"/>
      <c r="T133" s="1">
        <f>SUM(OSRRefT22_3x_0)</f>
        <v>353</v>
      </c>
      <c r="U133" s="1"/>
      <c r="V133" s="5">
        <f t="shared" si="34"/>
        <v>9.70008065081221E-5</v>
      </c>
      <c r="W133" s="1"/>
      <c r="X133" s="1">
        <f t="shared" si="35"/>
        <v>-269.68</v>
      </c>
      <c r="Y133" s="1"/>
      <c r="Z133" s="5">
        <f t="shared" si="36"/>
        <v>-0.76396600566572237</v>
      </c>
    </row>
    <row r="134" spans="1:26" s="24" customFormat="1" hidden="1" outlineLevel="2" x14ac:dyDescent="0.25">
      <c r="A134" s="29"/>
      <c r="B134" s="11" t="str">
        <f>CONCATENATE("          ", "6272", " - ", "CASH (OVER/SHORT)")</f>
        <v xml:space="preserve">          6272 - CASH (OVER/SHORT)</v>
      </c>
      <c r="C134" s="11"/>
      <c r="D134" s="6">
        <v>7.78</v>
      </c>
      <c r="E134" s="2"/>
      <c r="F134" s="7">
        <f t="shared" si="29"/>
        <v>2.0975589213198097E-5</v>
      </c>
      <c r="G134" s="2"/>
      <c r="H134" s="6">
        <v>68</v>
      </c>
      <c r="I134" s="2"/>
      <c r="J134" s="7">
        <f t="shared" si="30"/>
        <v>5.0793043743268054E-5</v>
      </c>
      <c r="K134" s="2"/>
      <c r="L134" s="6">
        <f t="shared" si="31"/>
        <v>-60.22</v>
      </c>
      <c r="M134" s="2"/>
      <c r="N134" s="7">
        <f t="shared" si="32"/>
        <v>-0.88558823529411768</v>
      </c>
      <c r="O134" s="11"/>
      <c r="P134" s="6">
        <v>83.32</v>
      </c>
      <c r="Q134" s="2"/>
      <c r="R134" s="7">
        <f t="shared" si="33"/>
        <v>3.7933287766646731E-5</v>
      </c>
      <c r="S134" s="2"/>
      <c r="T134" s="6">
        <v>203</v>
      </c>
      <c r="U134" s="2"/>
      <c r="V134" s="7">
        <f t="shared" si="34"/>
        <v>5.5782333487673615E-5</v>
      </c>
      <c r="W134" s="2"/>
      <c r="X134" s="6">
        <f t="shared" si="35"/>
        <v>-119.68</v>
      </c>
      <c r="Y134" s="2"/>
      <c r="Z134" s="7">
        <f t="shared" si="36"/>
        <v>-0.58955665024630544</v>
      </c>
    </row>
    <row r="135" spans="1:26" s="24" customFormat="1" hidden="1" outlineLevel="2" x14ac:dyDescent="0.25">
      <c r="A135" s="29"/>
      <c r="B135" s="11" t="str">
        <f>CONCATENATE("          ", "6342", " - ", "BAD DEBT")</f>
        <v xml:space="preserve">          6342 - BAD DEBT</v>
      </c>
      <c r="C135" s="11"/>
      <c r="D135" s="6"/>
      <c r="E135" s="2"/>
      <c r="F135" s="7">
        <f t="shared" si="29"/>
        <v>0</v>
      </c>
      <c r="G135" s="2"/>
      <c r="H135" s="6">
        <v>50</v>
      </c>
      <c r="I135" s="2"/>
      <c r="J135" s="7">
        <f t="shared" si="30"/>
        <v>3.7347826281814746E-5</v>
      </c>
      <c r="K135" s="2"/>
      <c r="L135" s="6">
        <f t="shared" si="31"/>
        <v>-50</v>
      </c>
      <c r="M135" s="2"/>
      <c r="N135" s="7">
        <f t="shared" si="32"/>
        <v>-1</v>
      </c>
      <c r="O135" s="11"/>
      <c r="P135" s="6"/>
      <c r="Q135" s="2"/>
      <c r="R135" s="7">
        <f t="shared" si="33"/>
        <v>0</v>
      </c>
      <c r="S135" s="2"/>
      <c r="T135" s="6">
        <v>150</v>
      </c>
      <c r="U135" s="2"/>
      <c r="V135" s="7">
        <f t="shared" si="34"/>
        <v>4.1218473020448485E-5</v>
      </c>
      <c r="W135" s="2"/>
      <c r="X135" s="6">
        <f t="shared" si="35"/>
        <v>-150</v>
      </c>
      <c r="Y135" s="2"/>
      <c r="Z135" s="7">
        <f t="shared" si="36"/>
        <v>-1</v>
      </c>
    </row>
    <row r="136" spans="1:26" s="28" customFormat="1" outlineLevel="1" collapsed="1" x14ac:dyDescent="0.25">
      <c r="A136" s="27"/>
      <c r="B136" s="14" t="str">
        <f>CONCATENATE("     ","Bank/card Fees                                    ")</f>
        <v xml:space="preserve">     Bank/card Fees                                    </v>
      </c>
      <c r="C136" s="14"/>
      <c r="D136" s="1">
        <f>SUM(OSRRefD22_4x_0)</f>
        <v>9160.4</v>
      </c>
      <c r="E136" s="1"/>
      <c r="F136" s="5">
        <f t="shared" ref="F136:F140" si="37">IF(D$12=0,0,D136/D$12)</f>
        <v>2.469727344840358E-2</v>
      </c>
      <c r="G136" s="1"/>
      <c r="H136" s="1">
        <f>SUM(OSRRefH22_4x_0)</f>
        <v>37689</v>
      </c>
      <c r="I136" s="1"/>
      <c r="J136" s="5">
        <f t="shared" ref="J136:J140" si="38">IF(H$12=0,0,H136/H$12)</f>
        <v>2.8152044494706319E-2</v>
      </c>
      <c r="K136" s="1"/>
      <c r="L136" s="1">
        <f t="shared" ref="L136:L140" si="39">+D136-H136</f>
        <v>-28528.6</v>
      </c>
      <c r="M136" s="1"/>
      <c r="N136" s="5">
        <f t="shared" ref="N136:N140" si="40">IF(H136=0,0,L136/H136)</f>
        <v>-0.75694765050810575</v>
      </c>
      <c r="O136" s="14"/>
      <c r="P136" s="1">
        <f>SUM(OSRRefP22_4x_0)</f>
        <v>34477.950000000004</v>
      </c>
      <c r="Q136" s="1"/>
      <c r="R136" s="5">
        <f t="shared" ref="R136:R140" si="41">IF(P$12=0,0,P136/P$12)</f>
        <v>1.5696855484326189E-2</v>
      </c>
      <c r="S136" s="1"/>
      <c r="T136" s="1">
        <f>SUM(OSRRefT22_4x_0)</f>
        <v>77721</v>
      </c>
      <c r="U136" s="1"/>
      <c r="V136" s="5">
        <f t="shared" ref="V136:V140" si="42">IF(T$12=0,0,T136/T$12)</f>
        <v>2.1356939610815178E-2</v>
      </c>
      <c r="W136" s="1"/>
      <c r="X136" s="1">
        <f t="shared" ref="X136:X140" si="43">+P136-T136</f>
        <v>-43243.049999999996</v>
      </c>
      <c r="Y136" s="1"/>
      <c r="Z136" s="5">
        <f t="shared" ref="Z136:Z140" si="44">IF(T136=0,0,X136/T136)</f>
        <v>-0.55638823484000455</v>
      </c>
    </row>
    <row r="137" spans="1:26" s="24" customFormat="1" hidden="1" outlineLevel="2" x14ac:dyDescent="0.25">
      <c r="A137" s="29"/>
      <c r="B137" s="11" t="str">
        <f>CONCATENATE("          ", "6381", " - ", "BANK/CREDIT CARD FEES")</f>
        <v xml:space="preserve">          6381 - BANK/CREDIT CARD FEES</v>
      </c>
      <c r="C137" s="11"/>
      <c r="D137" s="6">
        <v>9160.4</v>
      </c>
      <c r="E137" s="2"/>
      <c r="F137" s="7">
        <f t="shared" si="37"/>
        <v>2.469727344840358E-2</v>
      </c>
      <c r="G137" s="2"/>
      <c r="H137" s="6">
        <v>37689</v>
      </c>
      <c r="I137" s="2"/>
      <c r="J137" s="7">
        <f t="shared" si="38"/>
        <v>2.8152044494706319E-2</v>
      </c>
      <c r="K137" s="2"/>
      <c r="L137" s="6">
        <f t="shared" si="39"/>
        <v>-28528.6</v>
      </c>
      <c r="M137" s="2"/>
      <c r="N137" s="7">
        <f t="shared" si="40"/>
        <v>-0.75694765050810575</v>
      </c>
      <c r="O137" s="11"/>
      <c r="P137" s="6">
        <v>34477.950000000004</v>
      </c>
      <c r="Q137" s="2"/>
      <c r="R137" s="7">
        <f t="shared" si="41"/>
        <v>1.5696855484326189E-2</v>
      </c>
      <c r="S137" s="2"/>
      <c r="T137" s="6">
        <v>77721</v>
      </c>
      <c r="U137" s="2"/>
      <c r="V137" s="7">
        <f t="shared" si="42"/>
        <v>2.1356939610815178E-2</v>
      </c>
      <c r="W137" s="2"/>
      <c r="X137" s="6">
        <f t="shared" si="43"/>
        <v>-43243.049999999996</v>
      </c>
      <c r="Y137" s="2"/>
      <c r="Z137" s="7">
        <f t="shared" si="44"/>
        <v>-0.55638823484000455</v>
      </c>
    </row>
    <row r="138" spans="1:26" s="28" customFormat="1" outlineLevel="1" collapsed="1" x14ac:dyDescent="0.25">
      <c r="A138" s="27"/>
      <c r="B138" s="14" t="str">
        <f>CONCATENATE("     ","Depreciation                                      ")</f>
        <v xml:space="preserve">     Depreciation                                      </v>
      </c>
      <c r="C138" s="14"/>
      <c r="D138" s="1">
        <f>SUM(OSRRefD22_5x_0)</f>
        <v>40330.31</v>
      </c>
      <c r="E138" s="1"/>
      <c r="F138" s="5">
        <f t="shared" si="37"/>
        <v>0.10873419221091714</v>
      </c>
      <c r="G138" s="1"/>
      <c r="H138" s="1">
        <f>SUM(OSRRefH22_5x_0)</f>
        <v>39305</v>
      </c>
      <c r="I138" s="1"/>
      <c r="J138" s="5">
        <f t="shared" si="38"/>
        <v>2.9359126240134571E-2</v>
      </c>
      <c r="K138" s="1"/>
      <c r="L138" s="1">
        <f t="shared" si="39"/>
        <v>1025.3099999999977</v>
      </c>
      <c r="M138" s="1"/>
      <c r="N138" s="5">
        <f t="shared" si="40"/>
        <v>2.6085994148327126E-2</v>
      </c>
      <c r="O138" s="14"/>
      <c r="P138" s="1">
        <f>SUM(OSRRefP22_5x_0)</f>
        <v>120029.22</v>
      </c>
      <c r="Q138" s="1"/>
      <c r="R138" s="5">
        <f t="shared" si="41"/>
        <v>5.4645978668580772E-2</v>
      </c>
      <c r="S138" s="1"/>
      <c r="T138" s="1">
        <f>SUM(OSRRefT22_5x_0)</f>
        <v>117915</v>
      </c>
      <c r="U138" s="1"/>
      <c r="V138" s="5">
        <f t="shared" si="42"/>
        <v>3.2401841641374551E-2</v>
      </c>
      <c r="W138" s="1"/>
      <c r="X138" s="1">
        <f t="shared" si="43"/>
        <v>2114.2200000000012</v>
      </c>
      <c r="Y138" s="1"/>
      <c r="Z138" s="5">
        <f t="shared" si="44"/>
        <v>1.7930034346775231E-2</v>
      </c>
    </row>
    <row r="139" spans="1:26" s="24" customFormat="1" hidden="1" outlineLevel="2" x14ac:dyDescent="0.25">
      <c r="A139" s="29"/>
      <c r="B139" s="11" t="str">
        <f>CONCATENATE("          ", "6321", " - ", "BUILDING DEPRECIATION")</f>
        <v xml:space="preserve">          6321 - BUILDING DEPRECIATION</v>
      </c>
      <c r="C139" s="11"/>
      <c r="D139" s="6">
        <v>21477.030000000002</v>
      </c>
      <c r="E139" s="2"/>
      <c r="F139" s="7">
        <f t="shared" si="37"/>
        <v>5.7904030694027248E-2</v>
      </c>
      <c r="G139" s="2"/>
      <c r="H139" s="6"/>
      <c r="I139" s="2"/>
      <c r="J139" s="7">
        <f t="shared" si="38"/>
        <v>0</v>
      </c>
      <c r="K139" s="2"/>
      <c r="L139" s="6">
        <f t="shared" si="39"/>
        <v>21477.030000000002</v>
      </c>
      <c r="M139" s="2"/>
      <c r="N139" s="7">
        <f t="shared" si="40"/>
        <v>0</v>
      </c>
      <c r="O139" s="11"/>
      <c r="P139" s="6">
        <v>64431.090000000004</v>
      </c>
      <c r="Q139" s="2"/>
      <c r="R139" s="7">
        <f t="shared" si="41"/>
        <v>2.9333690327516985E-2</v>
      </c>
      <c r="S139" s="2"/>
      <c r="T139" s="6"/>
      <c r="U139" s="2"/>
      <c r="V139" s="7">
        <f t="shared" si="42"/>
        <v>0</v>
      </c>
      <c r="W139" s="2"/>
      <c r="X139" s="6">
        <f t="shared" si="43"/>
        <v>64431.090000000004</v>
      </c>
      <c r="Y139" s="2"/>
      <c r="Z139" s="7">
        <f t="shared" si="44"/>
        <v>0</v>
      </c>
    </row>
    <row r="140" spans="1:26" s="24" customFormat="1" hidden="1" outlineLevel="2" x14ac:dyDescent="0.25">
      <c r="A140" s="29"/>
      <c r="B140" s="11" t="str">
        <f>CONCATENATE("          ", "6322", " - ", "EQUIPMENT DEPRECIATION EXPENSE")</f>
        <v xml:space="preserve">          6322 - EQUIPMENT DEPRECIATION EXPENSE</v>
      </c>
      <c r="C140" s="11"/>
      <c r="D140" s="6">
        <v>18853.28</v>
      </c>
      <c r="E140" s="2"/>
      <c r="F140" s="7">
        <f t="shared" si="37"/>
        <v>5.0830161516889898E-2</v>
      </c>
      <c r="G140" s="2"/>
      <c r="H140" s="6">
        <v>39305</v>
      </c>
      <c r="I140" s="2"/>
      <c r="J140" s="7">
        <f t="shared" si="38"/>
        <v>2.9359126240134571E-2</v>
      </c>
      <c r="K140" s="2"/>
      <c r="L140" s="6">
        <f t="shared" si="39"/>
        <v>-20451.72</v>
      </c>
      <c r="M140" s="2"/>
      <c r="N140" s="7">
        <f t="shared" si="40"/>
        <v>-0.52033379977102157</v>
      </c>
      <c r="O140" s="11"/>
      <c r="P140" s="6">
        <v>55598.13</v>
      </c>
      <c r="Q140" s="2"/>
      <c r="R140" s="7">
        <f t="shared" si="41"/>
        <v>2.5312288341063787E-2</v>
      </c>
      <c r="S140" s="2"/>
      <c r="T140" s="6">
        <v>117915</v>
      </c>
      <c r="U140" s="2"/>
      <c r="V140" s="7">
        <f t="shared" si="42"/>
        <v>3.2401841641374551E-2</v>
      </c>
      <c r="W140" s="2"/>
      <c r="X140" s="6">
        <f t="shared" si="43"/>
        <v>-62316.87</v>
      </c>
      <c r="Y140" s="2"/>
      <c r="Z140" s="7">
        <f t="shared" si="44"/>
        <v>-0.52848975957257349</v>
      </c>
    </row>
    <row r="141" spans="1:26" s="28" customFormat="1" outlineLevel="1" collapsed="1" x14ac:dyDescent="0.25">
      <c r="A141" s="27"/>
      <c r="B141" s="14" t="str">
        <f>CONCATENATE("     ","Discounts and Markdowns                           ")</f>
        <v xml:space="preserve">     Discounts and Markdowns                           </v>
      </c>
      <c r="C141" s="14"/>
      <c r="D141" s="1">
        <f>SUM(OSRRefD22_6x_0)</f>
        <v>830.95</v>
      </c>
      <c r="E141" s="1"/>
      <c r="F141" s="5">
        <f t="shared" ref="F141:F145" si="45">IF(D$12=0,0,D141/D$12)</f>
        <v>2.2403169481628486E-3</v>
      </c>
      <c r="G141" s="1"/>
      <c r="H141" s="1">
        <f>SUM(OSRRefH22_6x_0)</f>
        <v>28191</v>
      </c>
      <c r="I141" s="1"/>
      <c r="J141" s="5">
        <f t="shared" ref="J141:J145" si="46">IF(H$12=0,0,H141/H$12)</f>
        <v>2.105745141421279E-2</v>
      </c>
      <c r="K141" s="1"/>
      <c r="L141" s="1">
        <f t="shared" ref="L141:L145" si="47">+D141-H141</f>
        <v>-27360.05</v>
      </c>
      <c r="M141" s="1"/>
      <c r="N141" s="5">
        <f t="shared" ref="N141:N145" si="48">IF(H141=0,0,L141/H141)</f>
        <v>-0.97052428079883646</v>
      </c>
      <c r="O141" s="14"/>
      <c r="P141" s="1">
        <f>SUM(OSRRefP22_6x_0)</f>
        <v>830.95</v>
      </c>
      <c r="Q141" s="1"/>
      <c r="R141" s="5">
        <f t="shared" ref="R141:R145" si="49">IF(P$12=0,0,P141/P$12)</f>
        <v>3.7830851499874108E-4</v>
      </c>
      <c r="S141" s="1"/>
      <c r="T141" s="1">
        <f>SUM(OSRRefT22_6x_0)</f>
        <v>81658</v>
      </c>
      <c r="U141" s="1"/>
      <c r="V141" s="5">
        <f t="shared" ref="V141:V145" si="50">IF(T$12=0,0,T141/T$12)</f>
        <v>2.2438787132691883E-2</v>
      </c>
      <c r="W141" s="1"/>
      <c r="X141" s="1">
        <f t="shared" ref="X141:X145" si="51">+P141-T141</f>
        <v>-80827.05</v>
      </c>
      <c r="Y141" s="1"/>
      <c r="Z141" s="5">
        <f t="shared" ref="Z141:Z145" si="52">IF(T141=0,0,X141/T141)</f>
        <v>-0.98982402214112519</v>
      </c>
    </row>
    <row r="142" spans="1:26" s="24" customFormat="1" hidden="1" outlineLevel="2" x14ac:dyDescent="0.25">
      <c r="A142" s="29"/>
      <c r="B142" s="11" t="str">
        <f>CONCATENATE("          ", "6382", " - ", "DISCOUNTS/MARK DOWNS")</f>
        <v xml:space="preserve">          6382 - DISCOUNTS/MARK DOWNS</v>
      </c>
      <c r="C142" s="11"/>
      <c r="D142" s="6">
        <v>830.95</v>
      </c>
      <c r="E142" s="2"/>
      <c r="F142" s="7">
        <f t="shared" si="45"/>
        <v>2.2403169481628486E-3</v>
      </c>
      <c r="G142" s="2"/>
      <c r="H142" s="6">
        <v>28191</v>
      </c>
      <c r="I142" s="2"/>
      <c r="J142" s="7">
        <f t="shared" si="46"/>
        <v>2.105745141421279E-2</v>
      </c>
      <c r="K142" s="2"/>
      <c r="L142" s="6">
        <f t="shared" si="47"/>
        <v>-27360.05</v>
      </c>
      <c r="M142" s="2"/>
      <c r="N142" s="7">
        <f t="shared" si="48"/>
        <v>-0.97052428079883646</v>
      </c>
      <c r="O142" s="11"/>
      <c r="P142" s="6">
        <v>830.95</v>
      </c>
      <c r="Q142" s="2"/>
      <c r="R142" s="7">
        <f t="shared" si="49"/>
        <v>3.7830851499874108E-4</v>
      </c>
      <c r="S142" s="2"/>
      <c r="T142" s="6">
        <v>81658</v>
      </c>
      <c r="U142" s="2"/>
      <c r="V142" s="7">
        <f t="shared" si="50"/>
        <v>2.2438787132691883E-2</v>
      </c>
      <c r="W142" s="2"/>
      <c r="X142" s="6">
        <f t="shared" si="51"/>
        <v>-80827.05</v>
      </c>
      <c r="Y142" s="2"/>
      <c r="Z142" s="7">
        <f t="shared" si="52"/>
        <v>-0.98982402214112519</v>
      </c>
    </row>
    <row r="143" spans="1:26" s="28" customFormat="1" outlineLevel="1" collapsed="1" x14ac:dyDescent="0.25">
      <c r="A143" s="27"/>
      <c r="B143" s="14" t="str">
        <f>CONCATENATE("     ","Donations                                         ")</f>
        <v xml:space="preserve">     Donations                                         </v>
      </c>
      <c r="C143" s="14"/>
      <c r="D143" s="1">
        <f>SUM(OSRRefD22_7x_0)</f>
        <v>0</v>
      </c>
      <c r="E143" s="1"/>
      <c r="F143" s="5">
        <f t="shared" si="45"/>
        <v>0</v>
      </c>
      <c r="G143" s="1"/>
      <c r="H143" s="1">
        <f>SUM(OSRRefH22_7x_0)</f>
        <v>1000</v>
      </c>
      <c r="I143" s="1"/>
      <c r="J143" s="5">
        <f t="shared" si="46"/>
        <v>7.4695652563629492E-4</v>
      </c>
      <c r="K143" s="1"/>
      <c r="L143" s="1">
        <f t="shared" si="47"/>
        <v>-1000</v>
      </c>
      <c r="M143" s="1"/>
      <c r="N143" s="5">
        <f t="shared" si="48"/>
        <v>-1</v>
      </c>
      <c r="O143" s="14"/>
      <c r="P143" s="1">
        <f>SUM(OSRRefP22_7x_0)</f>
        <v>0</v>
      </c>
      <c r="Q143" s="1"/>
      <c r="R143" s="5">
        <f t="shared" si="49"/>
        <v>0</v>
      </c>
      <c r="S143" s="1"/>
      <c r="T143" s="1">
        <f>SUM(OSRRefT22_7x_0)</f>
        <v>3000</v>
      </c>
      <c r="U143" s="1"/>
      <c r="V143" s="5">
        <f t="shared" si="50"/>
        <v>8.2436946040896966E-4</v>
      </c>
      <c r="W143" s="1"/>
      <c r="X143" s="1">
        <f t="shared" si="51"/>
        <v>-3000</v>
      </c>
      <c r="Y143" s="1"/>
      <c r="Z143" s="5">
        <f t="shared" si="52"/>
        <v>-1</v>
      </c>
    </row>
    <row r="144" spans="1:26" s="24" customFormat="1" hidden="1" outlineLevel="2" x14ac:dyDescent="0.25">
      <c r="A144" s="29"/>
      <c r="B144" s="11" t="str">
        <f>CONCATENATE("          ", "6395", " - ", "DONATION-OFF CAMPUS")</f>
        <v xml:space="preserve">          6395 - DONATION-OFF CAMPUS</v>
      </c>
      <c r="C144" s="11"/>
      <c r="D144" s="6"/>
      <c r="E144" s="2"/>
      <c r="F144" s="7">
        <f t="shared" si="45"/>
        <v>0</v>
      </c>
      <c r="G144" s="2"/>
      <c r="H144" s="6"/>
      <c r="I144" s="2"/>
      <c r="J144" s="7">
        <f t="shared" si="46"/>
        <v>0</v>
      </c>
      <c r="K144" s="2"/>
      <c r="L144" s="6">
        <f t="shared" si="47"/>
        <v>0</v>
      </c>
      <c r="M144" s="2"/>
      <c r="N144" s="7">
        <f t="shared" si="48"/>
        <v>0</v>
      </c>
      <c r="O144" s="11"/>
      <c r="P144" s="6"/>
      <c r="Q144" s="2"/>
      <c r="R144" s="7">
        <f t="shared" si="49"/>
        <v>0</v>
      </c>
      <c r="S144" s="2"/>
      <c r="T144" s="6">
        <v>0</v>
      </c>
      <c r="U144" s="2"/>
      <c r="V144" s="7">
        <f t="shared" si="50"/>
        <v>0</v>
      </c>
      <c r="W144" s="2"/>
      <c r="X144" s="6">
        <f t="shared" si="51"/>
        <v>0</v>
      </c>
      <c r="Y144" s="2"/>
      <c r="Z144" s="7">
        <f t="shared" si="52"/>
        <v>0</v>
      </c>
    </row>
    <row r="145" spans="1:26" s="24" customFormat="1" hidden="1" outlineLevel="2" x14ac:dyDescent="0.25">
      <c r="A145" s="29"/>
      <c r="B145" s="11" t="str">
        <f>CONCATENATE("          ", "6399", " - ", "DONATION-ON CAMPUS")</f>
        <v xml:space="preserve">          6399 - DONATION-ON CAMPUS</v>
      </c>
      <c r="C145" s="11"/>
      <c r="D145" s="6"/>
      <c r="E145" s="2"/>
      <c r="F145" s="7">
        <f t="shared" si="45"/>
        <v>0</v>
      </c>
      <c r="G145" s="2"/>
      <c r="H145" s="6">
        <v>1000</v>
      </c>
      <c r="I145" s="2"/>
      <c r="J145" s="7">
        <f t="shared" si="46"/>
        <v>7.4695652563629492E-4</v>
      </c>
      <c r="K145" s="2"/>
      <c r="L145" s="6">
        <f t="shared" si="47"/>
        <v>-1000</v>
      </c>
      <c r="M145" s="2"/>
      <c r="N145" s="7">
        <f t="shared" si="48"/>
        <v>-1</v>
      </c>
      <c r="O145" s="11"/>
      <c r="P145" s="6"/>
      <c r="Q145" s="2"/>
      <c r="R145" s="7">
        <f t="shared" si="49"/>
        <v>0</v>
      </c>
      <c r="S145" s="2"/>
      <c r="T145" s="6">
        <v>3000</v>
      </c>
      <c r="U145" s="2"/>
      <c r="V145" s="7">
        <f t="shared" si="50"/>
        <v>8.2436946040896966E-4</v>
      </c>
      <c r="W145" s="2"/>
      <c r="X145" s="6">
        <f t="shared" si="51"/>
        <v>-3000</v>
      </c>
      <c r="Y145" s="2"/>
      <c r="Z145" s="7">
        <f t="shared" si="52"/>
        <v>-1</v>
      </c>
    </row>
    <row r="146" spans="1:26" s="28" customFormat="1" outlineLevel="1" collapsed="1" x14ac:dyDescent="0.25">
      <c r="A146" s="27"/>
      <c r="B146" s="14" t="str">
        <f>CONCATENATE("     ","Employees' Appreciation                           ")</f>
        <v xml:space="preserve">     Employees' Appreciation                           </v>
      </c>
      <c r="C146" s="14"/>
      <c r="D146" s="1">
        <f>SUM(OSRRefD22_8x_0)</f>
        <v>0</v>
      </c>
      <c r="E146" s="1"/>
      <c r="F146" s="5">
        <f t="shared" ref="F146:F152" si="53">IF(D$12=0,0,D146/D$12)</f>
        <v>0</v>
      </c>
      <c r="G146" s="1"/>
      <c r="H146" s="1">
        <f>SUM(OSRRefH22_8x_0)</f>
        <v>400</v>
      </c>
      <c r="I146" s="1"/>
      <c r="J146" s="5">
        <f t="shared" ref="J146:J152" si="54">IF(H$12=0,0,H146/H$12)</f>
        <v>2.9878261025451797E-4</v>
      </c>
      <c r="K146" s="1"/>
      <c r="L146" s="1">
        <f t="shared" ref="L146:L152" si="55">+D146-H146</f>
        <v>-400</v>
      </c>
      <c r="M146" s="1"/>
      <c r="N146" s="5">
        <f t="shared" ref="N146:N152" si="56">IF(H146=0,0,L146/H146)</f>
        <v>-1</v>
      </c>
      <c r="O146" s="14"/>
      <c r="P146" s="1">
        <f>SUM(OSRRefP22_8x_0)</f>
        <v>107.7</v>
      </c>
      <c r="Q146" s="1"/>
      <c r="R146" s="5">
        <f t="shared" ref="R146:R152" si="57">IF(P$12=0,0,P146/P$12)</f>
        <v>4.903282636183214E-5</v>
      </c>
      <c r="S146" s="1"/>
      <c r="T146" s="1">
        <f>SUM(OSRRefT22_8x_0)</f>
        <v>1250</v>
      </c>
      <c r="U146" s="1"/>
      <c r="V146" s="5">
        <f t="shared" ref="V146:V152" si="58">IF(T$12=0,0,T146/T$12)</f>
        <v>3.4348727517040405E-4</v>
      </c>
      <c r="W146" s="1"/>
      <c r="X146" s="1">
        <f t="shared" ref="X146:X152" si="59">+P146-T146</f>
        <v>-1142.3</v>
      </c>
      <c r="Y146" s="1"/>
      <c r="Z146" s="5">
        <f t="shared" ref="Z146:Z152" si="60">IF(T146=0,0,X146/T146)</f>
        <v>-0.91383999999999999</v>
      </c>
    </row>
    <row r="147" spans="1:26" s="24" customFormat="1" hidden="1" outlineLevel="2" x14ac:dyDescent="0.25">
      <c r="A147" s="29"/>
      <c r="B147" s="11" t="str">
        <f>CONCATENATE("          ", "6277", " - ", "EMPLOYEE APPRECIATION")</f>
        <v xml:space="preserve">          6277 - EMPLOYEE APPRECIATION</v>
      </c>
      <c r="C147" s="11"/>
      <c r="D147" s="6"/>
      <c r="E147" s="2"/>
      <c r="F147" s="7">
        <f t="shared" si="53"/>
        <v>0</v>
      </c>
      <c r="G147" s="2"/>
      <c r="H147" s="6">
        <v>400</v>
      </c>
      <c r="I147" s="2"/>
      <c r="J147" s="7">
        <f t="shared" si="54"/>
        <v>2.9878261025451797E-4</v>
      </c>
      <c r="K147" s="2"/>
      <c r="L147" s="6">
        <f t="shared" si="55"/>
        <v>-400</v>
      </c>
      <c r="M147" s="2"/>
      <c r="N147" s="7">
        <f t="shared" si="56"/>
        <v>-1</v>
      </c>
      <c r="O147" s="11"/>
      <c r="P147" s="6">
        <v>107.7</v>
      </c>
      <c r="Q147" s="2"/>
      <c r="R147" s="7">
        <f t="shared" si="57"/>
        <v>4.903282636183214E-5</v>
      </c>
      <c r="S147" s="2"/>
      <c r="T147" s="6">
        <v>1250</v>
      </c>
      <c r="U147" s="2"/>
      <c r="V147" s="7">
        <f t="shared" si="58"/>
        <v>3.4348727517040405E-4</v>
      </c>
      <c r="W147" s="2"/>
      <c r="X147" s="6">
        <f t="shared" si="59"/>
        <v>-1142.3</v>
      </c>
      <c r="Y147" s="2"/>
      <c r="Z147" s="7">
        <f t="shared" si="60"/>
        <v>-0.91383999999999999</v>
      </c>
    </row>
    <row r="148" spans="1:26" s="28" customFormat="1" outlineLevel="1" collapsed="1" x14ac:dyDescent="0.25">
      <c r="A148" s="27"/>
      <c r="B148" s="14" t="str">
        <f>CONCATENATE("     ","Equipment Rental                                  ")</f>
        <v xml:space="preserve">     Equipment Rental                                  </v>
      </c>
      <c r="C148" s="14"/>
      <c r="D148" s="1">
        <f>SUM(OSRRefD22_9x_0)</f>
        <v>1712.05</v>
      </c>
      <c r="E148" s="1"/>
      <c r="F148" s="5">
        <f t="shared" si="53"/>
        <v>4.6158428679249101E-3</v>
      </c>
      <c r="G148" s="1"/>
      <c r="H148" s="1">
        <f>SUM(OSRRefH22_9x_0)</f>
        <v>3006</v>
      </c>
      <c r="I148" s="1"/>
      <c r="J148" s="5">
        <f t="shared" si="54"/>
        <v>2.2453513160627025E-3</v>
      </c>
      <c r="K148" s="1"/>
      <c r="L148" s="1">
        <f t="shared" si="55"/>
        <v>-1293.95</v>
      </c>
      <c r="M148" s="1"/>
      <c r="N148" s="5">
        <f t="shared" si="56"/>
        <v>-0.43045575515635398</v>
      </c>
      <c r="O148" s="14"/>
      <c r="P148" s="1">
        <f>SUM(OSRRefP22_9x_0)</f>
        <v>4488.37</v>
      </c>
      <c r="Q148" s="1"/>
      <c r="R148" s="5">
        <f t="shared" si="57"/>
        <v>2.0434305186411931E-3</v>
      </c>
      <c r="S148" s="1"/>
      <c r="T148" s="1">
        <f>SUM(OSRRefT22_9x_0)</f>
        <v>9018</v>
      </c>
      <c r="U148" s="1"/>
      <c r="V148" s="5">
        <f t="shared" si="58"/>
        <v>2.4780545979893628E-3</v>
      </c>
      <c r="W148" s="1"/>
      <c r="X148" s="1">
        <f t="shared" si="59"/>
        <v>-4529.63</v>
      </c>
      <c r="Y148" s="1"/>
      <c r="Z148" s="5">
        <f t="shared" si="60"/>
        <v>-0.50228764692836547</v>
      </c>
    </row>
    <row r="149" spans="1:26" s="24" customFormat="1" hidden="1" outlineLevel="2" x14ac:dyDescent="0.25">
      <c r="A149" s="29"/>
      <c r="B149" s="11" t="str">
        <f>CONCATENATE("          ", "6351", " - ", "EQUIPMENT RENTAL")</f>
        <v xml:space="preserve">          6351 - EQUIPMENT RENTAL</v>
      </c>
      <c r="C149" s="11"/>
      <c r="D149" s="6">
        <v>1712.05</v>
      </c>
      <c r="E149" s="2"/>
      <c r="F149" s="7">
        <f t="shared" si="53"/>
        <v>4.6158428679249101E-3</v>
      </c>
      <c r="G149" s="2"/>
      <c r="H149" s="6">
        <v>3006</v>
      </c>
      <c r="I149" s="2"/>
      <c r="J149" s="7">
        <f t="shared" si="54"/>
        <v>2.2453513160627025E-3</v>
      </c>
      <c r="K149" s="2"/>
      <c r="L149" s="6">
        <f t="shared" si="55"/>
        <v>-1293.95</v>
      </c>
      <c r="M149" s="2"/>
      <c r="N149" s="7">
        <f t="shared" si="56"/>
        <v>-0.43045575515635398</v>
      </c>
      <c r="O149" s="11"/>
      <c r="P149" s="6">
        <v>4488.37</v>
      </c>
      <c r="Q149" s="2"/>
      <c r="R149" s="7">
        <f t="shared" si="57"/>
        <v>2.0434305186411931E-3</v>
      </c>
      <c r="S149" s="2"/>
      <c r="T149" s="6">
        <v>9018</v>
      </c>
      <c r="U149" s="2"/>
      <c r="V149" s="7">
        <f t="shared" si="58"/>
        <v>2.4780545979893628E-3</v>
      </c>
      <c r="W149" s="2"/>
      <c r="X149" s="6">
        <f t="shared" si="59"/>
        <v>-4529.63</v>
      </c>
      <c r="Y149" s="2"/>
      <c r="Z149" s="7">
        <f t="shared" si="60"/>
        <v>-0.50228764692836547</v>
      </c>
    </row>
    <row r="150" spans="1:26" s="28" customFormat="1" outlineLevel="1" collapsed="1" x14ac:dyDescent="0.25">
      <c r="A150" s="27"/>
      <c r="B150" s="14" t="str">
        <f>CONCATENATE("     ","Freight out/Postage                               ")</f>
        <v xml:space="preserve">     Freight out/Postage                               </v>
      </c>
      <c r="C150" s="14"/>
      <c r="D150" s="1">
        <f>SUM(OSRRefD22_10x_0)</f>
        <v>-5933.58</v>
      </c>
      <c r="E150" s="1"/>
      <c r="F150" s="5">
        <f t="shared" si="53"/>
        <v>-1.5997472576304368E-2</v>
      </c>
      <c r="G150" s="1"/>
      <c r="H150" s="1">
        <f>SUM(OSRRefH22_10x_0)</f>
        <v>10803</v>
      </c>
      <c r="I150" s="1"/>
      <c r="J150" s="5">
        <f t="shared" si="54"/>
        <v>8.0693713464488944E-3</v>
      </c>
      <c r="K150" s="1"/>
      <c r="L150" s="1">
        <f t="shared" si="55"/>
        <v>-16736.580000000002</v>
      </c>
      <c r="M150" s="1"/>
      <c r="N150" s="5">
        <f t="shared" si="56"/>
        <v>-1.5492529852818664</v>
      </c>
      <c r="O150" s="14"/>
      <c r="P150" s="1">
        <f>SUM(OSRRefP22_10x_0)</f>
        <v>-80741.510000000009</v>
      </c>
      <c r="Q150" s="1"/>
      <c r="R150" s="5">
        <f t="shared" si="57"/>
        <v>-3.6759372702155374E-2</v>
      </c>
      <c r="S150" s="1"/>
      <c r="T150" s="1">
        <f>SUM(OSRRefT22_10x_0)</f>
        <v>26958</v>
      </c>
      <c r="U150" s="1"/>
      <c r="V150" s="5">
        <f t="shared" si="58"/>
        <v>7.4077839712350015E-3</v>
      </c>
      <c r="W150" s="1"/>
      <c r="X150" s="1">
        <f t="shared" si="59"/>
        <v>-107699.51000000001</v>
      </c>
      <c r="Y150" s="1"/>
      <c r="Z150" s="5">
        <f t="shared" si="60"/>
        <v>-3.9950853179019217</v>
      </c>
    </row>
    <row r="151" spans="1:26" s="24" customFormat="1" hidden="1" outlineLevel="2" x14ac:dyDescent="0.25">
      <c r="A151" s="29"/>
      <c r="B151" s="11" t="str">
        <f>CONCATENATE("          ", "6305", " - ", "FREIGHT OUT")</f>
        <v xml:space="preserve">          6305 - FREIGHT OUT</v>
      </c>
      <c r="C151" s="11"/>
      <c r="D151" s="6">
        <v>5334.51</v>
      </c>
      <c r="E151" s="2"/>
      <c r="F151" s="7">
        <f t="shared" si="53"/>
        <v>1.4382325245976529E-2</v>
      </c>
      <c r="G151" s="2"/>
      <c r="H151" s="6">
        <v>9533</v>
      </c>
      <c r="I151" s="2"/>
      <c r="J151" s="7">
        <f t="shared" si="54"/>
        <v>7.1207365588907999E-3</v>
      </c>
      <c r="K151" s="2"/>
      <c r="L151" s="6">
        <f t="shared" si="55"/>
        <v>-4198.49</v>
      </c>
      <c r="M151" s="2"/>
      <c r="N151" s="7">
        <f t="shared" si="56"/>
        <v>-0.44041644812755687</v>
      </c>
      <c r="O151" s="11"/>
      <c r="P151" s="6">
        <v>25668.06</v>
      </c>
      <c r="Q151" s="2"/>
      <c r="R151" s="7">
        <f t="shared" si="57"/>
        <v>1.1685956629759416E-2</v>
      </c>
      <c r="S151" s="2"/>
      <c r="T151" s="6">
        <v>14648</v>
      </c>
      <c r="U151" s="2"/>
      <c r="V151" s="7">
        <f t="shared" si="58"/>
        <v>4.0251212853568627E-3</v>
      </c>
      <c r="W151" s="2"/>
      <c r="X151" s="6">
        <f t="shared" si="59"/>
        <v>11020.060000000001</v>
      </c>
      <c r="Y151" s="2"/>
      <c r="Z151" s="7">
        <f t="shared" si="60"/>
        <v>0.75232523211359925</v>
      </c>
    </row>
    <row r="152" spans="1:26" s="24" customFormat="1" hidden="1" outlineLevel="2" x14ac:dyDescent="0.25">
      <c r="A152" s="29"/>
      <c r="B152" s="11" t="str">
        <f>CONCATENATE("          ", "6307", " - ", "POSTAGE")</f>
        <v xml:space="preserve">          6307 - POSTAGE</v>
      </c>
      <c r="C152" s="11"/>
      <c r="D152" s="6">
        <v>-11268.09</v>
      </c>
      <c r="E152" s="2"/>
      <c r="F152" s="7">
        <f t="shared" si="53"/>
        <v>-3.0379797822280896E-2</v>
      </c>
      <c r="G152" s="2"/>
      <c r="H152" s="6">
        <v>1270</v>
      </c>
      <c r="I152" s="2"/>
      <c r="J152" s="7">
        <f t="shared" si="54"/>
        <v>9.4863478755809454E-4</v>
      </c>
      <c r="K152" s="2"/>
      <c r="L152" s="6">
        <f t="shared" si="55"/>
        <v>-12538.09</v>
      </c>
      <c r="M152" s="2"/>
      <c r="N152" s="7">
        <f t="shared" si="56"/>
        <v>-9.8725118110236227</v>
      </c>
      <c r="O152" s="11"/>
      <c r="P152" s="6">
        <v>-106409.57</v>
      </c>
      <c r="Q152" s="2"/>
      <c r="R152" s="7">
        <f t="shared" si="57"/>
        <v>-4.8445329331914783E-2</v>
      </c>
      <c r="S152" s="2"/>
      <c r="T152" s="6">
        <v>12310</v>
      </c>
      <c r="U152" s="2"/>
      <c r="V152" s="7">
        <f t="shared" si="58"/>
        <v>3.3826626858781388E-3</v>
      </c>
      <c r="W152" s="2"/>
      <c r="X152" s="6">
        <f t="shared" si="59"/>
        <v>-118719.57</v>
      </c>
      <c r="Y152" s="2"/>
      <c r="Z152" s="7">
        <f t="shared" si="60"/>
        <v>-9.6441567831031687</v>
      </c>
    </row>
    <row r="153" spans="1:26" s="28" customFormat="1" outlineLevel="1" collapsed="1" x14ac:dyDescent="0.25">
      <c r="A153" s="27"/>
      <c r="B153" s="14" t="str">
        <f>CONCATENATE("     ","General                                           ")</f>
        <v xml:space="preserve">     General                                           </v>
      </c>
      <c r="C153" s="14"/>
      <c r="D153" s="1">
        <f>SUM(OSRRefD22_11x_0)</f>
        <v>0</v>
      </c>
      <c r="E153" s="1"/>
      <c r="F153" s="5">
        <f t="shared" ref="F153:F156" si="61">IF(D$12=0,0,D153/D$12)</f>
        <v>0</v>
      </c>
      <c r="G153" s="1"/>
      <c r="H153" s="1">
        <f>SUM(OSRRefH22_11x_0)</f>
        <v>500</v>
      </c>
      <c r="I153" s="1"/>
      <c r="J153" s="5">
        <f t="shared" ref="J153:J156" si="62">IF(H$12=0,0,H153/H$12)</f>
        <v>3.7347826281814746E-4</v>
      </c>
      <c r="K153" s="1"/>
      <c r="L153" s="1">
        <f t="shared" ref="L153:L156" si="63">+D153-H153</f>
        <v>-500</v>
      </c>
      <c r="M153" s="1"/>
      <c r="N153" s="5">
        <f t="shared" ref="N153:N156" si="64">IF(H153=0,0,L153/H153)</f>
        <v>-1</v>
      </c>
      <c r="O153" s="14"/>
      <c r="P153" s="1">
        <f>SUM(OSRRefP22_11x_0)</f>
        <v>-1697.73</v>
      </c>
      <c r="Q153" s="1"/>
      <c r="R153" s="5">
        <f t="shared" ref="R153:R156" si="65">IF(P$12=0,0,P153/P$12)</f>
        <v>-7.7292943639065245E-4</v>
      </c>
      <c r="S153" s="1"/>
      <c r="T153" s="1">
        <f>SUM(OSRRefT22_11x_0)</f>
        <v>5925</v>
      </c>
      <c r="U153" s="1"/>
      <c r="V153" s="5">
        <f t="shared" ref="V153:V156" si="66">IF(T$12=0,0,T153/T$12)</f>
        <v>1.6281296843077152E-3</v>
      </c>
      <c r="W153" s="1"/>
      <c r="X153" s="1">
        <f t="shared" ref="X153:X156" si="67">+P153-T153</f>
        <v>-7622.73</v>
      </c>
      <c r="Y153" s="1"/>
      <c r="Z153" s="5">
        <f t="shared" ref="Z153:Z156" si="68">IF(T153=0,0,X153/T153)</f>
        <v>-1.2865367088607593</v>
      </c>
    </row>
    <row r="154" spans="1:26" s="24" customFormat="1" hidden="1" outlineLevel="2" x14ac:dyDescent="0.25">
      <c r="A154" s="29"/>
      <c r="B154" s="11" t="str">
        <f>CONCATENATE("          ", "6269", " - ", "ENTERTAINMENT")</f>
        <v xml:space="preserve">          6269 - ENTERTAINMENT</v>
      </c>
      <c r="C154" s="11"/>
      <c r="D154" s="6"/>
      <c r="E154" s="2"/>
      <c r="F154" s="7">
        <f t="shared" si="61"/>
        <v>0</v>
      </c>
      <c r="G154" s="2"/>
      <c r="H154" s="6">
        <v>0</v>
      </c>
      <c r="I154" s="2"/>
      <c r="J154" s="7">
        <f t="shared" si="62"/>
        <v>0</v>
      </c>
      <c r="K154" s="2"/>
      <c r="L154" s="6">
        <f t="shared" si="63"/>
        <v>0</v>
      </c>
      <c r="M154" s="2"/>
      <c r="N154" s="7">
        <f t="shared" si="64"/>
        <v>0</v>
      </c>
      <c r="O154" s="11"/>
      <c r="P154" s="6"/>
      <c r="Q154" s="2"/>
      <c r="R154" s="7">
        <f t="shared" si="65"/>
        <v>0</v>
      </c>
      <c r="S154" s="2"/>
      <c r="T154" s="6">
        <v>125</v>
      </c>
      <c r="U154" s="2"/>
      <c r="V154" s="7">
        <f t="shared" si="66"/>
        <v>3.4348727517040403E-5</v>
      </c>
      <c r="W154" s="2"/>
      <c r="X154" s="6">
        <f t="shared" si="67"/>
        <v>-125</v>
      </c>
      <c r="Y154" s="2"/>
      <c r="Z154" s="7">
        <f t="shared" si="68"/>
        <v>-1</v>
      </c>
    </row>
    <row r="155" spans="1:26" s="24" customFormat="1" hidden="1" outlineLevel="2" x14ac:dyDescent="0.25">
      <c r="A155" s="29"/>
      <c r="B155" s="11" t="str">
        <f>CONCATENATE("          ", "6276", " - ", "PROPERTY TAX")</f>
        <v xml:space="preserve">          6276 - PROPERTY TAX</v>
      </c>
      <c r="C155" s="11"/>
      <c r="D155" s="6"/>
      <c r="E155" s="2"/>
      <c r="F155" s="7">
        <f t="shared" si="61"/>
        <v>0</v>
      </c>
      <c r="G155" s="2"/>
      <c r="H155" s="6"/>
      <c r="I155" s="2"/>
      <c r="J155" s="7">
        <f t="shared" si="62"/>
        <v>0</v>
      </c>
      <c r="K155" s="2"/>
      <c r="L155" s="6">
        <f t="shared" si="63"/>
        <v>0</v>
      </c>
      <c r="M155" s="2"/>
      <c r="N155" s="7">
        <f t="shared" si="64"/>
        <v>0</v>
      </c>
      <c r="O155" s="11"/>
      <c r="P155" s="6"/>
      <c r="Q155" s="2"/>
      <c r="R155" s="7">
        <f t="shared" si="65"/>
        <v>0</v>
      </c>
      <c r="S155" s="2"/>
      <c r="T155" s="6">
        <v>150</v>
      </c>
      <c r="U155" s="2"/>
      <c r="V155" s="7">
        <f t="shared" si="66"/>
        <v>4.1218473020448485E-5</v>
      </c>
      <c r="W155" s="2"/>
      <c r="X155" s="6">
        <f t="shared" si="67"/>
        <v>-150</v>
      </c>
      <c r="Y155" s="2"/>
      <c r="Z155" s="7">
        <f t="shared" si="68"/>
        <v>-1</v>
      </c>
    </row>
    <row r="156" spans="1:26" s="24" customFormat="1" hidden="1" outlineLevel="2" x14ac:dyDescent="0.25">
      <c r="A156" s="29"/>
      <c r="B156" s="11" t="str">
        <f>CONCATENATE("          ", "6279", " - ", "GENERAL EXPENSE")</f>
        <v xml:space="preserve">          6279 - GENERAL EXPENSE</v>
      </c>
      <c r="C156" s="11"/>
      <c r="D156" s="6"/>
      <c r="E156" s="2"/>
      <c r="F156" s="7">
        <f t="shared" si="61"/>
        <v>0</v>
      </c>
      <c r="G156" s="2"/>
      <c r="H156" s="6">
        <v>500</v>
      </c>
      <c r="I156" s="2"/>
      <c r="J156" s="7">
        <f t="shared" si="62"/>
        <v>3.7347826281814746E-4</v>
      </c>
      <c r="K156" s="2"/>
      <c r="L156" s="6">
        <f t="shared" si="63"/>
        <v>-500</v>
      </c>
      <c r="M156" s="2"/>
      <c r="N156" s="7">
        <f t="shared" si="64"/>
        <v>-1</v>
      </c>
      <c r="O156" s="11"/>
      <c r="P156" s="6">
        <v>-1697.73</v>
      </c>
      <c r="Q156" s="2"/>
      <c r="R156" s="7">
        <f t="shared" si="65"/>
        <v>-7.7292943639065245E-4</v>
      </c>
      <c r="S156" s="2"/>
      <c r="T156" s="6">
        <v>5650</v>
      </c>
      <c r="U156" s="2"/>
      <c r="V156" s="7">
        <f t="shared" si="66"/>
        <v>1.5525624837702263E-3</v>
      </c>
      <c r="W156" s="2"/>
      <c r="X156" s="6">
        <f t="shared" si="67"/>
        <v>-7347.73</v>
      </c>
      <c r="Y156" s="2"/>
      <c r="Z156" s="7">
        <f t="shared" si="68"/>
        <v>-1.300483185840708</v>
      </c>
    </row>
    <row r="157" spans="1:26" s="28" customFormat="1" outlineLevel="1" collapsed="1" x14ac:dyDescent="0.25">
      <c r="A157" s="27"/>
      <c r="B157" s="14" t="str">
        <f>CONCATENATE("     ","Insurance                                         ")</f>
        <v xml:space="preserve">     Insurance                                         </v>
      </c>
      <c r="C157" s="14"/>
      <c r="D157" s="1">
        <f>SUM(OSRRefD22_12x_0)</f>
        <v>4288.28</v>
      </c>
      <c r="E157" s="1"/>
      <c r="F157" s="5">
        <f t="shared" ref="F157:F171" si="69">IF(D$12=0,0,D157/D$12)</f>
        <v>1.1561593793209915E-2</v>
      </c>
      <c r="G157" s="1"/>
      <c r="H157" s="1">
        <f>SUM(OSRRefH22_12x_0)</f>
        <v>4716</v>
      </c>
      <c r="I157" s="1"/>
      <c r="J157" s="5">
        <f t="shared" ref="J157:J171" si="70">IF(H$12=0,0,H157/H$12)</f>
        <v>3.5226469749007668E-3</v>
      </c>
      <c r="K157" s="1"/>
      <c r="L157" s="1">
        <f t="shared" ref="L157:L171" si="71">+D157-H157</f>
        <v>-427.72000000000025</v>
      </c>
      <c r="M157" s="1"/>
      <c r="N157" s="5">
        <f t="shared" ref="N157:N171" si="72">IF(H157=0,0,L157/H157)</f>
        <v>-9.0695504664970367E-2</v>
      </c>
      <c r="O157" s="14"/>
      <c r="P157" s="1">
        <f>SUM(OSRRefP22_12x_0)</f>
        <v>12864.84</v>
      </c>
      <c r="Q157" s="1"/>
      <c r="R157" s="5">
        <f t="shared" ref="R157:R171" si="73">IF(P$12=0,0,P157/P$12)</f>
        <v>5.8570052543431067E-3</v>
      </c>
      <c r="S157" s="1"/>
      <c r="T157" s="1">
        <f>SUM(OSRRefT22_12x_0)</f>
        <v>14148</v>
      </c>
      <c r="U157" s="1"/>
      <c r="V157" s="5">
        <f t="shared" ref="V157:V171" si="74">IF(T$12=0,0,T157/T$12)</f>
        <v>3.8877263752887009E-3</v>
      </c>
      <c r="W157" s="1"/>
      <c r="X157" s="1">
        <f t="shared" ref="X157:X171" si="75">+P157-T157</f>
        <v>-1283.1599999999999</v>
      </c>
      <c r="Y157" s="1"/>
      <c r="Z157" s="5">
        <f t="shared" ref="Z157:Z171" si="76">IF(T157=0,0,X157/T157)</f>
        <v>-9.0695504664970297E-2</v>
      </c>
    </row>
    <row r="158" spans="1:26" s="24" customFormat="1" hidden="1" outlineLevel="2" x14ac:dyDescent="0.25">
      <c r="A158" s="29"/>
      <c r="B158" s="11" t="str">
        <f>CONCATENATE("          ", "6314", " - ", "LIABILITY INSURANCE")</f>
        <v xml:space="preserve">          6314 - LIABILITY INSURANCE</v>
      </c>
      <c r="C158" s="11"/>
      <c r="D158" s="6">
        <v>4288.28</v>
      </c>
      <c r="E158" s="2"/>
      <c r="F158" s="7">
        <f t="shared" si="69"/>
        <v>1.1561593793209915E-2</v>
      </c>
      <c r="G158" s="2"/>
      <c r="H158" s="6">
        <v>4716</v>
      </c>
      <c r="I158" s="2"/>
      <c r="J158" s="7">
        <f t="shared" si="70"/>
        <v>3.5226469749007668E-3</v>
      </c>
      <c r="K158" s="2"/>
      <c r="L158" s="6">
        <f t="shared" si="71"/>
        <v>-427.72000000000025</v>
      </c>
      <c r="M158" s="2"/>
      <c r="N158" s="7">
        <f t="shared" si="72"/>
        <v>-9.0695504664970367E-2</v>
      </c>
      <c r="O158" s="11"/>
      <c r="P158" s="6">
        <v>12864.84</v>
      </c>
      <c r="Q158" s="2"/>
      <c r="R158" s="7">
        <f t="shared" si="73"/>
        <v>5.8570052543431067E-3</v>
      </c>
      <c r="S158" s="2"/>
      <c r="T158" s="6">
        <v>14148</v>
      </c>
      <c r="U158" s="2"/>
      <c r="V158" s="7">
        <f t="shared" si="74"/>
        <v>3.8877263752887009E-3</v>
      </c>
      <c r="W158" s="2"/>
      <c r="X158" s="6">
        <f t="shared" si="75"/>
        <v>-1283.1599999999999</v>
      </c>
      <c r="Y158" s="2"/>
      <c r="Z158" s="7">
        <f t="shared" si="76"/>
        <v>-9.0695504664970297E-2</v>
      </c>
    </row>
    <row r="159" spans="1:26" s="28" customFormat="1" outlineLevel="1" collapsed="1" x14ac:dyDescent="0.25">
      <c r="A159" s="27"/>
      <c r="B159" s="14" t="str">
        <f>CONCATENATE("     ","Interest                                          ")</f>
        <v xml:space="preserve">     Interest                                          </v>
      </c>
      <c r="C159" s="14"/>
      <c r="D159" s="1">
        <f>SUM(OSRRefD22_13x_0)</f>
        <v>4044</v>
      </c>
      <c r="E159" s="1"/>
      <c r="F159" s="5">
        <f t="shared" si="69"/>
        <v>1.0902992645009397E-2</v>
      </c>
      <c r="G159" s="1"/>
      <c r="H159" s="1">
        <f>SUM(OSRRefH22_13x_0)</f>
        <v>4044</v>
      </c>
      <c r="I159" s="1"/>
      <c r="J159" s="5">
        <f t="shared" si="70"/>
        <v>3.0206921896731766E-3</v>
      </c>
      <c r="K159" s="1"/>
      <c r="L159" s="1">
        <f t="shared" si="71"/>
        <v>0</v>
      </c>
      <c r="M159" s="1"/>
      <c r="N159" s="5">
        <f t="shared" si="72"/>
        <v>0</v>
      </c>
      <c r="O159" s="14"/>
      <c r="P159" s="1">
        <f>SUM(OSRRefP22_13x_0)</f>
        <v>12132</v>
      </c>
      <c r="Q159" s="1"/>
      <c r="R159" s="5">
        <f t="shared" si="73"/>
        <v>5.5233635043801998E-3</v>
      </c>
      <c r="S159" s="1"/>
      <c r="T159" s="1">
        <f>SUM(OSRRefT22_13x_0)</f>
        <v>12132</v>
      </c>
      <c r="U159" s="1"/>
      <c r="V159" s="5">
        <f t="shared" si="74"/>
        <v>3.3337500978938735E-3</v>
      </c>
      <c r="W159" s="1"/>
      <c r="X159" s="1">
        <f t="shared" si="75"/>
        <v>0</v>
      </c>
      <c r="Y159" s="1"/>
      <c r="Z159" s="5">
        <f t="shared" si="76"/>
        <v>0</v>
      </c>
    </row>
    <row r="160" spans="1:26" s="24" customFormat="1" hidden="1" outlineLevel="2" x14ac:dyDescent="0.25">
      <c r="A160" s="29"/>
      <c r="B160" s="11" t="str">
        <f>CONCATENATE("          ", "6401", " - ", "INTEREST EXPENSE")</f>
        <v xml:space="preserve">          6401 - INTEREST EXPENSE</v>
      </c>
      <c r="C160" s="11"/>
      <c r="D160" s="6">
        <v>4044</v>
      </c>
      <c r="E160" s="2"/>
      <c r="F160" s="7">
        <f t="shared" si="69"/>
        <v>1.0902992645009397E-2</v>
      </c>
      <c r="G160" s="2"/>
      <c r="H160" s="6">
        <v>4044</v>
      </c>
      <c r="I160" s="2"/>
      <c r="J160" s="7">
        <f t="shared" si="70"/>
        <v>3.0206921896731766E-3</v>
      </c>
      <c r="K160" s="2"/>
      <c r="L160" s="6">
        <f t="shared" si="71"/>
        <v>0</v>
      </c>
      <c r="M160" s="2"/>
      <c r="N160" s="7">
        <f t="shared" si="72"/>
        <v>0</v>
      </c>
      <c r="O160" s="11"/>
      <c r="P160" s="6">
        <v>12132</v>
      </c>
      <c r="Q160" s="2"/>
      <c r="R160" s="7">
        <f t="shared" si="73"/>
        <v>5.5233635043801998E-3</v>
      </c>
      <c r="S160" s="2"/>
      <c r="T160" s="6">
        <v>12132</v>
      </c>
      <c r="U160" s="2"/>
      <c r="V160" s="7">
        <f t="shared" si="74"/>
        <v>3.3337500978938735E-3</v>
      </c>
      <c r="W160" s="2"/>
      <c r="X160" s="6">
        <f t="shared" si="75"/>
        <v>0</v>
      </c>
      <c r="Y160" s="2"/>
      <c r="Z160" s="7">
        <f t="shared" si="76"/>
        <v>0</v>
      </c>
    </row>
    <row r="161" spans="1:26" s="28" customFormat="1" outlineLevel="1" collapsed="1" x14ac:dyDescent="0.25">
      <c r="A161" s="27"/>
      <c r="B161" s="14" t="str">
        <f>CONCATENATE("     ","Inventory Adjustment                              ")</f>
        <v xml:space="preserve">     Inventory Adjustment                              </v>
      </c>
      <c r="C161" s="14"/>
      <c r="D161" s="1">
        <f>SUM(OSRRefD22_14x_0)</f>
        <v>2100</v>
      </c>
      <c r="E161" s="1"/>
      <c r="F161" s="5">
        <f t="shared" si="69"/>
        <v>5.6617914328683811E-3</v>
      </c>
      <c r="G161" s="1"/>
      <c r="H161" s="1">
        <f>SUM(OSRRefH22_14x_0)</f>
        <v>3100</v>
      </c>
      <c r="I161" s="1"/>
      <c r="J161" s="5">
        <f t="shared" si="70"/>
        <v>2.3155652294725142E-3</v>
      </c>
      <c r="K161" s="1"/>
      <c r="L161" s="1">
        <f t="shared" si="71"/>
        <v>-1000</v>
      </c>
      <c r="M161" s="1"/>
      <c r="N161" s="5">
        <f t="shared" si="72"/>
        <v>-0.32258064516129031</v>
      </c>
      <c r="O161" s="14"/>
      <c r="P161" s="1">
        <f>SUM(OSRRefP22_14x_0)</f>
        <v>6300</v>
      </c>
      <c r="Q161" s="1"/>
      <c r="R161" s="5">
        <f t="shared" si="73"/>
        <v>2.8682154696336348E-3</v>
      </c>
      <c r="S161" s="1"/>
      <c r="T161" s="1">
        <f>SUM(OSRRefT22_14x_0)</f>
        <v>9300</v>
      </c>
      <c r="U161" s="1"/>
      <c r="V161" s="5">
        <f t="shared" si="74"/>
        <v>2.5555453272678059E-3</v>
      </c>
      <c r="W161" s="1"/>
      <c r="X161" s="1">
        <f t="shared" si="75"/>
        <v>-3000</v>
      </c>
      <c r="Y161" s="1"/>
      <c r="Z161" s="5">
        <f t="shared" si="76"/>
        <v>-0.32258064516129031</v>
      </c>
    </row>
    <row r="162" spans="1:26" s="24" customFormat="1" hidden="1" outlineLevel="2" x14ac:dyDescent="0.25">
      <c r="A162" s="29"/>
      <c r="B162" s="11" t="str">
        <f>CONCATENATE("          ", "6408", " - ", "INVENTORY ADJUSTMENT")</f>
        <v xml:space="preserve">          6408 - INVENTORY ADJUSTMENT</v>
      </c>
      <c r="C162" s="11"/>
      <c r="D162" s="6">
        <v>2100</v>
      </c>
      <c r="E162" s="2"/>
      <c r="F162" s="7">
        <f t="shared" si="69"/>
        <v>5.6617914328683811E-3</v>
      </c>
      <c r="G162" s="2"/>
      <c r="H162" s="6">
        <v>3100</v>
      </c>
      <c r="I162" s="2"/>
      <c r="J162" s="7">
        <f t="shared" si="70"/>
        <v>2.3155652294725142E-3</v>
      </c>
      <c r="K162" s="2"/>
      <c r="L162" s="6">
        <f t="shared" si="71"/>
        <v>-1000</v>
      </c>
      <c r="M162" s="2"/>
      <c r="N162" s="7">
        <f t="shared" si="72"/>
        <v>-0.32258064516129031</v>
      </c>
      <c r="O162" s="11"/>
      <c r="P162" s="6">
        <v>6300</v>
      </c>
      <c r="Q162" s="2"/>
      <c r="R162" s="7">
        <f t="shared" si="73"/>
        <v>2.8682154696336348E-3</v>
      </c>
      <c r="S162" s="2"/>
      <c r="T162" s="6">
        <v>9300</v>
      </c>
      <c r="U162" s="2"/>
      <c r="V162" s="7">
        <f t="shared" si="74"/>
        <v>2.5555453272678059E-3</v>
      </c>
      <c r="W162" s="2"/>
      <c r="X162" s="6">
        <f t="shared" si="75"/>
        <v>-3000</v>
      </c>
      <c r="Y162" s="2"/>
      <c r="Z162" s="7">
        <f t="shared" si="76"/>
        <v>-0.32258064516129031</v>
      </c>
    </row>
    <row r="163" spans="1:26" s="28" customFormat="1" outlineLevel="1" collapsed="1" x14ac:dyDescent="0.25">
      <c r="A163" s="27"/>
      <c r="B163" s="14" t="str">
        <f>CONCATENATE("     ","Professional Services                             ")</f>
        <v xml:space="preserve">     Professional Services                             </v>
      </c>
      <c r="C163" s="14"/>
      <c r="D163" s="1">
        <f>SUM(OSRRefD22_15x_0)</f>
        <v>0</v>
      </c>
      <c r="E163" s="1"/>
      <c r="F163" s="5">
        <f t="shared" si="69"/>
        <v>0</v>
      </c>
      <c r="G163" s="1"/>
      <c r="H163" s="1">
        <f>SUM(OSRRefH22_15x_0)</f>
        <v>0</v>
      </c>
      <c r="I163" s="1"/>
      <c r="J163" s="5">
        <f t="shared" si="70"/>
        <v>0</v>
      </c>
      <c r="K163" s="1"/>
      <c r="L163" s="1">
        <f t="shared" si="71"/>
        <v>0</v>
      </c>
      <c r="M163" s="1"/>
      <c r="N163" s="5">
        <f t="shared" si="72"/>
        <v>0</v>
      </c>
      <c r="O163" s="14"/>
      <c r="P163" s="1">
        <f>SUM(OSRRefP22_15x_0)</f>
        <v>0</v>
      </c>
      <c r="Q163" s="1"/>
      <c r="R163" s="5">
        <f t="shared" si="73"/>
        <v>0</v>
      </c>
      <c r="S163" s="1"/>
      <c r="T163" s="1">
        <f>SUM(OSRRefT22_15x_0)</f>
        <v>6550</v>
      </c>
      <c r="U163" s="1"/>
      <c r="V163" s="5">
        <f t="shared" si="74"/>
        <v>1.7998733218929171E-3</v>
      </c>
      <c r="W163" s="1"/>
      <c r="X163" s="1">
        <f t="shared" si="75"/>
        <v>-6550</v>
      </c>
      <c r="Y163" s="1"/>
      <c r="Z163" s="5">
        <f t="shared" si="76"/>
        <v>-1</v>
      </c>
    </row>
    <row r="164" spans="1:26" s="24" customFormat="1" hidden="1" outlineLevel="2" x14ac:dyDescent="0.25">
      <c r="A164" s="29"/>
      <c r="B164" s="11" t="str">
        <f>CONCATENATE("          ", "6336", " - ", "PROFESSIONAL SERVICES")</f>
        <v xml:space="preserve">          6336 - PROFESSIONAL SERVICES</v>
      </c>
      <c r="C164" s="11"/>
      <c r="D164" s="6"/>
      <c r="E164" s="2"/>
      <c r="F164" s="7">
        <f t="shared" si="69"/>
        <v>0</v>
      </c>
      <c r="G164" s="2"/>
      <c r="H164" s="6">
        <v>0</v>
      </c>
      <c r="I164" s="2"/>
      <c r="J164" s="7">
        <f t="shared" si="70"/>
        <v>0</v>
      </c>
      <c r="K164" s="2"/>
      <c r="L164" s="6">
        <f t="shared" si="71"/>
        <v>0</v>
      </c>
      <c r="M164" s="2"/>
      <c r="N164" s="7">
        <f t="shared" si="72"/>
        <v>0</v>
      </c>
      <c r="O164" s="11"/>
      <c r="P164" s="6"/>
      <c r="Q164" s="2"/>
      <c r="R164" s="7">
        <f t="shared" si="73"/>
        <v>0</v>
      </c>
      <c r="S164" s="2"/>
      <c r="T164" s="6">
        <v>6550</v>
      </c>
      <c r="U164" s="2"/>
      <c r="V164" s="7">
        <f t="shared" si="74"/>
        <v>1.7998733218929171E-3</v>
      </c>
      <c r="W164" s="2"/>
      <c r="X164" s="6">
        <f t="shared" si="75"/>
        <v>-6550</v>
      </c>
      <c r="Y164" s="2"/>
      <c r="Z164" s="7">
        <f t="shared" si="76"/>
        <v>-1</v>
      </c>
    </row>
    <row r="165" spans="1:26" s="28" customFormat="1" outlineLevel="1" collapsed="1" x14ac:dyDescent="0.25">
      <c r="A165" s="27"/>
      <c r="B165" s="14" t="str">
        <f>CONCATENATE("     ","Rent                                              ")</f>
        <v xml:space="preserve">     Rent                                              </v>
      </c>
      <c r="C165" s="14"/>
      <c r="D165" s="1">
        <f>SUM(OSRRefD22_16x_0)</f>
        <v>6100</v>
      </c>
      <c r="E165" s="1"/>
      <c r="F165" s="5">
        <f t="shared" si="69"/>
        <v>1.6446156066903393E-2</v>
      </c>
      <c r="G165" s="1"/>
      <c r="H165" s="1">
        <f>SUM(OSRRefH22_16x_0)</f>
        <v>6101</v>
      </c>
      <c r="I165" s="1"/>
      <c r="J165" s="5">
        <f t="shared" si="70"/>
        <v>4.5571817629070357E-3</v>
      </c>
      <c r="K165" s="1"/>
      <c r="L165" s="1">
        <f t="shared" si="71"/>
        <v>-1</v>
      </c>
      <c r="M165" s="1"/>
      <c r="N165" s="5">
        <f t="shared" si="72"/>
        <v>-1.6390755613833797E-4</v>
      </c>
      <c r="O165" s="14"/>
      <c r="P165" s="1">
        <f>SUM(OSRRefP22_16x_0)</f>
        <v>18300</v>
      </c>
      <c r="Q165" s="1"/>
      <c r="R165" s="5">
        <f t="shared" si="73"/>
        <v>8.3314830308405582E-3</v>
      </c>
      <c r="S165" s="1"/>
      <c r="T165" s="1">
        <f>SUM(OSRRefT22_16x_0)</f>
        <v>18301</v>
      </c>
      <c r="U165" s="1"/>
      <c r="V165" s="5">
        <f t="shared" si="74"/>
        <v>5.0289284983148514E-3</v>
      </c>
      <c r="W165" s="1"/>
      <c r="X165" s="1">
        <f t="shared" si="75"/>
        <v>-1</v>
      </c>
      <c r="Y165" s="1"/>
      <c r="Z165" s="5">
        <f t="shared" si="76"/>
        <v>-5.4641822851210313E-5</v>
      </c>
    </row>
    <row r="166" spans="1:26" s="24" customFormat="1" hidden="1" outlineLevel="2" x14ac:dyDescent="0.25">
      <c r="A166" s="29"/>
      <c r="B166" s="11" t="str">
        <f>CONCATENATE("          ", "6273", " - ", "RENT")</f>
        <v xml:space="preserve">          6273 - RENT</v>
      </c>
      <c r="C166" s="11"/>
      <c r="D166" s="6">
        <v>6100</v>
      </c>
      <c r="E166" s="2"/>
      <c r="F166" s="7">
        <f t="shared" si="69"/>
        <v>1.6446156066903393E-2</v>
      </c>
      <c r="G166" s="2"/>
      <c r="H166" s="6">
        <v>6101</v>
      </c>
      <c r="I166" s="2"/>
      <c r="J166" s="7">
        <f t="shared" si="70"/>
        <v>4.5571817629070357E-3</v>
      </c>
      <c r="K166" s="2"/>
      <c r="L166" s="6">
        <f t="shared" si="71"/>
        <v>-1</v>
      </c>
      <c r="M166" s="2"/>
      <c r="N166" s="7">
        <f t="shared" si="72"/>
        <v>-1.6390755613833797E-4</v>
      </c>
      <c r="O166" s="11"/>
      <c r="P166" s="6">
        <v>18300</v>
      </c>
      <c r="Q166" s="2"/>
      <c r="R166" s="7">
        <f t="shared" si="73"/>
        <v>8.3314830308405582E-3</v>
      </c>
      <c r="S166" s="2"/>
      <c r="T166" s="6">
        <v>18301</v>
      </c>
      <c r="U166" s="2"/>
      <c r="V166" s="7">
        <f t="shared" si="74"/>
        <v>5.0289284983148514E-3</v>
      </c>
      <c r="W166" s="2"/>
      <c r="X166" s="6">
        <f t="shared" si="75"/>
        <v>-1</v>
      </c>
      <c r="Y166" s="2"/>
      <c r="Z166" s="7">
        <f t="shared" si="76"/>
        <v>-5.4641822851210313E-5</v>
      </c>
    </row>
    <row r="167" spans="1:26" s="28" customFormat="1" outlineLevel="1" collapsed="1" x14ac:dyDescent="0.25">
      <c r="A167" s="27"/>
      <c r="B167" s="14" t="str">
        <f>CONCATENATE("     ","Repair and Maintenance                            ")</f>
        <v xml:space="preserve">     Repair and Maintenance                            </v>
      </c>
      <c r="C167" s="14"/>
      <c r="D167" s="1">
        <f>SUM(OSRRefD22_17x_0)</f>
        <v>13868.49</v>
      </c>
      <c r="E167" s="1"/>
      <c r="F167" s="5">
        <f t="shared" si="69"/>
        <v>3.7390713270867057E-2</v>
      </c>
      <c r="G167" s="1"/>
      <c r="H167" s="1">
        <f>SUM(OSRRefH22_17x_0)</f>
        <v>16164</v>
      </c>
      <c r="I167" s="1"/>
      <c r="J167" s="5">
        <f t="shared" si="70"/>
        <v>1.2073805280385071E-2</v>
      </c>
      <c r="K167" s="1"/>
      <c r="L167" s="1">
        <f t="shared" si="71"/>
        <v>-2295.5100000000002</v>
      </c>
      <c r="M167" s="1"/>
      <c r="N167" s="5">
        <f t="shared" si="72"/>
        <v>-0.14201373422420194</v>
      </c>
      <c r="O167" s="14"/>
      <c r="P167" s="1">
        <f>SUM(OSRRefP22_17x_0)</f>
        <v>87478.98000000001</v>
      </c>
      <c r="Q167" s="1"/>
      <c r="R167" s="5">
        <f t="shared" si="73"/>
        <v>3.9826756143455773E-2</v>
      </c>
      <c r="S167" s="1"/>
      <c r="T167" s="1">
        <f>SUM(OSRRefT22_17x_0)</f>
        <v>85929</v>
      </c>
      <c r="U167" s="1"/>
      <c r="V167" s="5">
        <f t="shared" si="74"/>
        <v>2.3612414454494118E-2</v>
      </c>
      <c r="W167" s="1"/>
      <c r="X167" s="1">
        <f t="shared" si="75"/>
        <v>1549.9800000000105</v>
      </c>
      <c r="Y167" s="1"/>
      <c r="Z167" s="5">
        <f t="shared" si="76"/>
        <v>1.8037915022867838E-2</v>
      </c>
    </row>
    <row r="168" spans="1:26" s="24" customFormat="1" hidden="1" outlineLevel="2" x14ac:dyDescent="0.25">
      <c r="A168" s="29"/>
      <c r="B168" s="11" t="str">
        <f>CONCATENATE("          ", "6371", " - ", "COMPUTER SOFTWARE MAINTENANCE")</f>
        <v xml:space="preserve">          6371 - COMPUTER SOFTWARE MAINTENANCE</v>
      </c>
      <c r="C168" s="11"/>
      <c r="D168" s="6"/>
      <c r="E168" s="2"/>
      <c r="F168" s="7">
        <f t="shared" si="69"/>
        <v>0</v>
      </c>
      <c r="G168" s="2"/>
      <c r="H168" s="6">
        <v>43</v>
      </c>
      <c r="I168" s="2"/>
      <c r="J168" s="7">
        <f t="shared" si="70"/>
        <v>3.2119130602360681E-5</v>
      </c>
      <c r="K168" s="2"/>
      <c r="L168" s="6">
        <f t="shared" si="71"/>
        <v>-43</v>
      </c>
      <c r="M168" s="2"/>
      <c r="N168" s="7">
        <f t="shared" si="72"/>
        <v>-1</v>
      </c>
      <c r="O168" s="11"/>
      <c r="P168" s="6">
        <v>58428.780000000006</v>
      </c>
      <c r="Q168" s="2"/>
      <c r="R168" s="7">
        <f t="shared" si="73"/>
        <v>2.660100486790799E-2</v>
      </c>
      <c r="S168" s="2"/>
      <c r="T168" s="6">
        <v>45043</v>
      </c>
      <c r="U168" s="2"/>
      <c r="V168" s="7">
        <f t="shared" si="74"/>
        <v>1.2377357868400407E-2</v>
      </c>
      <c r="W168" s="2"/>
      <c r="X168" s="6">
        <f t="shared" si="75"/>
        <v>13385.780000000006</v>
      </c>
      <c r="Y168" s="2"/>
      <c r="Z168" s="7">
        <f t="shared" si="76"/>
        <v>0.29717780787247755</v>
      </c>
    </row>
    <row r="169" spans="1:26" s="24" customFormat="1" hidden="1" outlineLevel="2" x14ac:dyDescent="0.25">
      <c r="A169" s="29"/>
      <c r="B169" s="11" t="str">
        <f>CONCATENATE("          ", "6372", " - ", "COMPUTER HARDWARE MAINTENANCE")</f>
        <v xml:space="preserve">          6372 - COMPUTER HARDWARE MAINTENANCE</v>
      </c>
      <c r="C169" s="11"/>
      <c r="D169" s="6">
        <v>-9.09</v>
      </c>
      <c r="E169" s="2"/>
      <c r="F169" s="7">
        <f t="shared" si="69"/>
        <v>-2.4507468630844563E-5</v>
      </c>
      <c r="G169" s="2"/>
      <c r="H169" s="6">
        <v>437</v>
      </c>
      <c r="I169" s="2"/>
      <c r="J169" s="7">
        <f t="shared" si="70"/>
        <v>3.2642000170306088E-4</v>
      </c>
      <c r="K169" s="2"/>
      <c r="L169" s="6">
        <f t="shared" si="71"/>
        <v>-446.09</v>
      </c>
      <c r="M169" s="2"/>
      <c r="N169" s="7">
        <f t="shared" si="72"/>
        <v>-1.0208009153318076</v>
      </c>
      <c r="O169" s="11"/>
      <c r="P169" s="6">
        <v>-8.11</v>
      </c>
      <c r="Q169" s="2"/>
      <c r="R169" s="7">
        <f t="shared" si="73"/>
        <v>-3.6922583267823455E-6</v>
      </c>
      <c r="S169" s="2"/>
      <c r="T169" s="6">
        <v>437</v>
      </c>
      <c r="U169" s="2"/>
      <c r="V169" s="7">
        <f t="shared" si="74"/>
        <v>1.2008315139957325E-4</v>
      </c>
      <c r="W169" s="2"/>
      <c r="X169" s="6">
        <f t="shared" si="75"/>
        <v>-445.11</v>
      </c>
      <c r="Y169" s="2"/>
      <c r="Z169" s="7">
        <f t="shared" si="76"/>
        <v>-1.0185583524027459</v>
      </c>
    </row>
    <row r="170" spans="1:26" s="24" customFormat="1" hidden="1" outlineLevel="2" x14ac:dyDescent="0.25">
      <c r="A170" s="29"/>
      <c r="B170" s="11" t="str">
        <f>CONCATENATE("          ", "6373", " - ", "MAINTENANCE CONTRACTS")</f>
        <v xml:space="preserve">          6373 - MAINTENANCE CONTRACTS</v>
      </c>
      <c r="C170" s="11"/>
      <c r="D170" s="6">
        <v>12704.27</v>
      </c>
      <c r="E170" s="2"/>
      <c r="F170" s="7">
        <f t="shared" si="69"/>
        <v>3.4251870022307999E-2</v>
      </c>
      <c r="G170" s="2"/>
      <c r="H170" s="6">
        <v>7040</v>
      </c>
      <c r="I170" s="2"/>
      <c r="J170" s="7">
        <f t="shared" si="70"/>
        <v>5.2585739404795162E-3</v>
      </c>
      <c r="K170" s="2"/>
      <c r="L170" s="6">
        <f t="shared" si="71"/>
        <v>5664.27</v>
      </c>
      <c r="M170" s="2"/>
      <c r="N170" s="7">
        <f t="shared" si="72"/>
        <v>0.80458380681818187</v>
      </c>
      <c r="O170" s="11"/>
      <c r="P170" s="6">
        <v>25844.2</v>
      </c>
      <c r="Q170" s="2"/>
      <c r="R170" s="7">
        <f t="shared" si="73"/>
        <v>1.1766148292111997E-2</v>
      </c>
      <c r="S170" s="2"/>
      <c r="T170" s="6">
        <v>14420</v>
      </c>
      <c r="U170" s="2"/>
      <c r="V170" s="7">
        <f t="shared" si="74"/>
        <v>3.9624692063657809E-3</v>
      </c>
      <c r="W170" s="2"/>
      <c r="X170" s="6">
        <f t="shared" si="75"/>
        <v>11424.2</v>
      </c>
      <c r="Y170" s="2"/>
      <c r="Z170" s="7">
        <f t="shared" si="76"/>
        <v>0.79224687933425808</v>
      </c>
    </row>
    <row r="171" spans="1:26" s="24" customFormat="1" hidden="1" outlineLevel="2" x14ac:dyDescent="0.25">
      <c r="A171" s="29"/>
      <c r="B171" s="11" t="str">
        <f>CONCATENATE("          ", "6375", " - ", "OUTSIDE REPAIRS &amp; MAINTENANCE")</f>
        <v xml:space="preserve">          6375 - OUTSIDE REPAIRS &amp; MAINTENANCE</v>
      </c>
      <c r="C171" s="11"/>
      <c r="D171" s="6">
        <v>1173.31</v>
      </c>
      <c r="E171" s="2"/>
      <c r="F171" s="7">
        <f t="shared" si="69"/>
        <v>3.1633507171899048E-3</v>
      </c>
      <c r="G171" s="2"/>
      <c r="H171" s="6">
        <v>8644</v>
      </c>
      <c r="I171" s="2"/>
      <c r="J171" s="7">
        <f t="shared" si="70"/>
        <v>6.4566922076001333E-3</v>
      </c>
      <c r="K171" s="2"/>
      <c r="L171" s="6">
        <f t="shared" si="71"/>
        <v>-7470.6900000000005</v>
      </c>
      <c r="M171" s="2"/>
      <c r="N171" s="7">
        <f t="shared" si="72"/>
        <v>-0.86426307265155022</v>
      </c>
      <c r="O171" s="11"/>
      <c r="P171" s="6">
        <v>3214.11</v>
      </c>
      <c r="Q171" s="2"/>
      <c r="R171" s="7">
        <f t="shared" si="73"/>
        <v>1.4632952417625654E-3</v>
      </c>
      <c r="S171" s="2"/>
      <c r="T171" s="6">
        <v>26029</v>
      </c>
      <c r="U171" s="2"/>
      <c r="V171" s="7">
        <f t="shared" si="74"/>
        <v>7.1525042283283576E-3</v>
      </c>
      <c r="W171" s="2"/>
      <c r="X171" s="6">
        <f t="shared" si="75"/>
        <v>-22814.89</v>
      </c>
      <c r="Y171" s="2"/>
      <c r="Z171" s="7">
        <f t="shared" si="76"/>
        <v>-0.87651811441084937</v>
      </c>
    </row>
    <row r="172" spans="1:26" s="28" customFormat="1" outlineLevel="1" collapsed="1" x14ac:dyDescent="0.25">
      <c r="A172" s="27"/>
      <c r="B172" s="14" t="str">
        <f>CONCATENATE("     ","Royalty &amp; Commissions                             ")</f>
        <v xml:space="preserve">     Royalty &amp; Commissions                             </v>
      </c>
      <c r="C172" s="14"/>
      <c r="D172" s="1">
        <f>SUM(OSRRefD22_18x_0)</f>
        <v>62.6</v>
      </c>
      <c r="E172" s="1"/>
      <c r="F172" s="5">
        <f t="shared" ref="F172:F176" si="77">IF(D$12=0,0,D172/D$12)</f>
        <v>1.6877530652264794E-4</v>
      </c>
      <c r="G172" s="1"/>
      <c r="H172" s="1">
        <f>SUM(OSRRefH22_18x_0)</f>
        <v>8028</v>
      </c>
      <c r="I172" s="1"/>
      <c r="J172" s="5">
        <f t="shared" ref="J172:J176" si="78">IF(H$12=0,0,H172/H$12)</f>
        <v>5.9965669878081756E-3</v>
      </c>
      <c r="K172" s="1"/>
      <c r="L172" s="1">
        <f t="shared" ref="L172:L176" si="79">+D172-H172</f>
        <v>-7965.4</v>
      </c>
      <c r="M172" s="1"/>
      <c r="N172" s="5">
        <f t="shared" ref="N172:N176" si="80">IF(H172=0,0,L172/H172)</f>
        <v>-0.99220229197807663</v>
      </c>
      <c r="O172" s="14"/>
      <c r="P172" s="1">
        <f>SUM(OSRRefP22_18x_0)</f>
        <v>13307</v>
      </c>
      <c r="Q172" s="1"/>
      <c r="R172" s="5">
        <f t="shared" ref="R172:R176" si="81">IF(P$12=0,0,P172/P$12)</f>
        <v>6.0583084530817103E-3</v>
      </c>
      <c r="S172" s="1"/>
      <c r="T172" s="1">
        <f>SUM(OSRRefT22_18x_0)</f>
        <v>21450</v>
      </c>
      <c r="U172" s="1"/>
      <c r="V172" s="5">
        <f t="shared" ref="V172:V176" si="82">IF(T$12=0,0,T172/T$12)</f>
        <v>5.8942416419241334E-3</v>
      </c>
      <c r="W172" s="1"/>
      <c r="X172" s="1">
        <f t="shared" ref="X172:X176" si="83">+P172-T172</f>
        <v>-8143</v>
      </c>
      <c r="Y172" s="1"/>
      <c r="Z172" s="5">
        <f t="shared" ref="Z172:Z176" si="84">IF(T172=0,0,X172/T172)</f>
        <v>-0.37962703962703964</v>
      </c>
    </row>
    <row r="173" spans="1:26" s="24" customFormat="1" hidden="1" outlineLevel="2" x14ac:dyDescent="0.25">
      <c r="A173" s="29"/>
      <c r="B173" s="11" t="str">
        <f>CONCATENATE("          ", "6252", " - ", "ROYALTY DUE CSTV")</f>
        <v xml:space="preserve">          6252 - ROYALTY DUE CSTV</v>
      </c>
      <c r="C173" s="11"/>
      <c r="D173" s="6"/>
      <c r="E173" s="2"/>
      <c r="F173" s="7">
        <f t="shared" si="77"/>
        <v>0</v>
      </c>
      <c r="G173" s="2"/>
      <c r="H173" s="6">
        <v>1085</v>
      </c>
      <c r="I173" s="2"/>
      <c r="J173" s="7">
        <f t="shared" si="78"/>
        <v>8.1044783031537998E-4</v>
      </c>
      <c r="K173" s="2"/>
      <c r="L173" s="6">
        <f t="shared" si="79"/>
        <v>-1085</v>
      </c>
      <c r="M173" s="2"/>
      <c r="N173" s="7">
        <f t="shared" si="80"/>
        <v>-1</v>
      </c>
      <c r="O173" s="11"/>
      <c r="P173" s="6"/>
      <c r="Q173" s="2"/>
      <c r="R173" s="7">
        <f t="shared" si="81"/>
        <v>0</v>
      </c>
      <c r="S173" s="2"/>
      <c r="T173" s="6">
        <v>3255</v>
      </c>
      <c r="U173" s="2"/>
      <c r="V173" s="7">
        <f t="shared" si="82"/>
        <v>8.944408645437321E-4</v>
      </c>
      <c r="W173" s="2"/>
      <c r="X173" s="6">
        <f t="shared" si="83"/>
        <v>-3255</v>
      </c>
      <c r="Y173" s="2"/>
      <c r="Z173" s="7">
        <f t="shared" si="84"/>
        <v>-1</v>
      </c>
    </row>
    <row r="174" spans="1:26" s="24" customFormat="1" hidden="1" outlineLevel="2" x14ac:dyDescent="0.25">
      <c r="A174" s="29"/>
      <c r="B174" s="11" t="str">
        <f>CONCATENATE("          ", "6253", " - ", "ROYALTY DUE ATHLETICS-LRG")</f>
        <v xml:space="preserve">          6253 - ROYALTY DUE ATHLETICS-LRG</v>
      </c>
      <c r="C174" s="11"/>
      <c r="D174" s="6"/>
      <c r="E174" s="2"/>
      <c r="F174" s="7">
        <f t="shared" si="77"/>
        <v>0</v>
      </c>
      <c r="G174" s="2"/>
      <c r="H174" s="6">
        <v>4037</v>
      </c>
      <c r="I174" s="2"/>
      <c r="J174" s="7">
        <f t="shared" si="78"/>
        <v>3.0154634939937226E-3</v>
      </c>
      <c r="K174" s="2"/>
      <c r="L174" s="6">
        <f t="shared" si="79"/>
        <v>-4037</v>
      </c>
      <c r="M174" s="2"/>
      <c r="N174" s="7">
        <f t="shared" si="80"/>
        <v>-1</v>
      </c>
      <c r="O174" s="11"/>
      <c r="P174" s="6">
        <v>7922.2</v>
      </c>
      <c r="Q174" s="2"/>
      <c r="R174" s="7">
        <f t="shared" si="81"/>
        <v>3.6067581894494573E-3</v>
      </c>
      <c r="S174" s="2"/>
      <c r="T174" s="6">
        <v>12111</v>
      </c>
      <c r="U174" s="2"/>
      <c r="V174" s="7">
        <f t="shared" si="82"/>
        <v>3.3279795116710107E-3</v>
      </c>
      <c r="W174" s="2"/>
      <c r="X174" s="6">
        <f t="shared" si="83"/>
        <v>-4188.8</v>
      </c>
      <c r="Y174" s="2"/>
      <c r="Z174" s="7">
        <f t="shared" si="84"/>
        <v>-0.34586739327883742</v>
      </c>
    </row>
    <row r="175" spans="1:26" s="24" customFormat="1" hidden="1" outlineLevel="2" x14ac:dyDescent="0.25">
      <c r="A175" s="29"/>
      <c r="B175" s="11" t="str">
        <f>CONCATENATE("          ", "6254", " - ", "ROYALTY &amp; COMMISSIONS")</f>
        <v xml:space="preserve">          6254 - ROYALTY &amp; COMMISSIONS</v>
      </c>
      <c r="C175" s="11"/>
      <c r="D175" s="6"/>
      <c r="E175" s="2"/>
      <c r="F175" s="7">
        <f t="shared" si="77"/>
        <v>0</v>
      </c>
      <c r="G175" s="2"/>
      <c r="H175" s="6">
        <v>1149</v>
      </c>
      <c r="I175" s="2"/>
      <c r="J175" s="7">
        <f t="shared" si="78"/>
        <v>8.5825304795610286E-4</v>
      </c>
      <c r="K175" s="2"/>
      <c r="L175" s="6">
        <f t="shared" si="79"/>
        <v>-1149</v>
      </c>
      <c r="M175" s="2"/>
      <c r="N175" s="7">
        <f t="shared" si="80"/>
        <v>-1</v>
      </c>
      <c r="O175" s="11"/>
      <c r="P175" s="6"/>
      <c r="Q175" s="2"/>
      <c r="R175" s="7">
        <f t="shared" si="81"/>
        <v>0</v>
      </c>
      <c r="S175" s="2"/>
      <c r="T175" s="6">
        <v>3447</v>
      </c>
      <c r="U175" s="2"/>
      <c r="V175" s="7">
        <f t="shared" si="82"/>
        <v>9.472005100099062E-4</v>
      </c>
      <c r="W175" s="2"/>
      <c r="X175" s="6">
        <f t="shared" si="83"/>
        <v>-3447</v>
      </c>
      <c r="Y175" s="2"/>
      <c r="Z175" s="7">
        <f t="shared" si="84"/>
        <v>-1</v>
      </c>
    </row>
    <row r="176" spans="1:26" s="24" customFormat="1" hidden="1" outlineLevel="2" x14ac:dyDescent="0.25">
      <c r="A176" s="29"/>
      <c r="B176" s="11" t="str">
        <f>CONCATENATE("          ", "6259", " - ", "ROYALTY &amp; COMMISSIONS")</f>
        <v xml:space="preserve">          6259 - ROYALTY &amp; COMMISSIONS</v>
      </c>
      <c r="C176" s="11"/>
      <c r="D176" s="6">
        <v>62.6</v>
      </c>
      <c r="E176" s="2"/>
      <c r="F176" s="7">
        <f t="shared" si="77"/>
        <v>1.6877530652264794E-4</v>
      </c>
      <c r="G176" s="2"/>
      <c r="H176" s="6">
        <v>1757</v>
      </c>
      <c r="I176" s="2"/>
      <c r="J176" s="7">
        <f t="shared" si="78"/>
        <v>1.3124026155429702E-3</v>
      </c>
      <c r="K176" s="2"/>
      <c r="L176" s="6">
        <f t="shared" si="79"/>
        <v>-1694.4</v>
      </c>
      <c r="M176" s="2"/>
      <c r="N176" s="7">
        <f t="shared" si="80"/>
        <v>-0.96437108708025043</v>
      </c>
      <c r="O176" s="11"/>
      <c r="P176" s="6">
        <v>5384.8</v>
      </c>
      <c r="Q176" s="2"/>
      <c r="R176" s="7">
        <f t="shared" si="81"/>
        <v>2.4515502636322534E-3</v>
      </c>
      <c r="S176" s="2"/>
      <c r="T176" s="6">
        <v>2637</v>
      </c>
      <c r="U176" s="2"/>
      <c r="V176" s="7">
        <f t="shared" si="82"/>
        <v>7.2462075569948436E-4</v>
      </c>
      <c r="W176" s="2"/>
      <c r="X176" s="6">
        <f t="shared" si="83"/>
        <v>2747.8</v>
      </c>
      <c r="Y176" s="2"/>
      <c r="Z176" s="7">
        <f t="shared" si="84"/>
        <v>1.0420174440652257</v>
      </c>
    </row>
    <row r="177" spans="1:26" s="28" customFormat="1" outlineLevel="1" collapsed="1" x14ac:dyDescent="0.25">
      <c r="A177" s="27"/>
      <c r="B177" s="14" t="str">
        <f>CONCATENATE("     ","Services                                          ")</f>
        <v xml:space="preserve">     Services                                          </v>
      </c>
      <c r="C177" s="14"/>
      <c r="D177" s="1">
        <f>SUM(OSRRefD22_19x_0)</f>
        <v>4558.25</v>
      </c>
      <c r="E177" s="1"/>
      <c r="F177" s="5">
        <f t="shared" ref="F177:F182" si="85">IF(D$12=0,0,D177/D$12)</f>
        <v>1.2289457523272523E-2</v>
      </c>
      <c r="G177" s="1"/>
      <c r="H177" s="1">
        <f>SUM(OSRRefH22_19x_0)</f>
        <v>5575</v>
      </c>
      <c r="I177" s="1"/>
      <c r="J177" s="5">
        <f t="shared" ref="J177:J182" si="86">IF(H$12=0,0,H177/H$12)</f>
        <v>4.1642826304223446E-3</v>
      </c>
      <c r="K177" s="1"/>
      <c r="L177" s="1">
        <f t="shared" ref="L177:L182" si="87">+D177-H177</f>
        <v>-1016.75</v>
      </c>
      <c r="M177" s="1"/>
      <c r="N177" s="5">
        <f t="shared" ref="N177:N182" si="88">IF(H177=0,0,L177/H177)</f>
        <v>-0.18237668161434978</v>
      </c>
      <c r="O177" s="14"/>
      <c r="P177" s="1">
        <f>SUM(OSRRefP22_19x_0)</f>
        <v>7290.01</v>
      </c>
      <c r="Q177" s="1"/>
      <c r="R177" s="5">
        <f t="shared" ref="R177:R182" si="89">IF(P$12=0,0,P177/P$12)</f>
        <v>3.3189395961561738E-3</v>
      </c>
      <c r="S177" s="1"/>
      <c r="T177" s="1">
        <f>SUM(OSRRefT22_19x_0)</f>
        <v>16107</v>
      </c>
      <c r="U177" s="1"/>
      <c r="V177" s="5">
        <f t="shared" ref="V177:V182" si="90">IF(T$12=0,0,T177/T$12)</f>
        <v>4.4260396329357582E-3</v>
      </c>
      <c r="W177" s="1"/>
      <c r="X177" s="1">
        <f t="shared" ref="X177:X182" si="91">+P177-T177</f>
        <v>-8816.99</v>
      </c>
      <c r="Y177" s="1"/>
      <c r="Z177" s="5">
        <f t="shared" ref="Z177:Z182" si="92">IF(T177=0,0,X177/T177)</f>
        <v>-0.54740112994350276</v>
      </c>
    </row>
    <row r="178" spans="1:26" s="24" customFormat="1" hidden="1" outlineLevel="2" x14ac:dyDescent="0.25">
      <c r="A178" s="29"/>
      <c r="B178" s="11" t="str">
        <f>CONCATENATE("          ", "6282", " - ", "JANITORIAL/EXTERMINATOR EXPENS")</f>
        <v xml:space="preserve">          6282 - JANITORIAL/EXTERMINATOR EXPENS</v>
      </c>
      <c r="C178" s="11"/>
      <c r="D178" s="6">
        <v>307.5</v>
      </c>
      <c r="E178" s="2"/>
      <c r="F178" s="7">
        <f t="shared" si="85"/>
        <v>8.2904803124144149E-4</v>
      </c>
      <c r="G178" s="2"/>
      <c r="H178" s="6">
        <v>4000</v>
      </c>
      <c r="I178" s="2"/>
      <c r="J178" s="7">
        <f t="shared" si="86"/>
        <v>2.9878261025451797E-3</v>
      </c>
      <c r="K178" s="2"/>
      <c r="L178" s="6">
        <f t="shared" si="87"/>
        <v>-3692.5</v>
      </c>
      <c r="M178" s="2"/>
      <c r="N178" s="7">
        <f t="shared" si="88"/>
        <v>-0.92312499999999997</v>
      </c>
      <c r="O178" s="11"/>
      <c r="P178" s="6">
        <v>14.78</v>
      </c>
      <c r="Q178" s="2"/>
      <c r="R178" s="7">
        <f t="shared" si="89"/>
        <v>6.7289245462198601E-6</v>
      </c>
      <c r="S178" s="2"/>
      <c r="T178" s="6">
        <v>12314</v>
      </c>
      <c r="U178" s="2"/>
      <c r="V178" s="7">
        <f t="shared" si="90"/>
        <v>3.3837618451586842E-3</v>
      </c>
      <c r="W178" s="2"/>
      <c r="X178" s="6">
        <f t="shared" si="91"/>
        <v>-12299.22</v>
      </c>
      <c r="Y178" s="2"/>
      <c r="Z178" s="7">
        <f t="shared" si="92"/>
        <v>-0.99879974013318173</v>
      </c>
    </row>
    <row r="179" spans="1:26" s="24" customFormat="1" hidden="1" outlineLevel="2" x14ac:dyDescent="0.25">
      <c r="A179" s="29"/>
      <c r="B179" s="11" t="str">
        <f>CONCATENATE("          ", "6283", " - ", "PLANT SERVICE")</f>
        <v xml:space="preserve">          6283 - PLANT SERVICE</v>
      </c>
      <c r="C179" s="11"/>
      <c r="D179" s="6"/>
      <c r="E179" s="2"/>
      <c r="F179" s="7">
        <f t="shared" si="85"/>
        <v>0</v>
      </c>
      <c r="G179" s="2"/>
      <c r="H179" s="6">
        <v>0</v>
      </c>
      <c r="I179" s="2"/>
      <c r="J179" s="7">
        <f t="shared" si="86"/>
        <v>0</v>
      </c>
      <c r="K179" s="2"/>
      <c r="L179" s="6">
        <f t="shared" si="87"/>
        <v>0</v>
      </c>
      <c r="M179" s="2"/>
      <c r="N179" s="7">
        <f t="shared" si="88"/>
        <v>0</v>
      </c>
      <c r="O179" s="11"/>
      <c r="P179" s="6">
        <v>130</v>
      </c>
      <c r="Q179" s="2"/>
      <c r="R179" s="7">
        <f t="shared" si="89"/>
        <v>5.9185398579741671E-5</v>
      </c>
      <c r="S179" s="2"/>
      <c r="T179" s="6">
        <v>0</v>
      </c>
      <c r="U179" s="2"/>
      <c r="V179" s="7">
        <f t="shared" si="90"/>
        <v>0</v>
      </c>
      <c r="W179" s="2"/>
      <c r="X179" s="6">
        <f t="shared" si="91"/>
        <v>130</v>
      </c>
      <c r="Y179" s="2"/>
      <c r="Z179" s="7">
        <f t="shared" si="92"/>
        <v>0</v>
      </c>
    </row>
    <row r="180" spans="1:26" s="24" customFormat="1" hidden="1" outlineLevel="2" x14ac:dyDescent="0.25">
      <c r="A180" s="29"/>
      <c r="B180" s="11" t="str">
        <f>CONCATENATE("          ", "6284", " - ", "TRASH REMOVAL EXPENSE")</f>
        <v xml:space="preserve">          6284 - TRASH REMOVAL EXPENSE</v>
      </c>
      <c r="C180" s="11"/>
      <c r="D180" s="6">
        <v>142.57</v>
      </c>
      <c r="E180" s="2"/>
      <c r="F180" s="7">
        <f t="shared" si="85"/>
        <v>3.8438171646859289E-4</v>
      </c>
      <c r="G180" s="2"/>
      <c r="H180" s="6">
        <v>347</v>
      </c>
      <c r="I180" s="2"/>
      <c r="J180" s="7">
        <f t="shared" si="86"/>
        <v>2.5919391439579434E-4</v>
      </c>
      <c r="K180" s="2"/>
      <c r="L180" s="6">
        <f t="shared" si="87"/>
        <v>-204.43</v>
      </c>
      <c r="M180" s="2"/>
      <c r="N180" s="7">
        <f t="shared" si="88"/>
        <v>-0.58913544668587903</v>
      </c>
      <c r="O180" s="11"/>
      <c r="P180" s="6">
        <v>427.71</v>
      </c>
      <c r="Q180" s="2"/>
      <c r="R180" s="7">
        <f t="shared" si="89"/>
        <v>1.9472451405031776E-4</v>
      </c>
      <c r="S180" s="2"/>
      <c r="T180" s="6">
        <v>694</v>
      </c>
      <c r="U180" s="2"/>
      <c r="V180" s="7">
        <f t="shared" si="90"/>
        <v>1.9070413517460833E-4</v>
      </c>
      <c r="W180" s="2"/>
      <c r="X180" s="6">
        <f t="shared" si="91"/>
        <v>-266.29000000000002</v>
      </c>
      <c r="Y180" s="2"/>
      <c r="Z180" s="7">
        <f t="shared" si="92"/>
        <v>-0.38370317002881849</v>
      </c>
    </row>
    <row r="181" spans="1:26" s="24" customFormat="1" hidden="1" outlineLevel="2" x14ac:dyDescent="0.25">
      <c r="A181" s="29"/>
      <c r="B181" s="11" t="str">
        <f>CONCATENATE("          ", "6285", " - ", "JANITORIAL SERVICES")</f>
        <v xml:space="preserve">          6285 - JANITORIAL SERVICES</v>
      </c>
      <c r="C181" s="11"/>
      <c r="D181" s="6">
        <v>4108.18</v>
      </c>
      <c r="E181" s="2"/>
      <c r="F181" s="7">
        <f t="shared" si="85"/>
        <v>1.107602777556249E-2</v>
      </c>
      <c r="G181" s="2"/>
      <c r="H181" s="6">
        <v>1124</v>
      </c>
      <c r="I181" s="2"/>
      <c r="J181" s="7">
        <f t="shared" si="86"/>
        <v>8.3957913481519549E-4</v>
      </c>
      <c r="K181" s="2"/>
      <c r="L181" s="6">
        <f t="shared" si="87"/>
        <v>2984.1800000000003</v>
      </c>
      <c r="M181" s="2"/>
      <c r="N181" s="7">
        <f t="shared" si="88"/>
        <v>2.6549644128113883</v>
      </c>
      <c r="O181" s="11"/>
      <c r="P181" s="6">
        <v>6717.52</v>
      </c>
      <c r="Q181" s="2"/>
      <c r="R181" s="7">
        <f t="shared" si="89"/>
        <v>3.0583007589798945E-3</v>
      </c>
      <c r="S181" s="2"/>
      <c r="T181" s="6">
        <v>2811</v>
      </c>
      <c r="U181" s="2"/>
      <c r="V181" s="7">
        <f t="shared" si="90"/>
        <v>7.7243418440320463E-4</v>
      </c>
      <c r="W181" s="2"/>
      <c r="X181" s="6">
        <f t="shared" si="91"/>
        <v>3906.5200000000004</v>
      </c>
      <c r="Y181" s="2"/>
      <c r="Z181" s="7">
        <f t="shared" si="92"/>
        <v>1.3897260761294914</v>
      </c>
    </row>
    <row r="182" spans="1:26" s="24" customFormat="1" hidden="1" outlineLevel="2" x14ac:dyDescent="0.25">
      <c r="A182" s="29"/>
      <c r="B182" s="11" t="str">
        <f>CONCATENATE("          ", "6286", " - ", "LAUNDRY EXPENSE")</f>
        <v xml:space="preserve">          6286 - LAUNDRY EXPENSE</v>
      </c>
      <c r="C182" s="11"/>
      <c r="D182" s="6"/>
      <c r="E182" s="2"/>
      <c r="F182" s="7">
        <f t="shared" si="85"/>
        <v>0</v>
      </c>
      <c r="G182" s="2"/>
      <c r="H182" s="6">
        <v>104</v>
      </c>
      <c r="I182" s="2"/>
      <c r="J182" s="7">
        <f t="shared" si="86"/>
        <v>7.7683478666174671E-5</v>
      </c>
      <c r="K182" s="2"/>
      <c r="L182" s="6">
        <f t="shared" si="87"/>
        <v>-104</v>
      </c>
      <c r="M182" s="2"/>
      <c r="N182" s="7">
        <f t="shared" si="88"/>
        <v>-1</v>
      </c>
      <c r="O182" s="11"/>
      <c r="P182" s="6"/>
      <c r="Q182" s="2"/>
      <c r="R182" s="7">
        <f t="shared" si="89"/>
        <v>0</v>
      </c>
      <c r="S182" s="2"/>
      <c r="T182" s="6">
        <v>288</v>
      </c>
      <c r="U182" s="2"/>
      <c r="V182" s="7">
        <f t="shared" si="90"/>
        <v>7.9139468199261088E-5</v>
      </c>
      <c r="W182" s="2"/>
      <c r="X182" s="6">
        <f t="shared" si="91"/>
        <v>-288</v>
      </c>
      <c r="Y182" s="2"/>
      <c r="Z182" s="7">
        <f t="shared" si="92"/>
        <v>-1</v>
      </c>
    </row>
    <row r="183" spans="1:26" s="28" customFormat="1" outlineLevel="1" collapsed="1" x14ac:dyDescent="0.25">
      <c r="A183" s="27"/>
      <c r="B183" s="14" t="str">
        <f>CONCATENATE("     ","Subscriptions &amp; Dues                              ")</f>
        <v xml:space="preserve">     Subscriptions &amp; Dues                              </v>
      </c>
      <c r="C183" s="14"/>
      <c r="D183" s="1">
        <f>SUM(OSRRefD22_20x_0)</f>
        <v>148.77000000000001</v>
      </c>
      <c r="E183" s="1"/>
      <c r="F183" s="5">
        <f t="shared" ref="F183:F185" si="93">IF(D$12=0,0,D183/D$12)</f>
        <v>4.0109748165134722E-4</v>
      </c>
      <c r="G183" s="1"/>
      <c r="H183" s="1">
        <f>SUM(OSRRefH22_20x_0)</f>
        <v>1276</v>
      </c>
      <c r="I183" s="1"/>
      <c r="J183" s="5">
        <f t="shared" ref="J183:J185" si="94">IF(H$12=0,0,H183/H$12)</f>
        <v>9.5311652671191231E-4</v>
      </c>
      <c r="K183" s="1"/>
      <c r="L183" s="1">
        <f t="shared" ref="L183:L185" si="95">+D183-H183</f>
        <v>-1127.23</v>
      </c>
      <c r="M183" s="1"/>
      <c r="N183" s="5">
        <f t="shared" ref="N183:N185" si="96">IF(H183=0,0,L183/H183)</f>
        <v>-0.88340909090909092</v>
      </c>
      <c r="O183" s="14"/>
      <c r="P183" s="1">
        <f>SUM(OSRRefP22_20x_0)</f>
        <v>783.77</v>
      </c>
      <c r="Q183" s="1"/>
      <c r="R183" s="5">
        <f t="shared" ref="R183:R185" si="97">IF(P$12=0,0,P183/P$12)</f>
        <v>3.5682876803726254E-4</v>
      </c>
      <c r="S183" s="1"/>
      <c r="T183" s="1">
        <f>SUM(OSRRefT22_20x_0)</f>
        <v>5223</v>
      </c>
      <c r="U183" s="1"/>
      <c r="V183" s="5">
        <f t="shared" ref="V183:V185" si="98">IF(T$12=0,0,T183/T$12)</f>
        <v>1.4352272305720162E-3</v>
      </c>
      <c r="W183" s="1"/>
      <c r="X183" s="1">
        <f t="shared" ref="X183:X185" si="99">+P183-T183</f>
        <v>-4439.2299999999996</v>
      </c>
      <c r="Y183" s="1"/>
      <c r="Z183" s="5">
        <f t="shared" ref="Z183:Z185" si="100">IF(T183=0,0,X183/T183)</f>
        <v>-0.84993873252919772</v>
      </c>
    </row>
    <row r="184" spans="1:26" s="24" customFormat="1" hidden="1" outlineLevel="2" x14ac:dyDescent="0.25">
      <c r="A184" s="29"/>
      <c r="B184" s="11" t="str">
        <f>CONCATENATE("          ", "6258", " - ", "MEMBERSHIP DUES")</f>
        <v xml:space="preserve">          6258 - MEMBERSHIP DUES</v>
      </c>
      <c r="C184" s="11"/>
      <c r="D184" s="6">
        <v>73.040000000000006</v>
      </c>
      <c r="E184" s="2"/>
      <c r="F184" s="7">
        <f t="shared" si="93"/>
        <v>1.9692249821747933E-4</v>
      </c>
      <c r="G184" s="2"/>
      <c r="H184" s="6">
        <v>1100</v>
      </c>
      <c r="I184" s="2"/>
      <c r="J184" s="7">
        <f t="shared" si="94"/>
        <v>8.2165217819992441E-4</v>
      </c>
      <c r="K184" s="2"/>
      <c r="L184" s="6">
        <f t="shared" si="95"/>
        <v>-1026.96</v>
      </c>
      <c r="M184" s="2"/>
      <c r="N184" s="7">
        <f t="shared" si="96"/>
        <v>-0.93359999999999999</v>
      </c>
      <c r="O184" s="11"/>
      <c r="P184" s="6">
        <v>633.04</v>
      </c>
      <c r="Q184" s="2"/>
      <c r="R184" s="7">
        <f t="shared" si="97"/>
        <v>2.8820557474553587E-4</v>
      </c>
      <c r="S184" s="2"/>
      <c r="T184" s="6">
        <v>4695</v>
      </c>
      <c r="U184" s="2"/>
      <c r="V184" s="7">
        <f t="shared" si="98"/>
        <v>1.2901382055400376E-3</v>
      </c>
      <c r="W184" s="2"/>
      <c r="X184" s="6">
        <f t="shared" si="99"/>
        <v>-4061.96</v>
      </c>
      <c r="Y184" s="2"/>
      <c r="Z184" s="7">
        <f t="shared" si="100"/>
        <v>-0.86516719914802986</v>
      </c>
    </row>
    <row r="185" spans="1:26" s="24" customFormat="1" hidden="1" outlineLevel="2" x14ac:dyDescent="0.25">
      <c r="A185" s="29"/>
      <c r="B185" s="11" t="str">
        <f>CONCATENATE("          ", "6275", " - ", "SUBSCRIPTIONS")</f>
        <v xml:space="preserve">          6275 - SUBSCRIPTIONS</v>
      </c>
      <c r="C185" s="11"/>
      <c r="D185" s="6">
        <v>75.73</v>
      </c>
      <c r="E185" s="2"/>
      <c r="F185" s="7">
        <f t="shared" si="93"/>
        <v>2.0417498343386787E-4</v>
      </c>
      <c r="G185" s="2"/>
      <c r="H185" s="6">
        <v>176</v>
      </c>
      <c r="I185" s="2"/>
      <c r="J185" s="7">
        <f t="shared" si="94"/>
        <v>1.3146434851198791E-4</v>
      </c>
      <c r="K185" s="2"/>
      <c r="L185" s="6">
        <f t="shared" si="95"/>
        <v>-100.27</v>
      </c>
      <c r="M185" s="2"/>
      <c r="N185" s="7">
        <f t="shared" si="96"/>
        <v>-0.56971590909090908</v>
      </c>
      <c r="O185" s="11"/>
      <c r="P185" s="6">
        <v>150.72999999999999</v>
      </c>
      <c r="Q185" s="2"/>
      <c r="R185" s="7">
        <f t="shared" si="97"/>
        <v>6.8623193291726629E-5</v>
      </c>
      <c r="S185" s="2"/>
      <c r="T185" s="6">
        <v>528</v>
      </c>
      <c r="U185" s="2"/>
      <c r="V185" s="7">
        <f t="shared" si="98"/>
        <v>1.4508902503197865E-4</v>
      </c>
      <c r="W185" s="2"/>
      <c r="X185" s="6">
        <f t="shared" si="99"/>
        <v>-377.27</v>
      </c>
      <c r="Y185" s="2"/>
      <c r="Z185" s="7">
        <f t="shared" si="100"/>
        <v>-0.71452651515151511</v>
      </c>
    </row>
    <row r="186" spans="1:26" s="28" customFormat="1" outlineLevel="1" collapsed="1" x14ac:dyDescent="0.25">
      <c r="A186" s="27"/>
      <c r="B186" s="14" t="str">
        <f>CONCATENATE("     ","Supplies                                          ")</f>
        <v xml:space="preserve">     Supplies                                          </v>
      </c>
      <c r="C186" s="14"/>
      <c r="D186" s="1">
        <f>SUM(OSRRefD22_21x_0)</f>
        <v>14576.420000000002</v>
      </c>
      <c r="E186" s="1"/>
      <c r="F186" s="5">
        <f t="shared" ref="F186:F195" si="101">IF(D$12=0,0,D186/D$12)</f>
        <v>3.9299357084710163E-2</v>
      </c>
      <c r="G186" s="1"/>
      <c r="H186" s="1">
        <f>SUM(OSRRefH22_21x_0)</f>
        <v>43713</v>
      </c>
      <c r="I186" s="1"/>
      <c r="J186" s="5">
        <f t="shared" ref="J186:J195" si="102">IF(H$12=0,0,H186/H$12)</f>
        <v>3.2651710605139363E-2</v>
      </c>
      <c r="K186" s="1"/>
      <c r="L186" s="1">
        <f t="shared" ref="L186:L195" si="103">+D186-H186</f>
        <v>-29136.579999999998</v>
      </c>
      <c r="M186" s="1"/>
      <c r="N186" s="5">
        <f t="shared" ref="N186:N195" si="104">IF(H186=0,0,L186/H186)</f>
        <v>-0.66654267609178042</v>
      </c>
      <c r="O186" s="14"/>
      <c r="P186" s="1">
        <f>SUM(OSRRefP22_21x_0)</f>
        <v>34443.229999999996</v>
      </c>
      <c r="Q186" s="1"/>
      <c r="R186" s="5">
        <f t="shared" ref="R186:R195" si="105">IF(P$12=0,0,P186/P$12)</f>
        <v>1.5681048430182427E-2</v>
      </c>
      <c r="S186" s="1"/>
      <c r="T186" s="1">
        <f>SUM(OSRRefT22_21x_0)</f>
        <v>91800</v>
      </c>
      <c r="U186" s="1"/>
      <c r="V186" s="5">
        <f t="shared" ref="V186:V195" si="106">IF(T$12=0,0,T186/T$12)</f>
        <v>2.5225705488514473E-2</v>
      </c>
      <c r="W186" s="1"/>
      <c r="X186" s="1">
        <f t="shared" ref="X186:X195" si="107">+P186-T186</f>
        <v>-57356.770000000004</v>
      </c>
      <c r="Y186" s="1"/>
      <c r="Z186" s="5">
        <f t="shared" ref="Z186:Z195" si="108">IF(T186=0,0,X186/T186)</f>
        <v>-0.62480141612200435</v>
      </c>
    </row>
    <row r="187" spans="1:26" s="24" customFormat="1" hidden="1" outlineLevel="2" x14ac:dyDescent="0.25">
      <c r="A187" s="29"/>
      <c r="B187" s="11" t="str">
        <f>CONCATENATE("          ", "6234", " - ", "EXPENDABLE SUPPLIES &amp; EQUIPMEN")</f>
        <v xml:space="preserve">          6234 - EXPENDABLE SUPPLIES &amp; EQUIPMEN</v>
      </c>
      <c r="C187" s="11"/>
      <c r="D187" s="6">
        <v>316.67</v>
      </c>
      <c r="E187" s="2"/>
      <c r="F187" s="7">
        <f t="shared" si="101"/>
        <v>8.5377118716496682E-4</v>
      </c>
      <c r="G187" s="2"/>
      <c r="H187" s="6">
        <v>150</v>
      </c>
      <c r="I187" s="2"/>
      <c r="J187" s="7">
        <f t="shared" si="102"/>
        <v>1.1204347884544424E-4</v>
      </c>
      <c r="K187" s="2"/>
      <c r="L187" s="6">
        <f t="shared" si="103"/>
        <v>166.67000000000002</v>
      </c>
      <c r="M187" s="2"/>
      <c r="N187" s="7">
        <f t="shared" si="104"/>
        <v>1.1111333333333335</v>
      </c>
      <c r="O187" s="11"/>
      <c r="P187" s="6">
        <v>316.67</v>
      </c>
      <c r="Q187" s="2"/>
      <c r="R187" s="7">
        <f t="shared" si="105"/>
        <v>1.4417107821728303E-4</v>
      </c>
      <c r="S187" s="2"/>
      <c r="T187" s="6">
        <v>450</v>
      </c>
      <c r="U187" s="2"/>
      <c r="V187" s="7">
        <f t="shared" si="106"/>
        <v>1.2365541906134546E-4</v>
      </c>
      <c r="W187" s="2"/>
      <c r="X187" s="6">
        <f t="shared" si="107"/>
        <v>-133.32999999999998</v>
      </c>
      <c r="Y187" s="2"/>
      <c r="Z187" s="7">
        <f t="shared" si="108"/>
        <v>-0.29628888888888888</v>
      </c>
    </row>
    <row r="188" spans="1:26" s="24" customFormat="1" hidden="1" outlineLevel="2" x14ac:dyDescent="0.25">
      <c r="A188" s="29"/>
      <c r="B188" s="11" t="str">
        <f>CONCATENATE("          ", "6235", " - ", "COVID-19 EXPENSES")</f>
        <v xml:space="preserve">          6235 - COVID-19 EXPENSES</v>
      </c>
      <c r="C188" s="11"/>
      <c r="D188" s="6">
        <v>2460.7800000000002</v>
      </c>
      <c r="E188" s="2"/>
      <c r="F188" s="7">
        <f t="shared" si="101"/>
        <v>6.63448720103517E-3</v>
      </c>
      <c r="G188" s="2"/>
      <c r="H188" s="6">
        <v>30900</v>
      </c>
      <c r="I188" s="2"/>
      <c r="J188" s="7">
        <f t="shared" si="102"/>
        <v>2.3080956642161515E-2</v>
      </c>
      <c r="K188" s="2"/>
      <c r="L188" s="6">
        <f t="shared" si="103"/>
        <v>-28439.22</v>
      </c>
      <c r="M188" s="2"/>
      <c r="N188" s="7">
        <f t="shared" si="104"/>
        <v>-0.92036310679611655</v>
      </c>
      <c r="O188" s="11"/>
      <c r="P188" s="6">
        <v>9301.94</v>
      </c>
      <c r="Q188" s="2"/>
      <c r="R188" s="7">
        <f t="shared" si="105"/>
        <v>4.2349155881910945E-3</v>
      </c>
      <c r="S188" s="2"/>
      <c r="T188" s="6">
        <v>62800</v>
      </c>
      <c r="U188" s="2"/>
      <c r="V188" s="7">
        <f t="shared" si="106"/>
        <v>1.72568007045611E-2</v>
      </c>
      <c r="W188" s="2"/>
      <c r="X188" s="6">
        <f t="shared" si="107"/>
        <v>-53498.06</v>
      </c>
      <c r="Y188" s="2"/>
      <c r="Z188" s="7">
        <f t="shared" si="108"/>
        <v>-0.85187993630573244</v>
      </c>
    </row>
    <row r="189" spans="1:26" s="24" customFormat="1" hidden="1" outlineLevel="2" x14ac:dyDescent="0.25">
      <c r="A189" s="29"/>
      <c r="B189" s="11" t="str">
        <f>CONCATENATE("          ", "6237", " - ", "JANITORIAL SUPPLIES")</f>
        <v xml:space="preserve">          6237 - JANITORIAL SUPPLIES</v>
      </c>
      <c r="C189" s="11"/>
      <c r="D189" s="6">
        <v>317.57</v>
      </c>
      <c r="E189" s="2"/>
      <c r="F189" s="7">
        <f t="shared" si="101"/>
        <v>8.561976692076247E-4</v>
      </c>
      <c r="G189" s="2"/>
      <c r="H189" s="6">
        <v>300</v>
      </c>
      <c r="I189" s="2"/>
      <c r="J189" s="7">
        <f t="shared" si="102"/>
        <v>2.2408695769088847E-4</v>
      </c>
      <c r="K189" s="2"/>
      <c r="L189" s="6">
        <f t="shared" si="103"/>
        <v>17.569999999999993</v>
      </c>
      <c r="M189" s="2"/>
      <c r="N189" s="7">
        <f t="shared" si="104"/>
        <v>5.8566666666666642E-2</v>
      </c>
      <c r="O189" s="11"/>
      <c r="P189" s="6">
        <v>456.88</v>
      </c>
      <c r="Q189" s="2"/>
      <c r="R189" s="7">
        <f t="shared" si="105"/>
        <v>2.0800480694701826E-4</v>
      </c>
      <c r="S189" s="2"/>
      <c r="T189" s="6">
        <v>820</v>
      </c>
      <c r="U189" s="2"/>
      <c r="V189" s="7">
        <f t="shared" si="106"/>
        <v>2.2532765251178505E-4</v>
      </c>
      <c r="W189" s="2"/>
      <c r="X189" s="6">
        <f t="shared" si="107"/>
        <v>-363.12</v>
      </c>
      <c r="Y189" s="2"/>
      <c r="Z189" s="7">
        <f t="shared" si="108"/>
        <v>-0.44282926829268293</v>
      </c>
    </row>
    <row r="190" spans="1:26" s="24" customFormat="1" hidden="1" outlineLevel="2" x14ac:dyDescent="0.25">
      <c r="A190" s="29"/>
      <c r="B190" s="11" t="str">
        <f>CONCATENATE("          ", "6241", " - ", "OFFICE EXPENSE")</f>
        <v xml:space="preserve">          6241 - OFFICE EXPENSE</v>
      </c>
      <c r="C190" s="11"/>
      <c r="D190" s="6">
        <v>4845.55</v>
      </c>
      <c r="E190" s="2"/>
      <c r="F190" s="7">
        <f t="shared" si="101"/>
        <v>1.3064044513112088E-2</v>
      </c>
      <c r="G190" s="2"/>
      <c r="H190" s="6">
        <v>425</v>
      </c>
      <c r="I190" s="2"/>
      <c r="J190" s="7">
        <f t="shared" si="102"/>
        <v>3.1745652339542534E-4</v>
      </c>
      <c r="K190" s="2"/>
      <c r="L190" s="6">
        <f t="shared" si="103"/>
        <v>4420.55</v>
      </c>
      <c r="M190" s="2"/>
      <c r="N190" s="7">
        <f t="shared" si="104"/>
        <v>10.40129411764706</v>
      </c>
      <c r="O190" s="11"/>
      <c r="P190" s="6">
        <v>7610.79</v>
      </c>
      <c r="Q190" s="2"/>
      <c r="R190" s="7">
        <f t="shared" si="105"/>
        <v>3.4649818435131701E-3</v>
      </c>
      <c r="S190" s="2"/>
      <c r="T190" s="6">
        <v>1575</v>
      </c>
      <c r="U190" s="2"/>
      <c r="V190" s="7">
        <f t="shared" si="106"/>
        <v>4.327939667147091E-4</v>
      </c>
      <c r="W190" s="2"/>
      <c r="X190" s="6">
        <f t="shared" si="107"/>
        <v>6035.79</v>
      </c>
      <c r="Y190" s="2"/>
      <c r="Z190" s="7">
        <f t="shared" si="108"/>
        <v>3.8322476190476191</v>
      </c>
    </row>
    <row r="191" spans="1:26" s="24" customFormat="1" hidden="1" outlineLevel="2" x14ac:dyDescent="0.25">
      <c r="A191" s="29"/>
      <c r="B191" s="11" t="str">
        <f>CONCATENATE("          ", "6243", " - ", "PAPER SUPPLIES")</f>
        <v xml:space="preserve">          6243 - PAPER SUPPLIES</v>
      </c>
      <c r="C191" s="11"/>
      <c r="D191" s="6"/>
      <c r="E191" s="2"/>
      <c r="F191" s="7">
        <f t="shared" si="101"/>
        <v>0</v>
      </c>
      <c r="G191" s="2"/>
      <c r="H191" s="6">
        <v>702</v>
      </c>
      <c r="I191" s="2"/>
      <c r="J191" s="7">
        <f t="shared" si="102"/>
        <v>5.2436348099667903E-4</v>
      </c>
      <c r="K191" s="2"/>
      <c r="L191" s="6">
        <f t="shared" si="103"/>
        <v>-702</v>
      </c>
      <c r="M191" s="2"/>
      <c r="N191" s="7">
        <f t="shared" si="104"/>
        <v>-1</v>
      </c>
      <c r="O191" s="11"/>
      <c r="P191" s="6">
        <v>3124.69</v>
      </c>
      <c r="Q191" s="2"/>
      <c r="R191" s="7">
        <f t="shared" si="105"/>
        <v>1.4225847929856385E-3</v>
      </c>
      <c r="S191" s="2"/>
      <c r="T191" s="6">
        <v>3195</v>
      </c>
      <c r="U191" s="2"/>
      <c r="V191" s="7">
        <f t="shared" si="106"/>
        <v>8.7795347533555271E-4</v>
      </c>
      <c r="W191" s="2"/>
      <c r="X191" s="6">
        <f t="shared" si="107"/>
        <v>-70.309999999999945</v>
      </c>
      <c r="Y191" s="2"/>
      <c r="Z191" s="7">
        <f t="shared" si="108"/>
        <v>-2.2006259780907651E-2</v>
      </c>
    </row>
    <row r="192" spans="1:26" s="24" customFormat="1" hidden="1" outlineLevel="2" x14ac:dyDescent="0.25">
      <c r="A192" s="29"/>
      <c r="B192" s="11" t="str">
        <f>CONCATENATE("          ", "6244", " - ", "SAFETY SUPPLY EXPENSE")</f>
        <v xml:space="preserve">          6244 - SAFETY SUPPLY EXPENSE</v>
      </c>
      <c r="C192" s="11"/>
      <c r="D192" s="6"/>
      <c r="E192" s="2"/>
      <c r="F192" s="7">
        <f t="shared" si="101"/>
        <v>0</v>
      </c>
      <c r="G192" s="2"/>
      <c r="H192" s="6">
        <v>0</v>
      </c>
      <c r="I192" s="2"/>
      <c r="J192" s="7">
        <f t="shared" si="102"/>
        <v>0</v>
      </c>
      <c r="K192" s="2"/>
      <c r="L192" s="6">
        <f t="shared" si="103"/>
        <v>0</v>
      </c>
      <c r="M192" s="2"/>
      <c r="N192" s="7">
        <f t="shared" si="104"/>
        <v>0</v>
      </c>
      <c r="O192" s="11"/>
      <c r="P192" s="6"/>
      <c r="Q192" s="2"/>
      <c r="R192" s="7">
        <f t="shared" si="105"/>
        <v>0</v>
      </c>
      <c r="S192" s="2"/>
      <c r="T192" s="6">
        <v>25</v>
      </c>
      <c r="U192" s="2"/>
      <c r="V192" s="7">
        <f t="shared" si="106"/>
        <v>6.869745503408081E-6</v>
      </c>
      <c r="W192" s="2"/>
      <c r="X192" s="6">
        <f t="shared" si="107"/>
        <v>-25</v>
      </c>
      <c r="Y192" s="2"/>
      <c r="Z192" s="7">
        <f t="shared" si="108"/>
        <v>-1</v>
      </c>
    </row>
    <row r="193" spans="1:26" s="24" customFormat="1" hidden="1" outlineLevel="2" x14ac:dyDescent="0.25">
      <c r="A193" s="29"/>
      <c r="B193" s="11" t="str">
        <f>CONCATENATE("          ", "6245", " - ", "PRINTING")</f>
        <v xml:space="preserve">          6245 - PRINTING</v>
      </c>
      <c r="C193" s="11"/>
      <c r="D193" s="6">
        <v>356.96</v>
      </c>
      <c r="E193" s="2"/>
      <c r="F193" s="7">
        <f t="shared" si="101"/>
        <v>9.6239669994128442E-4</v>
      </c>
      <c r="G193" s="2"/>
      <c r="H193" s="6">
        <v>350</v>
      </c>
      <c r="I193" s="2"/>
      <c r="J193" s="7">
        <f t="shared" si="102"/>
        <v>2.6143478397270322E-4</v>
      </c>
      <c r="K193" s="2"/>
      <c r="L193" s="6">
        <f t="shared" si="103"/>
        <v>6.9599999999999795</v>
      </c>
      <c r="M193" s="2"/>
      <c r="N193" s="7">
        <f t="shared" si="104"/>
        <v>1.9885714285714229E-2</v>
      </c>
      <c r="O193" s="11"/>
      <c r="P193" s="6">
        <v>61.46</v>
      </c>
      <c r="Q193" s="2"/>
      <c r="R193" s="7">
        <f t="shared" si="105"/>
        <v>2.7981035359314792E-5</v>
      </c>
      <c r="S193" s="2"/>
      <c r="T193" s="6">
        <v>1450</v>
      </c>
      <c r="U193" s="2"/>
      <c r="V193" s="7">
        <f t="shared" si="106"/>
        <v>3.9844523919766871E-4</v>
      </c>
      <c r="W193" s="2"/>
      <c r="X193" s="6">
        <f t="shared" si="107"/>
        <v>-1388.54</v>
      </c>
      <c r="Y193" s="2"/>
      <c r="Z193" s="7">
        <f t="shared" si="108"/>
        <v>-0.9576137931034483</v>
      </c>
    </row>
    <row r="194" spans="1:26" s="24" customFormat="1" hidden="1" outlineLevel="2" x14ac:dyDescent="0.25">
      <c r="A194" s="29"/>
      <c r="B194" s="11" t="str">
        <f>CONCATENATE("          ", "6247", " - ", "STORE SUPPLIES")</f>
        <v xml:space="preserve">          6247 - STORE SUPPLIES</v>
      </c>
      <c r="C194" s="11"/>
      <c r="D194" s="6">
        <v>6278.89</v>
      </c>
      <c r="E194" s="2"/>
      <c r="F194" s="7">
        <f t="shared" si="101"/>
        <v>1.6928459814249026E-2</v>
      </c>
      <c r="G194" s="2"/>
      <c r="H194" s="6">
        <v>9386</v>
      </c>
      <c r="I194" s="2"/>
      <c r="J194" s="7">
        <f t="shared" si="102"/>
        <v>7.0109339496222641E-3</v>
      </c>
      <c r="K194" s="2"/>
      <c r="L194" s="6">
        <f t="shared" si="103"/>
        <v>-3107.1099999999997</v>
      </c>
      <c r="M194" s="2"/>
      <c r="N194" s="7">
        <f t="shared" si="104"/>
        <v>-0.33103665033027913</v>
      </c>
      <c r="O194" s="11"/>
      <c r="P194" s="6">
        <v>13570.8</v>
      </c>
      <c r="Q194" s="2"/>
      <c r="R194" s="7">
        <f t="shared" si="105"/>
        <v>6.1784092849689089E-3</v>
      </c>
      <c r="S194" s="2"/>
      <c r="T194" s="6">
        <v>16785</v>
      </c>
      <c r="U194" s="2"/>
      <c r="V194" s="7">
        <f t="shared" si="106"/>
        <v>4.6123471309881857E-3</v>
      </c>
      <c r="W194" s="2"/>
      <c r="X194" s="6">
        <f t="shared" si="107"/>
        <v>-3214.2000000000007</v>
      </c>
      <c r="Y194" s="2"/>
      <c r="Z194" s="7">
        <f t="shared" si="108"/>
        <v>-0.19149240393208225</v>
      </c>
    </row>
    <row r="195" spans="1:26" s="24" customFormat="1" hidden="1" outlineLevel="2" x14ac:dyDescent="0.25">
      <c r="A195" s="29"/>
      <c r="B195" s="11" t="str">
        <f>CONCATENATE("          ", "6248", " - ", "UNIFORMS")</f>
        <v xml:space="preserve">          6248 - UNIFORMS</v>
      </c>
      <c r="C195" s="11"/>
      <c r="D195" s="6"/>
      <c r="E195" s="2"/>
      <c r="F195" s="7">
        <f t="shared" si="101"/>
        <v>0</v>
      </c>
      <c r="G195" s="2"/>
      <c r="H195" s="6">
        <v>1500</v>
      </c>
      <c r="I195" s="2"/>
      <c r="J195" s="7">
        <f t="shared" si="102"/>
        <v>1.1204347884544424E-3</v>
      </c>
      <c r="K195" s="2"/>
      <c r="L195" s="6">
        <f t="shared" si="103"/>
        <v>-1500</v>
      </c>
      <c r="M195" s="2"/>
      <c r="N195" s="7">
        <f t="shared" si="104"/>
        <v>-1</v>
      </c>
      <c r="O195" s="11"/>
      <c r="P195" s="6"/>
      <c r="Q195" s="2"/>
      <c r="R195" s="7">
        <f t="shared" si="105"/>
        <v>0</v>
      </c>
      <c r="S195" s="2"/>
      <c r="T195" s="6">
        <v>4700</v>
      </c>
      <c r="U195" s="2"/>
      <c r="V195" s="7">
        <f t="shared" si="106"/>
        <v>1.2915121546407192E-3</v>
      </c>
      <c r="W195" s="2"/>
      <c r="X195" s="6">
        <f t="shared" si="107"/>
        <v>-4700</v>
      </c>
      <c r="Y195" s="2"/>
      <c r="Z195" s="7">
        <f t="shared" si="108"/>
        <v>-1</v>
      </c>
    </row>
    <row r="196" spans="1:26" s="28" customFormat="1" outlineLevel="1" collapsed="1" x14ac:dyDescent="0.25">
      <c r="A196" s="27"/>
      <c r="B196" s="14" t="str">
        <f>CONCATENATE("     ","Telephone/Data Lines                              ")</f>
        <v xml:space="preserve">     Telephone/Data Lines                              </v>
      </c>
      <c r="C196" s="14"/>
      <c r="D196" s="1">
        <f>SUM(OSRRefD22_22x_0)</f>
        <v>5389.41</v>
      </c>
      <c r="E196" s="1"/>
      <c r="F196" s="5">
        <f t="shared" ref="F196:F198" si="109">IF(D$12=0,0,D196/D$12)</f>
        <v>1.4530340650578658E-2</v>
      </c>
      <c r="G196" s="1"/>
      <c r="H196" s="1">
        <f>SUM(OSRRefH22_22x_0)</f>
        <v>3630</v>
      </c>
      <c r="I196" s="1"/>
      <c r="J196" s="5">
        <f t="shared" ref="J196:J198" si="110">IF(H$12=0,0,H196/H$12)</f>
        <v>2.7114521880597505E-3</v>
      </c>
      <c r="K196" s="1"/>
      <c r="L196" s="1">
        <f t="shared" ref="L196:L198" si="111">+D196-H196</f>
        <v>1759.4099999999999</v>
      </c>
      <c r="M196" s="1"/>
      <c r="N196" s="5">
        <f t="shared" ref="N196:N198" si="112">IF(H196=0,0,L196/H196)</f>
        <v>0.4846859504132231</v>
      </c>
      <c r="O196" s="14"/>
      <c r="P196" s="1">
        <f>SUM(OSRRefP22_22x_0)</f>
        <v>10637.03</v>
      </c>
      <c r="Q196" s="1"/>
      <c r="R196" s="5">
        <f t="shared" ref="R196:R198" si="113">IF(P$12=0,0,P196/P$12)</f>
        <v>4.8427450788820735E-3</v>
      </c>
      <c r="S196" s="1"/>
      <c r="T196" s="1">
        <f>SUM(OSRRefT22_22x_0)</f>
        <v>9237</v>
      </c>
      <c r="U196" s="1"/>
      <c r="V196" s="5">
        <f t="shared" ref="V196:V198" si="114">IF(T$12=0,0,T196/T$12)</f>
        <v>2.5382335685992176E-3</v>
      </c>
      <c r="W196" s="1"/>
      <c r="X196" s="1">
        <f t="shared" ref="X196:X198" si="115">+P196-T196</f>
        <v>1400.0300000000007</v>
      </c>
      <c r="Y196" s="1"/>
      <c r="Z196" s="5">
        <f t="shared" ref="Z196:Z198" si="116">IF(T196=0,0,X196/T196)</f>
        <v>0.15156760853090837</v>
      </c>
    </row>
    <row r="197" spans="1:26" s="24" customFormat="1" hidden="1" outlineLevel="2" x14ac:dyDescent="0.25">
      <c r="A197" s="29"/>
      <c r="B197" s="11" t="str">
        <f>CONCATENATE("          ", "6303", " - ", "DATA PHONE LINES")</f>
        <v xml:space="preserve">          6303 - DATA PHONE LINES</v>
      </c>
      <c r="C197" s="11"/>
      <c r="D197" s="6">
        <v>885</v>
      </c>
      <c r="E197" s="2"/>
      <c r="F197" s="7">
        <f t="shared" si="109"/>
        <v>2.3860406752802465E-3</v>
      </c>
      <c r="G197" s="2"/>
      <c r="H197" s="6">
        <v>865</v>
      </c>
      <c r="I197" s="2"/>
      <c r="J197" s="7">
        <f t="shared" si="110"/>
        <v>6.461173946753951E-4</v>
      </c>
      <c r="K197" s="2"/>
      <c r="L197" s="6">
        <f t="shared" si="111"/>
        <v>20</v>
      </c>
      <c r="M197" s="2"/>
      <c r="N197" s="7">
        <f t="shared" si="112"/>
        <v>2.3121387283236993E-2</v>
      </c>
      <c r="O197" s="11"/>
      <c r="P197" s="6">
        <v>1180</v>
      </c>
      <c r="Q197" s="2"/>
      <c r="R197" s="7">
        <f t="shared" si="113"/>
        <v>5.372213101853474E-4</v>
      </c>
      <c r="S197" s="2"/>
      <c r="T197" s="6">
        <v>2592</v>
      </c>
      <c r="U197" s="2"/>
      <c r="V197" s="7">
        <f t="shared" si="114"/>
        <v>7.1225521379334985E-4</v>
      </c>
      <c r="W197" s="2"/>
      <c r="X197" s="6">
        <f t="shared" si="115"/>
        <v>-1412</v>
      </c>
      <c r="Y197" s="2"/>
      <c r="Z197" s="7">
        <f t="shared" si="116"/>
        <v>-0.54475308641975306</v>
      </c>
    </row>
    <row r="198" spans="1:26" s="24" customFormat="1" hidden="1" outlineLevel="2" x14ac:dyDescent="0.25">
      <c r="A198" s="29"/>
      <c r="B198" s="11" t="str">
        <f>CONCATENATE("          ", "6309", " - ", "TELEPHONE")</f>
        <v xml:space="preserve">          6309 - TELEPHONE</v>
      </c>
      <c r="C198" s="11"/>
      <c r="D198" s="6">
        <v>4504.41</v>
      </c>
      <c r="E198" s="2"/>
      <c r="F198" s="7">
        <f t="shared" si="109"/>
        <v>1.2144299975298412E-2</v>
      </c>
      <c r="G198" s="2"/>
      <c r="H198" s="6">
        <v>2765</v>
      </c>
      <c r="I198" s="2"/>
      <c r="J198" s="7">
        <f t="shared" si="110"/>
        <v>2.0653347933843554E-3</v>
      </c>
      <c r="K198" s="2"/>
      <c r="L198" s="6">
        <f t="shared" si="111"/>
        <v>1739.4099999999999</v>
      </c>
      <c r="M198" s="2"/>
      <c r="N198" s="7">
        <f t="shared" si="112"/>
        <v>0.6290813743218806</v>
      </c>
      <c r="O198" s="11"/>
      <c r="P198" s="6">
        <v>9457.0300000000007</v>
      </c>
      <c r="Q198" s="2"/>
      <c r="R198" s="7">
        <f t="shared" si="113"/>
        <v>4.3055237686967264E-3</v>
      </c>
      <c r="S198" s="2"/>
      <c r="T198" s="6">
        <v>6645</v>
      </c>
      <c r="U198" s="2"/>
      <c r="V198" s="7">
        <f t="shared" si="114"/>
        <v>1.8259783548058679E-3</v>
      </c>
      <c r="W198" s="2"/>
      <c r="X198" s="6">
        <f t="shared" si="115"/>
        <v>2812.0300000000007</v>
      </c>
      <c r="Y198" s="2"/>
      <c r="Z198" s="7">
        <f t="shared" si="116"/>
        <v>0.42317983446200158</v>
      </c>
    </row>
    <row r="199" spans="1:26" s="28" customFormat="1" outlineLevel="1" collapsed="1" x14ac:dyDescent="0.25">
      <c r="A199" s="27"/>
      <c r="B199" s="14" t="str">
        <f>CONCATENATE("     ","Training                                          ")</f>
        <v xml:space="preserve">     Training                                          </v>
      </c>
      <c r="C199" s="14"/>
      <c r="D199" s="1">
        <f>SUM(OSRRefD22_23x_0)</f>
        <v>0</v>
      </c>
      <c r="E199" s="1"/>
      <c r="F199" s="5">
        <f t="shared" ref="F199:F204" si="117">IF(D$12=0,0,D199/D$12)</f>
        <v>0</v>
      </c>
      <c r="G199" s="1"/>
      <c r="H199" s="1">
        <f>SUM(OSRRefH22_23x_0)</f>
        <v>0</v>
      </c>
      <c r="I199" s="1"/>
      <c r="J199" s="5">
        <f t="shared" ref="J199:J204" si="118">IF(H$12=0,0,H199/H$12)</f>
        <v>0</v>
      </c>
      <c r="K199" s="1"/>
      <c r="L199" s="1">
        <f t="shared" ref="L199:L204" si="119">+D199-H199</f>
        <v>0</v>
      </c>
      <c r="M199" s="1"/>
      <c r="N199" s="5">
        <f t="shared" ref="N199:N204" si="120">IF(H199=0,0,L199/H199)</f>
        <v>0</v>
      </c>
      <c r="O199" s="14"/>
      <c r="P199" s="1">
        <f>SUM(OSRRefP22_23x_0)</f>
        <v>131.63</v>
      </c>
      <c r="Q199" s="1"/>
      <c r="R199" s="5">
        <f t="shared" ref="R199:R204" si="121">IF(P$12=0,0,P199/P$12)</f>
        <v>5.9927492423472275E-5</v>
      </c>
      <c r="S199" s="1"/>
      <c r="T199" s="1">
        <f>SUM(OSRRefT22_23x_0)</f>
        <v>180</v>
      </c>
      <c r="U199" s="1"/>
      <c r="V199" s="5">
        <f t="shared" ref="V199:V204" si="122">IF(T$12=0,0,T199/T$12)</f>
        <v>4.946216762453818E-5</v>
      </c>
      <c r="W199" s="1"/>
      <c r="X199" s="1">
        <f t="shared" ref="X199:X204" si="123">+P199-T199</f>
        <v>-48.370000000000005</v>
      </c>
      <c r="Y199" s="1"/>
      <c r="Z199" s="5">
        <f t="shared" ref="Z199:Z204" si="124">IF(T199=0,0,X199/T199)</f>
        <v>-0.26872222222222225</v>
      </c>
    </row>
    <row r="200" spans="1:26" s="24" customFormat="1" hidden="1" outlineLevel="2" x14ac:dyDescent="0.25">
      <c r="A200" s="29"/>
      <c r="B200" s="11" t="str">
        <f>CONCATENATE("          ", "6376", " - ", "TRAINING")</f>
        <v xml:space="preserve">          6376 - TRAINING</v>
      </c>
      <c r="C200" s="11"/>
      <c r="D200" s="6"/>
      <c r="E200" s="2"/>
      <c r="F200" s="7">
        <f t="shared" si="117"/>
        <v>0</v>
      </c>
      <c r="G200" s="2"/>
      <c r="H200" s="6">
        <v>0</v>
      </c>
      <c r="I200" s="2"/>
      <c r="J200" s="7">
        <f t="shared" si="118"/>
        <v>0</v>
      </c>
      <c r="K200" s="2"/>
      <c r="L200" s="6">
        <f t="shared" si="119"/>
        <v>0</v>
      </c>
      <c r="M200" s="2"/>
      <c r="N200" s="7">
        <f t="shared" si="120"/>
        <v>0</v>
      </c>
      <c r="O200" s="11"/>
      <c r="P200" s="6">
        <v>131.63</v>
      </c>
      <c r="Q200" s="2"/>
      <c r="R200" s="7">
        <f t="shared" si="121"/>
        <v>5.9927492423472275E-5</v>
      </c>
      <c r="S200" s="2"/>
      <c r="T200" s="6">
        <v>180</v>
      </c>
      <c r="U200" s="2"/>
      <c r="V200" s="7">
        <f t="shared" si="122"/>
        <v>4.946216762453818E-5</v>
      </c>
      <c r="W200" s="2"/>
      <c r="X200" s="6">
        <f t="shared" si="123"/>
        <v>-48.370000000000005</v>
      </c>
      <c r="Y200" s="2"/>
      <c r="Z200" s="7">
        <f t="shared" si="124"/>
        <v>-0.26872222222222225</v>
      </c>
    </row>
    <row r="201" spans="1:26" s="28" customFormat="1" outlineLevel="1" collapsed="1" x14ac:dyDescent="0.25">
      <c r="A201" s="27"/>
      <c r="B201" s="14" t="str">
        <f>CONCATENATE("     ","Travel                                            ")</f>
        <v xml:space="preserve">     Travel                                            </v>
      </c>
      <c r="C201" s="14"/>
      <c r="D201" s="1">
        <f>SUM(OSRRefD22_24x_0)</f>
        <v>0</v>
      </c>
      <c r="E201" s="1"/>
      <c r="F201" s="5">
        <f t="shared" si="117"/>
        <v>0</v>
      </c>
      <c r="G201" s="1"/>
      <c r="H201" s="1">
        <f>SUM(OSRRefH22_24x_0)</f>
        <v>50</v>
      </c>
      <c r="I201" s="1"/>
      <c r="J201" s="5">
        <f t="shared" si="118"/>
        <v>3.7347826281814746E-5</v>
      </c>
      <c r="K201" s="1"/>
      <c r="L201" s="1">
        <f t="shared" si="119"/>
        <v>-50</v>
      </c>
      <c r="M201" s="1"/>
      <c r="N201" s="5">
        <f t="shared" si="120"/>
        <v>-1</v>
      </c>
      <c r="O201" s="14"/>
      <c r="P201" s="1">
        <f>SUM(OSRRefP22_24x_0)</f>
        <v>300.96999999999997</v>
      </c>
      <c r="Q201" s="1"/>
      <c r="R201" s="5">
        <f t="shared" si="121"/>
        <v>1.3702330315803728E-4</v>
      </c>
      <c r="S201" s="1"/>
      <c r="T201" s="1">
        <f>SUM(OSRRefT22_24x_0)</f>
        <v>150</v>
      </c>
      <c r="U201" s="1"/>
      <c r="V201" s="5">
        <f t="shared" si="122"/>
        <v>4.1218473020448485E-5</v>
      </c>
      <c r="W201" s="1"/>
      <c r="X201" s="1">
        <f t="shared" si="123"/>
        <v>150.96999999999997</v>
      </c>
      <c r="Y201" s="1"/>
      <c r="Z201" s="5">
        <f t="shared" si="124"/>
        <v>1.0064666666666664</v>
      </c>
    </row>
    <row r="202" spans="1:26" s="24" customFormat="1" hidden="1" outlineLevel="2" x14ac:dyDescent="0.25">
      <c r="A202" s="29"/>
      <c r="B202" s="11" t="str">
        <f>CONCATENATE("          ", "6292", " - ", "TRAVEL/CONFERENCE")</f>
        <v xml:space="preserve">          6292 - TRAVEL/CONFERENCE</v>
      </c>
      <c r="C202" s="11"/>
      <c r="D202" s="6"/>
      <c r="E202" s="2"/>
      <c r="F202" s="7">
        <f t="shared" si="117"/>
        <v>0</v>
      </c>
      <c r="G202" s="2"/>
      <c r="H202" s="6"/>
      <c r="I202" s="2"/>
      <c r="J202" s="7">
        <f t="shared" si="118"/>
        <v>0</v>
      </c>
      <c r="K202" s="2"/>
      <c r="L202" s="6">
        <f t="shared" si="119"/>
        <v>0</v>
      </c>
      <c r="M202" s="2"/>
      <c r="N202" s="7">
        <f t="shared" si="120"/>
        <v>0</v>
      </c>
      <c r="O202" s="11"/>
      <c r="P202" s="6">
        <v>0.16</v>
      </c>
      <c r="Q202" s="2"/>
      <c r="R202" s="7">
        <f t="shared" si="121"/>
        <v>7.2843567482758982E-8</v>
      </c>
      <c r="S202" s="2"/>
      <c r="T202" s="6"/>
      <c r="U202" s="2"/>
      <c r="V202" s="7">
        <f t="shared" si="122"/>
        <v>0</v>
      </c>
      <c r="W202" s="2"/>
      <c r="X202" s="6">
        <f t="shared" si="123"/>
        <v>0.16</v>
      </c>
      <c r="Y202" s="2"/>
      <c r="Z202" s="7">
        <f t="shared" si="124"/>
        <v>0</v>
      </c>
    </row>
    <row r="203" spans="1:26" s="24" customFormat="1" hidden="1" outlineLevel="2" x14ac:dyDescent="0.25">
      <c r="A203" s="29"/>
      <c r="B203" s="11" t="str">
        <f>CONCATENATE("          ", "6294", " - ", "TRAVEL OPERATIONAL")</f>
        <v xml:space="preserve">          6294 - TRAVEL OPERATIONAL</v>
      </c>
      <c r="C203" s="11"/>
      <c r="D203" s="6"/>
      <c r="E203" s="2"/>
      <c r="F203" s="7">
        <f t="shared" si="117"/>
        <v>0</v>
      </c>
      <c r="G203" s="2"/>
      <c r="H203" s="6">
        <v>25</v>
      </c>
      <c r="I203" s="2"/>
      <c r="J203" s="7">
        <f t="shared" si="118"/>
        <v>1.8673913140907373E-5</v>
      </c>
      <c r="K203" s="2"/>
      <c r="L203" s="6">
        <f t="shared" si="119"/>
        <v>-25</v>
      </c>
      <c r="M203" s="2"/>
      <c r="N203" s="7">
        <f t="shared" si="120"/>
        <v>-1</v>
      </c>
      <c r="O203" s="11"/>
      <c r="P203" s="6">
        <v>240.92</v>
      </c>
      <c r="Q203" s="2"/>
      <c r="R203" s="7">
        <f t="shared" si="121"/>
        <v>1.0968420173716433E-4</v>
      </c>
      <c r="S203" s="2"/>
      <c r="T203" s="6">
        <v>75</v>
      </c>
      <c r="U203" s="2"/>
      <c r="V203" s="7">
        <f t="shared" si="122"/>
        <v>2.0609236510224242E-5</v>
      </c>
      <c r="W203" s="2"/>
      <c r="X203" s="6">
        <f t="shared" si="123"/>
        <v>165.92</v>
      </c>
      <c r="Y203" s="2"/>
      <c r="Z203" s="7">
        <f t="shared" si="124"/>
        <v>2.2122666666666664</v>
      </c>
    </row>
    <row r="204" spans="1:26" s="24" customFormat="1" hidden="1" outlineLevel="2" x14ac:dyDescent="0.25">
      <c r="A204" s="29"/>
      <c r="B204" s="11" t="str">
        <f>CONCATENATE("          ", "6298", " - ", "VEHICLE MILEAGE")</f>
        <v xml:space="preserve">          6298 - VEHICLE MILEAGE</v>
      </c>
      <c r="C204" s="11"/>
      <c r="D204" s="6"/>
      <c r="E204" s="2"/>
      <c r="F204" s="7">
        <f t="shared" si="117"/>
        <v>0</v>
      </c>
      <c r="G204" s="2"/>
      <c r="H204" s="6">
        <v>25</v>
      </c>
      <c r="I204" s="2"/>
      <c r="J204" s="7">
        <f t="shared" si="118"/>
        <v>1.8673913140907373E-5</v>
      </c>
      <c r="K204" s="2"/>
      <c r="L204" s="6">
        <f t="shared" si="119"/>
        <v>-25</v>
      </c>
      <c r="M204" s="2"/>
      <c r="N204" s="7">
        <f t="shared" si="120"/>
        <v>-1</v>
      </c>
      <c r="O204" s="11"/>
      <c r="P204" s="6">
        <v>59.89</v>
      </c>
      <c r="Q204" s="2"/>
      <c r="R204" s="7">
        <f t="shared" si="121"/>
        <v>2.726625785339022E-5</v>
      </c>
      <c r="S204" s="2"/>
      <c r="T204" s="6">
        <v>75</v>
      </c>
      <c r="U204" s="2"/>
      <c r="V204" s="7">
        <f t="shared" si="122"/>
        <v>2.0609236510224242E-5</v>
      </c>
      <c r="W204" s="2"/>
      <c r="X204" s="6">
        <f t="shared" si="123"/>
        <v>-15.11</v>
      </c>
      <c r="Y204" s="2"/>
      <c r="Z204" s="7">
        <f t="shared" si="124"/>
        <v>-0.20146666666666666</v>
      </c>
    </row>
    <row r="205" spans="1:26" s="28" customFormat="1" outlineLevel="1" collapsed="1" x14ac:dyDescent="0.25">
      <c r="A205" s="27"/>
      <c r="B205" s="14" t="str">
        <f>CONCATENATE("     ","Utilities                                         ")</f>
        <v xml:space="preserve">     Utilities                                         </v>
      </c>
      <c r="C205" s="14"/>
      <c r="D205" s="1">
        <f>SUM(OSRRefD22_25x_0)</f>
        <v>6211.01</v>
      </c>
      <c r="E205" s="1"/>
      <c r="F205" s="5">
        <f t="shared" ref="F205:F206" si="125">IF(D$12=0,0,D205/D$12)</f>
        <v>1.674544914640945E-2</v>
      </c>
      <c r="G205" s="1"/>
      <c r="H205" s="1">
        <f>SUM(OSRRefH22_25x_0)</f>
        <v>6926</v>
      </c>
      <c r="I205" s="1"/>
      <c r="J205" s="5">
        <f t="shared" ref="J205:J206" si="126">IF(H$12=0,0,H205/H$12)</f>
        <v>5.1734208965569786E-3</v>
      </c>
      <c r="K205" s="1"/>
      <c r="L205" s="1">
        <f t="shared" ref="L205:L206" si="127">+D205-H205</f>
        <v>-714.98999999999978</v>
      </c>
      <c r="M205" s="1"/>
      <c r="N205" s="5">
        <f t="shared" ref="N205:N206" si="128">IF(H205=0,0,L205/H205)</f>
        <v>-0.10323274617383768</v>
      </c>
      <c r="O205" s="14"/>
      <c r="P205" s="1">
        <f>SUM(OSRRefP22_25x_0)</f>
        <v>18632.38</v>
      </c>
      <c r="Q205" s="1"/>
      <c r="R205" s="5">
        <f t="shared" ref="R205:R206" si="129">IF(P$12=0,0,P205/P$12)</f>
        <v>8.4828064368400544E-3</v>
      </c>
      <c r="S205" s="1"/>
      <c r="T205" s="1">
        <f>SUM(OSRRefT22_25x_0)</f>
        <v>20007</v>
      </c>
      <c r="U205" s="1"/>
      <c r="V205" s="5">
        <f t="shared" ref="V205:V206" si="130">IF(T$12=0,0,T205/T$12)</f>
        <v>5.4977199314674187E-3</v>
      </c>
      <c r="W205" s="1"/>
      <c r="X205" s="1">
        <f t="shared" ref="X205:X206" si="131">+P205-T205</f>
        <v>-1374.619999999999</v>
      </c>
      <c r="Y205" s="1"/>
      <c r="Z205" s="5">
        <f t="shared" ref="Z205:Z206" si="132">IF(T205=0,0,X205/T205)</f>
        <v>-6.8706952566601642E-2</v>
      </c>
    </row>
    <row r="206" spans="1:26" s="24" customFormat="1" hidden="1" outlineLevel="2" x14ac:dyDescent="0.25">
      <c r="A206" s="29"/>
      <c r="B206" s="11" t="str">
        <f>CONCATENATE("          ", "6274", " - ", "UTILITIES")</f>
        <v xml:space="preserve">          6274 - UTILITIES</v>
      </c>
      <c r="C206" s="11"/>
      <c r="D206" s="6">
        <v>6211.01</v>
      </c>
      <c r="E206" s="2"/>
      <c r="F206" s="7">
        <f t="shared" si="125"/>
        <v>1.674544914640945E-2</v>
      </c>
      <c r="G206" s="2"/>
      <c r="H206" s="6">
        <v>6926</v>
      </c>
      <c r="I206" s="2"/>
      <c r="J206" s="7">
        <f t="shared" si="126"/>
        <v>5.1734208965569786E-3</v>
      </c>
      <c r="K206" s="2"/>
      <c r="L206" s="6">
        <f t="shared" si="127"/>
        <v>-714.98999999999978</v>
      </c>
      <c r="M206" s="2"/>
      <c r="N206" s="7">
        <f t="shared" si="128"/>
        <v>-0.10323274617383768</v>
      </c>
      <c r="O206" s="11"/>
      <c r="P206" s="6">
        <v>18632.38</v>
      </c>
      <c r="Q206" s="2"/>
      <c r="R206" s="7">
        <f t="shared" si="129"/>
        <v>8.4828064368400544E-3</v>
      </c>
      <c r="S206" s="2"/>
      <c r="T206" s="6">
        <v>20007</v>
      </c>
      <c r="U206" s="2"/>
      <c r="V206" s="7">
        <f t="shared" si="130"/>
        <v>5.4977199314674187E-3</v>
      </c>
      <c r="W206" s="2"/>
      <c r="X206" s="6">
        <f t="shared" si="131"/>
        <v>-1374.619999999999</v>
      </c>
      <c r="Y206" s="2"/>
      <c r="Z206" s="7">
        <f t="shared" si="132"/>
        <v>-6.8706952566601642E-2</v>
      </c>
    </row>
    <row r="207" spans="1:26" s="61" customFormat="1" x14ac:dyDescent="0.25">
      <c r="A207" s="36"/>
      <c r="B207" s="36"/>
      <c r="C207" s="36"/>
      <c r="D207" s="1"/>
      <c r="E207" s="1"/>
      <c r="F207" s="5"/>
      <c r="G207" s="1"/>
      <c r="H207" s="1"/>
      <c r="I207" s="1"/>
      <c r="J207" s="5"/>
      <c r="K207" s="1"/>
      <c r="L207" s="1"/>
      <c r="M207" s="1"/>
      <c r="N207" s="5"/>
      <c r="O207" s="36"/>
      <c r="P207" s="1"/>
      <c r="Q207" s="1"/>
      <c r="R207" s="5"/>
      <c r="S207" s="1"/>
      <c r="T207" s="1"/>
      <c r="U207" s="1"/>
      <c r="V207" s="5"/>
      <c r="W207" s="1"/>
      <c r="X207" s="1"/>
      <c r="Y207" s="1"/>
      <c r="Z207" s="5"/>
    </row>
    <row r="208" spans="1:26" s="23" customFormat="1" collapsed="1" x14ac:dyDescent="0.25">
      <c r="A208" s="10"/>
      <c r="B208" s="25" t="s">
        <v>0</v>
      </c>
      <c r="C208" s="10"/>
      <c r="D208" s="4">
        <f>SUM(OSRRefD25x_0)</f>
        <v>166664.99</v>
      </c>
      <c r="E208" s="4"/>
      <c r="F208" s="12">
        <f t="shared" ref="F208:F212" si="133">IF(D$12=0,0,D208/D$12)</f>
        <v>0.44934400597194968</v>
      </c>
      <c r="G208" s="4"/>
      <c r="H208" s="4">
        <f>SUM(OSRRefH25x_0)</f>
        <v>127884</v>
      </c>
      <c r="I208" s="4"/>
      <c r="J208" s="12">
        <f t="shared" ref="J208:J212" si="134">IF(H$12=0,0,H208/H$12)</f>
        <v>9.5523788324471934E-2</v>
      </c>
      <c r="K208" s="4"/>
      <c r="L208" s="4">
        <f t="shared" ref="L208:L212" si="135">+D208-H208</f>
        <v>38780.989999999991</v>
      </c>
      <c r="M208" s="4"/>
      <c r="N208" s="12">
        <f t="shared" ref="N208:N212" si="136">IF(H208=0,0,L208/H208)</f>
        <v>0.30325130587094545</v>
      </c>
      <c r="O208" s="10"/>
      <c r="P208" s="4">
        <f>SUM(OSRRefP25x_0)</f>
        <v>421405.64</v>
      </c>
      <c r="Q208" s="4"/>
      <c r="R208" s="12">
        <f t="shared" ref="R208:R212" si="137">IF(P$12=0,0,P208/P$12)</f>
        <v>0.19185431359347022</v>
      </c>
      <c r="S208" s="4"/>
      <c r="T208" s="4">
        <f>SUM(OSRRefT25x_0)</f>
        <v>198034</v>
      </c>
      <c r="U208" s="4"/>
      <c r="V208" s="12">
        <f t="shared" ref="V208:V212" si="138">IF(T$12=0,0,T208/T$12)</f>
        <v>5.4417727240876637E-2</v>
      </c>
      <c r="W208" s="4"/>
      <c r="X208" s="4">
        <f t="shared" ref="X208:X212" si="139">+P208-T208</f>
        <v>223371.64</v>
      </c>
      <c r="Y208" s="4"/>
      <c r="Z208" s="12">
        <f t="shared" ref="Z208:Z212" si="140">IF(T208=0,0,X208/T208)</f>
        <v>1.1279459082783765</v>
      </c>
    </row>
    <row r="209" spans="1:26" s="24" customFormat="1" hidden="1" outlineLevel="1" x14ac:dyDescent="0.25">
      <c r="A209" s="51"/>
      <c r="B209" s="11" t="str">
        <f>CONCATENATE("          ", "9150", " - ", "MISC. INCOME")</f>
        <v xml:space="preserve">          9150 - MISC. INCOME</v>
      </c>
      <c r="C209" s="11"/>
      <c r="D209" s="2">
        <f>--18837.05</f>
        <v>18837.05</v>
      </c>
      <c r="E209" s="2"/>
      <c r="F209" s="22">
        <f t="shared" si="133"/>
        <v>5.0786403957387302E-2</v>
      </c>
      <c r="G209" s="2"/>
      <c r="H209" s="2">
        <v>20650</v>
      </c>
      <c r="I209" s="2"/>
      <c r="J209" s="22">
        <f t="shared" si="134"/>
        <v>1.5424652254389491E-2</v>
      </c>
      <c r="K209" s="2"/>
      <c r="L209" s="2">
        <f t="shared" si="135"/>
        <v>-1812.9500000000007</v>
      </c>
      <c r="M209" s="2"/>
      <c r="N209" s="22">
        <f t="shared" si="136"/>
        <v>-8.7794188861985506E-2</v>
      </c>
      <c r="O209" s="11"/>
      <c r="P209" s="2">
        <f>--111367.41</f>
        <v>111367.41</v>
      </c>
      <c r="Q209" s="2"/>
      <c r="R209" s="22">
        <f t="shared" si="137"/>
        <v>5.0702496535719295E-2</v>
      </c>
      <c r="S209" s="2"/>
      <c r="T209" s="2">
        <v>60250</v>
      </c>
      <c r="U209" s="2"/>
      <c r="V209" s="22">
        <f t="shared" si="138"/>
        <v>1.6556086663213475E-2</v>
      </c>
      <c r="W209" s="2"/>
      <c r="X209" s="2">
        <f t="shared" si="139"/>
        <v>51117.41</v>
      </c>
      <c r="Y209" s="2"/>
      <c r="Z209" s="22">
        <f t="shared" si="140"/>
        <v>0.84842174273858928</v>
      </c>
    </row>
    <row r="210" spans="1:26" s="24" customFormat="1" hidden="1" outlineLevel="1" x14ac:dyDescent="0.25">
      <c r="A210" s="51"/>
      <c r="B210" s="11" t="str">
        <f>CONCATENATE("          ", "9151", " - ", "MISC. INCOME")</f>
        <v xml:space="preserve">          9151 - MISC. INCOME</v>
      </c>
      <c r="C210" s="11"/>
      <c r="D210" s="2">
        <f>--147285.39</f>
        <v>147285.39000000001</v>
      </c>
      <c r="E210" s="2"/>
      <c r="F210" s="22">
        <f t="shared" si="133"/>
        <v>0.39709483775651355</v>
      </c>
      <c r="G210" s="2"/>
      <c r="H210" s="2">
        <v>107234</v>
      </c>
      <c r="I210" s="2"/>
      <c r="J210" s="22">
        <f t="shared" si="134"/>
        <v>8.0099136070082455E-2</v>
      </c>
      <c r="K210" s="2"/>
      <c r="L210" s="2">
        <f t="shared" si="135"/>
        <v>40051.390000000014</v>
      </c>
      <c r="M210" s="2"/>
      <c r="N210" s="22">
        <f t="shared" si="136"/>
        <v>0.37349525337113243</v>
      </c>
      <c r="O210" s="11"/>
      <c r="P210" s="2">
        <f>--147285.39</f>
        <v>147285.39000000001</v>
      </c>
      <c r="Q210" s="2"/>
      <c r="R210" s="22">
        <f t="shared" si="137"/>
        <v>6.7054957785559213E-2</v>
      </c>
      <c r="S210" s="2"/>
      <c r="T210" s="2">
        <v>137784</v>
      </c>
      <c r="U210" s="2"/>
      <c r="V210" s="22">
        <f t="shared" si="138"/>
        <v>3.7861640577663162E-2</v>
      </c>
      <c r="W210" s="2"/>
      <c r="X210" s="2">
        <f t="shared" si="139"/>
        <v>9501.390000000014</v>
      </c>
      <c r="Y210" s="2"/>
      <c r="Z210" s="22">
        <f t="shared" si="140"/>
        <v>6.8958587354119597E-2</v>
      </c>
    </row>
    <row r="211" spans="1:26" s="24" customFormat="1" hidden="1" outlineLevel="1" x14ac:dyDescent="0.25">
      <c r="A211" s="51"/>
      <c r="B211" s="11" t="str">
        <f>CONCATENATE("          ", "9152", " - ", "MISC. INCOME")</f>
        <v xml:space="preserve">          9152 - MISC. INCOME</v>
      </c>
      <c r="C211" s="11"/>
      <c r="D211" s="2">
        <f>--542.55</f>
        <v>542.54999999999995</v>
      </c>
      <c r="E211" s="2"/>
      <c r="F211" s="22">
        <f t="shared" si="133"/>
        <v>1.4627642580489239E-3</v>
      </c>
      <c r="G211" s="2"/>
      <c r="H211" s="2"/>
      <c r="I211" s="2"/>
      <c r="J211" s="22">
        <f t="shared" si="134"/>
        <v>0</v>
      </c>
      <c r="K211" s="2"/>
      <c r="L211" s="2">
        <f t="shared" si="135"/>
        <v>542.54999999999995</v>
      </c>
      <c r="M211" s="2"/>
      <c r="N211" s="22">
        <f t="shared" si="136"/>
        <v>0</v>
      </c>
      <c r="O211" s="11"/>
      <c r="P211" s="2">
        <f>--2088.94</f>
        <v>2088.94</v>
      </c>
      <c r="Q211" s="2"/>
      <c r="R211" s="22">
        <f t="shared" si="137"/>
        <v>9.5103651160896585E-4</v>
      </c>
      <c r="S211" s="2"/>
      <c r="T211" s="2"/>
      <c r="U211" s="2"/>
      <c r="V211" s="22">
        <f t="shared" si="138"/>
        <v>0</v>
      </c>
      <c r="W211" s="2"/>
      <c r="X211" s="2">
        <f t="shared" si="139"/>
        <v>2088.94</v>
      </c>
      <c r="Y211" s="2"/>
      <c r="Z211" s="22">
        <f t="shared" si="140"/>
        <v>0</v>
      </c>
    </row>
    <row r="212" spans="1:26" s="24" customFormat="1" hidden="1" outlineLevel="1" x14ac:dyDescent="0.25">
      <c r="A212" s="51"/>
      <c r="B212" s="11" t="str">
        <f>CONCATENATE("          ", "9163", " - ", "MISC. INCOME")</f>
        <v xml:space="preserve">          9163 - MISC. INCOME</v>
      </c>
      <c r="C212" s="11"/>
      <c r="D212" s="2">
        <f>0</f>
        <v>0</v>
      </c>
      <c r="E212" s="2"/>
      <c r="F212" s="22">
        <f t="shared" si="133"/>
        <v>0</v>
      </c>
      <c r="G212" s="2"/>
      <c r="H212" s="2"/>
      <c r="I212" s="2"/>
      <c r="J212" s="22">
        <f t="shared" si="134"/>
        <v>0</v>
      </c>
      <c r="K212" s="2"/>
      <c r="L212" s="2">
        <f t="shared" si="135"/>
        <v>0</v>
      </c>
      <c r="M212" s="2"/>
      <c r="N212" s="22">
        <f t="shared" si="136"/>
        <v>0</v>
      </c>
      <c r="O212" s="11"/>
      <c r="P212" s="2">
        <f>--160663.9</f>
        <v>160663.9</v>
      </c>
      <c r="Q212" s="2"/>
      <c r="R212" s="22">
        <f t="shared" si="137"/>
        <v>7.3145822760582749E-2</v>
      </c>
      <c r="S212" s="2"/>
      <c r="T212" s="2"/>
      <c r="U212" s="2"/>
      <c r="V212" s="22">
        <f t="shared" si="138"/>
        <v>0</v>
      </c>
      <c r="W212" s="2"/>
      <c r="X212" s="2">
        <f t="shared" si="139"/>
        <v>160663.9</v>
      </c>
      <c r="Y212" s="2"/>
      <c r="Z212" s="22">
        <f t="shared" si="140"/>
        <v>0</v>
      </c>
    </row>
    <row r="213" spans="1:26" x14ac:dyDescent="0.25">
      <c r="A213" s="9"/>
      <c r="B213" s="10"/>
      <c r="C213" s="10"/>
      <c r="D213" s="3"/>
      <c r="E213" s="3"/>
      <c r="F213" s="8"/>
      <c r="G213" s="3"/>
      <c r="H213" s="3"/>
      <c r="I213" s="3"/>
      <c r="J213" s="8"/>
      <c r="K213" s="3"/>
      <c r="L213" s="3"/>
      <c r="M213" s="3"/>
      <c r="N213" s="8"/>
      <c r="O213" s="10"/>
      <c r="P213" s="3"/>
      <c r="Q213" s="3"/>
      <c r="R213" s="8"/>
      <c r="S213" s="3"/>
      <c r="T213" s="3"/>
      <c r="U213" s="3"/>
      <c r="V213" s="8"/>
      <c r="W213" s="3"/>
      <c r="X213" s="3"/>
      <c r="Y213" s="3"/>
      <c r="Z213" s="8"/>
    </row>
    <row r="214" spans="1:26" s="23" customFormat="1" x14ac:dyDescent="0.25">
      <c r="A214" s="10"/>
      <c r="B214" s="26" t="s">
        <v>3</v>
      </c>
      <c r="C214" s="26"/>
      <c r="D214" s="20">
        <f>+D106-D108+D208</f>
        <v>14391.640000000101</v>
      </c>
      <c r="E214" s="13"/>
      <c r="F214" s="21">
        <f>IF(D$12=0,0,D214/D$12)</f>
        <v>3.8801173360441185E-2</v>
      </c>
      <c r="G214" s="13"/>
      <c r="H214" s="20">
        <f>+H106-H108+H208</f>
        <v>157160.32817918458</v>
      </c>
      <c r="I214" s="13"/>
      <c r="J214" s="21">
        <f>IF(H$12=0,0,H214/H$12)</f>
        <v>0.1173919327045836</v>
      </c>
      <c r="K214" s="16"/>
      <c r="L214" s="20">
        <f>+D214-H214</f>
        <v>-142768.68817918448</v>
      </c>
      <c r="M214" s="16"/>
      <c r="N214" s="21">
        <f>IF(H214=0,0,L214/H214)</f>
        <v>-0.90842701738576392</v>
      </c>
      <c r="O214" s="25"/>
      <c r="P214" s="20">
        <f>+P106-P108+P208</f>
        <v>266421.51999999944</v>
      </c>
      <c r="Q214" s="13"/>
      <c r="R214" s="21">
        <f>IF(P$12=0,0,P214/P$12)</f>
        <v>0.12129433731861987</v>
      </c>
      <c r="S214" s="13"/>
      <c r="T214" s="20">
        <f>+T106-T108+T208</f>
        <v>159634.04196082498</v>
      </c>
      <c r="U214" s="13"/>
      <c r="V214" s="21">
        <f>IF(T$12=0,0,T214/T$12)</f>
        <v>4.3865809678049372E-2</v>
      </c>
      <c r="W214" s="16"/>
      <c r="X214" s="20">
        <f>+P214-T214</f>
        <v>106787.47803917446</v>
      </c>
      <c r="Y214" s="16"/>
      <c r="Z214" s="21">
        <f>IF(T214=0,0,X214/T214)</f>
        <v>0.66895178952732814</v>
      </c>
    </row>
    <row r="215" spans="1:26" x14ac:dyDescent="0.25">
      <c r="A215" s="9"/>
      <c r="B215" s="10"/>
      <c r="C215" s="9"/>
      <c r="D215" s="3"/>
      <c r="E215" s="3"/>
      <c r="F215" s="8"/>
      <c r="G215" s="3"/>
      <c r="H215" s="3"/>
      <c r="I215" s="3"/>
      <c r="J215" s="8"/>
      <c r="K215" s="3"/>
      <c r="L215" s="3"/>
      <c r="M215" s="3"/>
      <c r="N215" s="8"/>
      <c r="P215" s="3"/>
      <c r="Q215" s="3"/>
      <c r="R215" s="8"/>
      <c r="S215" s="3"/>
      <c r="T215" s="3"/>
      <c r="U215" s="3"/>
      <c r="V215" s="8"/>
      <c r="W215" s="3"/>
      <c r="X215" s="3"/>
      <c r="Y215" s="3"/>
      <c r="Z215" s="8"/>
    </row>
    <row r="216" spans="1:26" s="23" customFormat="1" x14ac:dyDescent="0.25">
      <c r="A216" s="52"/>
      <c r="B216" s="10" t="s">
        <v>14</v>
      </c>
      <c r="C216" s="10"/>
      <c r="D216" s="4">
        <v>98685.319999999992</v>
      </c>
      <c r="E216" s="4"/>
      <c r="F216" s="12">
        <f>IF(D$12=0,0,D216/D$12)</f>
        <v>0.26606461872660697</v>
      </c>
      <c r="G216" s="4"/>
      <c r="H216" s="4">
        <v>150189</v>
      </c>
      <c r="I216" s="4"/>
      <c r="J216" s="12">
        <f>IF(H$12=0,0,H216/H$12)</f>
        <v>0.1121846536287895</v>
      </c>
      <c r="K216" s="4"/>
      <c r="L216" s="4">
        <f>+D216-H216</f>
        <v>-51503.680000000008</v>
      </c>
      <c r="M216" s="4"/>
      <c r="N216" s="12">
        <f>IF(H216=0,0,L216/H216)</f>
        <v>-0.34292578018363534</v>
      </c>
      <c r="O216" s="10"/>
      <c r="P216" s="4">
        <v>406910.31</v>
      </c>
      <c r="Q216" s="4"/>
      <c r="R216" s="12">
        <f>IF(P$12=0,0,P216/P$12)</f>
        <v>0.1852549914119711</v>
      </c>
      <c r="S216" s="4"/>
      <c r="T216" s="4">
        <v>528222</v>
      </c>
      <c r="U216" s="4"/>
      <c r="V216" s="12">
        <f>IF(T$12=0,0,T216/T$12)</f>
        <v>0.14515002837204893</v>
      </c>
      <c r="W216" s="4"/>
      <c r="X216" s="4">
        <f>+P216-T216</f>
        <v>-121311.69</v>
      </c>
      <c r="Y216" s="4"/>
      <c r="Z216" s="12">
        <f>IF(T216=0,0,X216/T216)</f>
        <v>-0.22966042686597682</v>
      </c>
    </row>
    <row r="217" spans="1:26" x14ac:dyDescent="0.25">
      <c r="A217" s="9"/>
      <c r="B217" s="10"/>
      <c r="C217" s="10"/>
      <c r="D217" s="3"/>
      <c r="E217" s="3"/>
      <c r="F217" s="8"/>
      <c r="G217" s="3"/>
      <c r="H217" s="3"/>
      <c r="I217" s="3"/>
      <c r="J217" s="8"/>
      <c r="K217" s="3"/>
      <c r="L217" s="3"/>
      <c r="M217" s="3"/>
      <c r="N217" s="8"/>
      <c r="O217" s="10"/>
      <c r="P217" s="3"/>
      <c r="Q217" s="3"/>
      <c r="R217" s="8"/>
      <c r="S217" s="3"/>
      <c r="T217" s="3"/>
      <c r="U217" s="3"/>
      <c r="V217" s="8"/>
      <c r="W217" s="3"/>
      <c r="X217" s="3"/>
      <c r="Y217" s="3"/>
      <c r="Z217" s="8"/>
    </row>
    <row r="218" spans="1:26" s="23" customFormat="1" ht="15.75" thickBot="1" x14ac:dyDescent="0.3">
      <c r="A218" s="10"/>
      <c r="B218" s="26" t="s">
        <v>4</v>
      </c>
      <c r="C218" s="26"/>
      <c r="D218" s="33">
        <f>+D214-D216</f>
        <v>-84293.679999999891</v>
      </c>
      <c r="E218" s="13"/>
      <c r="F218" s="34">
        <f>IF(D$12=0,0,D218/D$12)</f>
        <v>-0.2272634453661658</v>
      </c>
      <c r="G218" s="13"/>
      <c r="H218" s="33">
        <f>+H214-H216</f>
        <v>6971.3281791845802</v>
      </c>
      <c r="I218" s="13"/>
      <c r="J218" s="34">
        <f>IF(H$12=0,0,H218/H$12)</f>
        <v>5.2072790757941119E-3</v>
      </c>
      <c r="K218" s="16"/>
      <c r="L218" s="33">
        <f>D218-H218</f>
        <v>-91265.008179184471</v>
      </c>
      <c r="M218" s="16"/>
      <c r="N218" s="34">
        <f>IF(H218=0,0,L218/H218)</f>
        <v>-13.091480681068658</v>
      </c>
      <c r="O218" s="25"/>
      <c r="P218" s="33">
        <f>+P214-P216</f>
        <v>-140488.79000000056</v>
      </c>
      <c r="Q218" s="13"/>
      <c r="R218" s="34">
        <f>IF(P$12=0,0,P218/P$12)</f>
        <v>-6.3960654093351221E-2</v>
      </c>
      <c r="S218" s="13"/>
      <c r="T218" s="33">
        <f>+T214-T216</f>
        <v>-368587.95803917502</v>
      </c>
      <c r="U218" s="13"/>
      <c r="V218" s="34">
        <f>IF(T$12=0,0,T218/T$12)</f>
        <v>-0.10128421869399956</v>
      </c>
      <c r="W218" s="16"/>
      <c r="X218" s="33">
        <f>P218-T218</f>
        <v>228099.16803917446</v>
      </c>
      <c r="Y218" s="16"/>
      <c r="Z218" s="34">
        <f>IF(T218=0,0,X218/T218)</f>
        <v>-0.61884595810623622</v>
      </c>
    </row>
    <row r="219" spans="1:26" ht="15.75" thickTop="1" x14ac:dyDescent="0.25">
      <c r="A219" s="9"/>
      <c r="B219" s="9"/>
      <c r="C219" s="9"/>
      <c r="D219" s="3"/>
      <c r="E219" s="3"/>
      <c r="F219" s="8"/>
      <c r="G219" s="3"/>
      <c r="H219" s="3"/>
      <c r="I219" s="3"/>
      <c r="J219" s="8"/>
      <c r="K219" s="3"/>
      <c r="L219" s="3"/>
      <c r="M219" s="3"/>
      <c r="N219" s="8"/>
      <c r="P219" s="3"/>
      <c r="Q219" s="3"/>
      <c r="R219" s="8"/>
      <c r="S219" s="3"/>
      <c r="T219" s="3"/>
      <c r="U219" s="3"/>
      <c r="V219" s="8"/>
      <c r="W219" s="3"/>
      <c r="X219" s="3"/>
      <c r="Y219" s="3"/>
      <c r="Z219" s="8"/>
    </row>
    <row r="220" spans="1:26" x14ac:dyDescent="0.25">
      <c r="A220" s="9"/>
      <c r="B220" s="9"/>
      <c r="C220" s="9"/>
      <c r="D220" s="3"/>
      <c r="E220" s="3"/>
      <c r="F220" s="8"/>
      <c r="G220" s="3"/>
      <c r="H220" s="3"/>
      <c r="I220" s="3"/>
      <c r="J220" s="8"/>
      <c r="K220" s="3"/>
      <c r="L220" s="3"/>
      <c r="M220" s="3"/>
      <c r="N220" s="8"/>
      <c r="P220" s="3"/>
      <c r="Q220" s="3"/>
      <c r="R220" s="8"/>
      <c r="S220" s="3"/>
      <c r="T220" s="3"/>
      <c r="U220" s="3"/>
      <c r="V220" s="8"/>
      <c r="W220" s="3"/>
      <c r="X220" s="3"/>
      <c r="Y220" s="3"/>
      <c r="Z220" s="8"/>
    </row>
    <row r="221" spans="1:26" s="23" customFormat="1" ht="15.75" thickBot="1" x14ac:dyDescent="0.3">
      <c r="A221" s="10"/>
      <c r="B221" s="26" t="s">
        <v>5</v>
      </c>
      <c r="C221" s="26"/>
      <c r="D221" s="31">
        <f>SUM(D218:D220)</f>
        <v>-84293.679999999891</v>
      </c>
      <c r="E221" s="13"/>
      <c r="F221" s="32">
        <f>IF(D$12=0,0,D221/D$12)</f>
        <v>-0.2272634453661658</v>
      </c>
      <c r="G221" s="13"/>
      <c r="H221" s="31">
        <f>SUM(H218:H220)</f>
        <v>6971.3281791845802</v>
      </c>
      <c r="I221" s="13"/>
      <c r="J221" s="32">
        <f>IF(H$12=0,0,H221/H$12)</f>
        <v>5.2072790757941119E-3</v>
      </c>
      <c r="K221" s="16"/>
      <c r="L221" s="31">
        <f>+D221-H221</f>
        <v>-91265.008179184471</v>
      </c>
      <c r="M221" s="16"/>
      <c r="N221" s="32">
        <f>IF(H221=0,0,L221/H221)</f>
        <v>-13.091480681068658</v>
      </c>
      <c r="O221" s="25"/>
      <c r="P221" s="31">
        <f>SUM(P218:P220)</f>
        <v>-140488.79000000056</v>
      </c>
      <c r="Q221" s="13"/>
      <c r="R221" s="32">
        <f>IF(P$12=0,0,P221/P$12)</f>
        <v>-6.3960654093351221E-2</v>
      </c>
      <c r="S221" s="13"/>
      <c r="T221" s="31">
        <f>SUM(T218:T220)</f>
        <v>-368587.95803917502</v>
      </c>
      <c r="U221" s="13"/>
      <c r="V221" s="32">
        <f>IF(T$12=0,0,T221/T$12)</f>
        <v>-0.10128421869399956</v>
      </c>
      <c r="W221" s="16"/>
      <c r="X221" s="31">
        <f>+P221-T221</f>
        <v>228099.16803917446</v>
      </c>
      <c r="Y221" s="16"/>
      <c r="Z221" s="32">
        <f>IF(T221=0,0,X221/T221)</f>
        <v>-0.61884595810623622</v>
      </c>
    </row>
    <row r="222" spans="1:26" ht="15.75" thickTop="1" x14ac:dyDescent="0.25">
      <c r="A222" s="9"/>
      <c r="C222" s="9"/>
      <c r="D222" s="17"/>
      <c r="E222" s="17"/>
      <c r="G222" s="17"/>
      <c r="H222" s="17"/>
      <c r="I222" s="17"/>
      <c r="J222" s="43"/>
      <c r="K222" s="17"/>
      <c r="L222" s="17"/>
      <c r="M222" s="17"/>
      <c r="P222" s="17"/>
      <c r="Q222" s="17"/>
      <c r="R222" s="43"/>
      <c r="S222" s="17"/>
      <c r="T222" s="17"/>
      <c r="U222" s="17"/>
      <c r="V222" s="43"/>
      <c r="W222" s="17"/>
      <c r="X222" s="17"/>
    </row>
    <row r="223" spans="1:26" x14ac:dyDescent="0.25">
      <c r="A223" s="9"/>
      <c r="B223" s="55">
        <v>44123.571412152778</v>
      </c>
      <c r="D223" s="17"/>
      <c r="E223" s="17"/>
      <c r="G223" s="17"/>
      <c r="H223" s="17"/>
      <c r="I223" s="17"/>
      <c r="J223" s="43"/>
      <c r="K223" s="17"/>
      <c r="L223" s="17"/>
      <c r="M223" s="17"/>
      <c r="P223" s="17"/>
      <c r="Q223" s="17"/>
      <c r="R223" s="43"/>
      <c r="S223" s="17"/>
      <c r="T223" s="17"/>
      <c r="U223" s="17"/>
      <c r="V223" s="43"/>
      <c r="W223" s="17"/>
      <c r="X223" s="17"/>
    </row>
    <row r="224" spans="1:26" x14ac:dyDescent="0.25">
      <c r="A224" s="9"/>
      <c r="B224" s="53" t="s">
        <v>314</v>
      </c>
      <c r="D224" s="17"/>
      <c r="E224" s="17"/>
      <c r="G224" s="17"/>
      <c r="H224" s="17"/>
      <c r="I224" s="17"/>
      <c r="J224" s="43"/>
      <c r="K224" s="17"/>
      <c r="L224" s="17"/>
      <c r="M224" s="17"/>
      <c r="P224" s="17"/>
      <c r="Q224" s="17"/>
      <c r="R224" s="43"/>
      <c r="S224" s="17"/>
      <c r="T224" s="17"/>
      <c r="U224" s="17"/>
      <c r="V224" s="43"/>
      <c r="W224" s="17"/>
      <c r="X224" s="17"/>
    </row>
    <row r="225" spans="1:24" x14ac:dyDescent="0.25">
      <c r="A225" s="9"/>
      <c r="B225" s="62"/>
      <c r="D225" s="17"/>
      <c r="E225" s="17"/>
      <c r="G225" s="17"/>
      <c r="H225" s="17"/>
      <c r="I225" s="17"/>
      <c r="J225" s="43"/>
      <c r="K225" s="17"/>
      <c r="L225" s="17"/>
      <c r="M225" s="17"/>
      <c r="P225" s="17"/>
      <c r="Q225" s="17"/>
      <c r="R225" s="43"/>
      <c r="S225" s="17"/>
      <c r="T225" s="17"/>
      <c r="U225" s="17"/>
      <c r="V225" s="43"/>
      <c r="W225" s="17"/>
      <c r="X225" s="17"/>
    </row>
    <row r="226" spans="1:24" x14ac:dyDescent="0.25">
      <c r="D226" s="17"/>
      <c r="E226" s="17"/>
      <c r="G226" s="17"/>
      <c r="H226" s="17"/>
      <c r="I226" s="17"/>
      <c r="J226" s="43"/>
      <c r="K226" s="17"/>
      <c r="L226" s="17"/>
      <c r="M226" s="17"/>
      <c r="P226" s="17"/>
      <c r="Q226" s="17"/>
      <c r="R226" s="43"/>
      <c r="S226" s="17"/>
      <c r="T226" s="17"/>
      <c r="U226" s="17"/>
      <c r="V226" s="43"/>
      <c r="W226" s="17"/>
      <c r="X226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1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309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369144.87</v>
      </c>
      <c r="E12" s="4"/>
      <c r="F12" s="12"/>
      <c r="G12" s="4"/>
      <c r="H12" s="4">
        <f>SUM(OSRRefH13x_0)</f>
        <v>1287884</v>
      </c>
      <c r="I12" s="4"/>
      <c r="J12" s="12"/>
      <c r="K12" s="4"/>
      <c r="L12" s="4">
        <f t="shared" ref="L12:L72" si="0">+D12-H12</f>
        <v>-918739.13</v>
      </c>
      <c r="M12" s="4"/>
      <c r="N12" s="12">
        <f t="shared" ref="N12:N72" si="1">IF(H12=0,0,L12/H12)</f>
        <v>-0.71337102565137855</v>
      </c>
      <c r="O12" s="10"/>
      <c r="P12" s="4">
        <f>SUM(OSRRefP13x_0)</f>
        <v>2193901.2299999995</v>
      </c>
      <c r="Q12" s="4"/>
      <c r="R12" s="12"/>
      <c r="S12" s="4"/>
      <c r="T12" s="4">
        <f>SUM(OSRRefT13x_0)</f>
        <v>3583463</v>
      </c>
      <c r="U12" s="4"/>
      <c r="V12" s="12"/>
      <c r="W12" s="4"/>
      <c r="X12" s="4">
        <f t="shared" ref="X12:X72" si="2">+P12-T12</f>
        <v>-1389561.7700000005</v>
      </c>
      <c r="Y12" s="4"/>
      <c r="Z12" s="12">
        <f t="shared" ref="Z12:Z72" si="3">IF(T12=0,0,X12/T12)</f>
        <v>-0.38777064811329165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-8123.23</f>
        <v>-8123.23</v>
      </c>
      <c r="E13" s="2"/>
      <c r="F13" s="22"/>
      <c r="G13" s="2"/>
      <c r="H13" s="2">
        <v>1270349</v>
      </c>
      <c r="I13" s="2"/>
      <c r="J13" s="22"/>
      <c r="K13" s="2"/>
      <c r="L13" s="2">
        <f t="shared" si="0"/>
        <v>-1278472.23</v>
      </c>
      <c r="M13" s="2"/>
      <c r="N13" s="22">
        <f t="shared" si="1"/>
        <v>-1.0063944868693564</v>
      </c>
      <c r="O13" s="11"/>
      <c r="P13" s="2">
        <f>-36077.08</f>
        <v>-36077.08</v>
      </c>
      <c r="Q13" s="2"/>
      <c r="R13" s="22"/>
      <c r="S13" s="2"/>
      <c r="T13" s="2">
        <v>3558102</v>
      </c>
      <c r="U13" s="2"/>
      <c r="V13" s="22"/>
      <c r="W13" s="2"/>
      <c r="X13" s="2">
        <f t="shared" si="2"/>
        <v>-3594179.08</v>
      </c>
      <c r="Y13" s="2"/>
      <c r="Z13" s="22">
        <f t="shared" si="3"/>
        <v>-1.0101394170262685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--110499.32</f>
        <v>110499.32</v>
      </c>
      <c r="E14" s="2"/>
      <c r="F14" s="22"/>
      <c r="G14" s="2"/>
      <c r="H14" s="2"/>
      <c r="I14" s="2"/>
      <c r="J14" s="22"/>
      <c r="K14" s="2"/>
      <c r="L14" s="2">
        <f t="shared" si="0"/>
        <v>110499.32</v>
      </c>
      <c r="M14" s="2"/>
      <c r="N14" s="22">
        <f t="shared" si="1"/>
        <v>0</v>
      </c>
      <c r="O14" s="11"/>
      <c r="P14" s="2">
        <f>--694696.64</f>
        <v>694696.64</v>
      </c>
      <c r="Q14" s="2"/>
      <c r="R14" s="22"/>
      <c r="S14" s="2"/>
      <c r="T14" s="2"/>
      <c r="U14" s="2"/>
      <c r="V14" s="22"/>
      <c r="W14" s="2"/>
      <c r="X14" s="2">
        <f t="shared" si="2"/>
        <v>694696.64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--38043.74</f>
        <v>38043.74</v>
      </c>
      <c r="E15" s="2"/>
      <c r="F15" s="22"/>
      <c r="G15" s="2"/>
      <c r="H15" s="2"/>
      <c r="I15" s="2"/>
      <c r="J15" s="22"/>
      <c r="K15" s="2"/>
      <c r="L15" s="2">
        <f t="shared" si="0"/>
        <v>38043.74</v>
      </c>
      <c r="M15" s="2"/>
      <c r="N15" s="22">
        <f t="shared" si="1"/>
        <v>0</v>
      </c>
      <c r="O15" s="11"/>
      <c r="P15" s="2">
        <f>--316655.9</f>
        <v>316655.90000000002</v>
      </c>
      <c r="Q15" s="2"/>
      <c r="R15" s="22"/>
      <c r="S15" s="2"/>
      <c r="T15" s="2"/>
      <c r="U15" s="2"/>
      <c r="V15" s="22"/>
      <c r="W15" s="2"/>
      <c r="X15" s="2">
        <f t="shared" si="2"/>
        <v>316655.90000000002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22"/>
      <c r="G16" s="2"/>
      <c r="H16" s="2"/>
      <c r="I16" s="2"/>
      <c r="J16" s="22"/>
      <c r="K16" s="2"/>
      <c r="L16" s="2">
        <f t="shared" si="0"/>
        <v>1539.79</v>
      </c>
      <c r="M16" s="2"/>
      <c r="N16" s="22">
        <f t="shared" si="1"/>
        <v>0</v>
      </c>
      <c r="O16" s="11"/>
      <c r="P16" s="2">
        <f>--10595.63</f>
        <v>10595.63</v>
      </c>
      <c r="Q16" s="2"/>
      <c r="R16" s="22"/>
      <c r="S16" s="2"/>
      <c r="T16" s="2"/>
      <c r="U16" s="2"/>
      <c r="V16" s="22"/>
      <c r="W16" s="2"/>
      <c r="X16" s="2">
        <f t="shared" si="2"/>
        <v>10595.63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22"/>
      <c r="G17" s="2"/>
      <c r="H17" s="2"/>
      <c r="I17" s="2"/>
      <c r="J17" s="22"/>
      <c r="K17" s="2"/>
      <c r="L17" s="2">
        <f t="shared" si="0"/>
        <v>284.22000000000003</v>
      </c>
      <c r="M17" s="2"/>
      <c r="N17" s="22">
        <f t="shared" si="1"/>
        <v>0</v>
      </c>
      <c r="O17" s="11"/>
      <c r="P17" s="2">
        <f>--2105.11</f>
        <v>2105.11</v>
      </c>
      <c r="Q17" s="2"/>
      <c r="R17" s="22"/>
      <c r="S17" s="2"/>
      <c r="T17" s="2"/>
      <c r="U17" s="2"/>
      <c r="V17" s="22"/>
      <c r="W17" s="2"/>
      <c r="X17" s="2">
        <f t="shared" si="2"/>
        <v>2105.11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--39.9</f>
        <v>39.9</v>
      </c>
      <c r="Q18" s="2"/>
      <c r="R18" s="22"/>
      <c r="S18" s="2"/>
      <c r="T18" s="2"/>
      <c r="U18" s="2"/>
      <c r="V18" s="22"/>
      <c r="W18" s="2"/>
      <c r="X18" s="2">
        <f t="shared" si="2"/>
        <v>39.9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--97.51</f>
        <v>97.51</v>
      </c>
      <c r="E19" s="2"/>
      <c r="F19" s="22"/>
      <c r="G19" s="2"/>
      <c r="H19" s="2"/>
      <c r="I19" s="2"/>
      <c r="J19" s="22"/>
      <c r="K19" s="2"/>
      <c r="L19" s="2">
        <f t="shared" si="0"/>
        <v>97.51</v>
      </c>
      <c r="M19" s="2"/>
      <c r="N19" s="22">
        <f t="shared" si="1"/>
        <v>0</v>
      </c>
      <c r="O19" s="11"/>
      <c r="P19" s="2">
        <f>--304.44</f>
        <v>304.44</v>
      </c>
      <c r="Q19" s="2"/>
      <c r="R19" s="22"/>
      <c r="S19" s="2"/>
      <c r="T19" s="2"/>
      <c r="U19" s="2"/>
      <c r="V19" s="22"/>
      <c r="W19" s="2"/>
      <c r="X19" s="2">
        <f t="shared" si="2"/>
        <v>304.44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--48.87</f>
        <v>48.87</v>
      </c>
      <c r="E20" s="2"/>
      <c r="F20" s="22"/>
      <c r="G20" s="2"/>
      <c r="H20" s="2"/>
      <c r="I20" s="2"/>
      <c r="J20" s="22"/>
      <c r="K20" s="2"/>
      <c r="L20" s="2">
        <f t="shared" si="0"/>
        <v>48.87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--21.47</f>
        <v>21.47</v>
      </c>
      <c r="E21" s="2"/>
      <c r="F21" s="22"/>
      <c r="G21" s="2"/>
      <c r="H21" s="2"/>
      <c r="I21" s="2"/>
      <c r="J21" s="22"/>
      <c r="K21" s="2"/>
      <c r="L21" s="2">
        <f t="shared" si="0"/>
        <v>21.47</v>
      </c>
      <c r="M21" s="2"/>
      <c r="N21" s="22">
        <f t="shared" si="1"/>
        <v>0</v>
      </c>
      <c r="O21" s="11"/>
      <c r="P21" s="2">
        <f>--258.03</f>
        <v>258.02999999999997</v>
      </c>
      <c r="Q21" s="2"/>
      <c r="R21" s="22"/>
      <c r="S21" s="2"/>
      <c r="T21" s="2"/>
      <c r="U21" s="2"/>
      <c r="V21" s="22"/>
      <c r="W21" s="2"/>
      <c r="X21" s="2">
        <f t="shared" si="2"/>
        <v>258.02999999999997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--10773.55</f>
        <v>10773.55</v>
      </c>
      <c r="E22" s="2"/>
      <c r="F22" s="22"/>
      <c r="G22" s="2"/>
      <c r="H22" s="2"/>
      <c r="I22" s="2"/>
      <c r="J22" s="22"/>
      <c r="K22" s="2"/>
      <c r="L22" s="2">
        <f t="shared" si="0"/>
        <v>10773.55</v>
      </c>
      <c r="M22" s="2"/>
      <c r="N22" s="22">
        <f t="shared" si="1"/>
        <v>0</v>
      </c>
      <c r="O22" s="11"/>
      <c r="P22" s="2">
        <f>--32674.61</f>
        <v>32674.61</v>
      </c>
      <c r="Q22" s="2"/>
      <c r="R22" s="22"/>
      <c r="S22" s="2"/>
      <c r="T22" s="2"/>
      <c r="U22" s="2"/>
      <c r="V22" s="22"/>
      <c r="W22" s="2"/>
      <c r="X22" s="2">
        <f t="shared" si="2"/>
        <v>32674.61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--2807.8</f>
        <v>2807.8</v>
      </c>
      <c r="E23" s="2"/>
      <c r="F23" s="22"/>
      <c r="G23" s="2"/>
      <c r="H23" s="2"/>
      <c r="I23" s="2"/>
      <c r="J23" s="22"/>
      <c r="K23" s="2"/>
      <c r="L23" s="2">
        <f t="shared" si="0"/>
        <v>2807.8</v>
      </c>
      <c r="M23" s="2"/>
      <c r="N23" s="22">
        <f t="shared" si="1"/>
        <v>0</v>
      </c>
      <c r="O23" s="11"/>
      <c r="P23" s="2">
        <f>--12498.9</f>
        <v>12498.9</v>
      </c>
      <c r="Q23" s="2"/>
      <c r="R23" s="22"/>
      <c r="S23" s="2"/>
      <c r="T23" s="2"/>
      <c r="U23" s="2"/>
      <c r="V23" s="22"/>
      <c r="W23" s="2"/>
      <c r="X23" s="2">
        <f t="shared" si="2"/>
        <v>12498.9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--685.9</f>
        <v>685.9</v>
      </c>
      <c r="E24" s="2"/>
      <c r="F24" s="22"/>
      <c r="G24" s="2"/>
      <c r="H24" s="2"/>
      <c r="I24" s="2"/>
      <c r="J24" s="22"/>
      <c r="K24" s="2"/>
      <c r="L24" s="2">
        <f t="shared" si="0"/>
        <v>685.9</v>
      </c>
      <c r="M24" s="2"/>
      <c r="N24" s="22">
        <f t="shared" si="1"/>
        <v>0</v>
      </c>
      <c r="O24" s="11"/>
      <c r="P24" s="2">
        <f>--1238.16</f>
        <v>1238.1600000000001</v>
      </c>
      <c r="Q24" s="2"/>
      <c r="R24" s="22"/>
      <c r="S24" s="2"/>
      <c r="T24" s="2"/>
      <c r="U24" s="2"/>
      <c r="V24" s="22"/>
      <c r="W24" s="2"/>
      <c r="X24" s="2">
        <f t="shared" si="2"/>
        <v>1238.1600000000001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--78841.84</f>
        <v>78841.84</v>
      </c>
      <c r="E26" s="2"/>
      <c r="F26" s="22"/>
      <c r="G26" s="2"/>
      <c r="H26" s="2"/>
      <c r="I26" s="2"/>
      <c r="J26" s="22"/>
      <c r="K26" s="2"/>
      <c r="L26" s="2">
        <f t="shared" si="0"/>
        <v>78841.84</v>
      </c>
      <c r="M26" s="2"/>
      <c r="N26" s="22">
        <f t="shared" si="1"/>
        <v>0</v>
      </c>
      <c r="O26" s="11"/>
      <c r="P26" s="2">
        <f>--328420.19</f>
        <v>328420.19</v>
      </c>
      <c r="Q26" s="2"/>
      <c r="R26" s="22"/>
      <c r="S26" s="2"/>
      <c r="T26" s="2"/>
      <c r="U26" s="2"/>
      <c r="V26" s="22"/>
      <c r="W26" s="2"/>
      <c r="X26" s="2">
        <f t="shared" si="2"/>
        <v>328420.19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--27724.06</f>
        <v>27724.06</v>
      </c>
      <c r="E27" s="2"/>
      <c r="F27" s="22"/>
      <c r="G27" s="2"/>
      <c r="H27" s="2"/>
      <c r="I27" s="2"/>
      <c r="J27" s="22"/>
      <c r="K27" s="2"/>
      <c r="L27" s="2">
        <f t="shared" si="0"/>
        <v>27724.06</v>
      </c>
      <c r="M27" s="2"/>
      <c r="N27" s="22">
        <f t="shared" si="1"/>
        <v>0</v>
      </c>
      <c r="O27" s="11"/>
      <c r="P27" s="2">
        <f>--131033.62</f>
        <v>131033.62</v>
      </c>
      <c r="Q27" s="2"/>
      <c r="R27" s="22"/>
      <c r="S27" s="2"/>
      <c r="T27" s="2"/>
      <c r="U27" s="2"/>
      <c r="V27" s="22"/>
      <c r="W27" s="2"/>
      <c r="X27" s="2">
        <f t="shared" si="2"/>
        <v>131033.62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--8004.46</f>
        <v>8004.46</v>
      </c>
      <c r="E28" s="2"/>
      <c r="F28" s="22"/>
      <c r="G28" s="2"/>
      <c r="H28" s="2"/>
      <c r="I28" s="2"/>
      <c r="J28" s="22"/>
      <c r="K28" s="2"/>
      <c r="L28" s="2">
        <f t="shared" si="0"/>
        <v>8004.46</v>
      </c>
      <c r="M28" s="2"/>
      <c r="N28" s="22">
        <f t="shared" si="1"/>
        <v>0</v>
      </c>
      <c r="O28" s="11"/>
      <c r="P28" s="2">
        <f>--47929.5</f>
        <v>47929.5</v>
      </c>
      <c r="Q28" s="2"/>
      <c r="R28" s="22"/>
      <c r="S28" s="2"/>
      <c r="T28" s="2"/>
      <c r="U28" s="2"/>
      <c r="V28" s="22"/>
      <c r="W28" s="2"/>
      <c r="X28" s="2">
        <f t="shared" si="2"/>
        <v>47929.5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--2805.53</f>
        <v>2805.53</v>
      </c>
      <c r="E29" s="2"/>
      <c r="F29" s="22"/>
      <c r="G29" s="2"/>
      <c r="H29" s="2"/>
      <c r="I29" s="2"/>
      <c r="J29" s="22"/>
      <c r="K29" s="2"/>
      <c r="L29" s="2">
        <f t="shared" si="0"/>
        <v>2805.53</v>
      </c>
      <c r="M29" s="2"/>
      <c r="N29" s="22">
        <f t="shared" si="1"/>
        <v>0</v>
      </c>
      <c r="O29" s="11"/>
      <c r="P29" s="2">
        <f>--9791.16</f>
        <v>9791.16</v>
      </c>
      <c r="Q29" s="2"/>
      <c r="R29" s="22"/>
      <c r="S29" s="2"/>
      <c r="T29" s="2"/>
      <c r="U29" s="2"/>
      <c r="V29" s="22"/>
      <c r="W29" s="2"/>
      <c r="X29" s="2">
        <f t="shared" si="2"/>
        <v>9791.16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--2962.32</f>
        <v>2962.32</v>
      </c>
      <c r="E30" s="2"/>
      <c r="F30" s="22"/>
      <c r="G30" s="2"/>
      <c r="H30" s="2"/>
      <c r="I30" s="2"/>
      <c r="J30" s="22"/>
      <c r="K30" s="2"/>
      <c r="L30" s="2">
        <f t="shared" si="0"/>
        <v>2962.32</v>
      </c>
      <c r="M30" s="2"/>
      <c r="N30" s="22">
        <f t="shared" si="1"/>
        <v>0</v>
      </c>
      <c r="O30" s="11"/>
      <c r="P30" s="2">
        <f>--11331.52</f>
        <v>11331.52</v>
      </c>
      <c r="Q30" s="2"/>
      <c r="R30" s="22"/>
      <c r="S30" s="2"/>
      <c r="T30" s="2"/>
      <c r="U30" s="2"/>
      <c r="V30" s="22"/>
      <c r="W30" s="2"/>
      <c r="X30" s="2">
        <f t="shared" si="2"/>
        <v>11331.52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--2575.36</f>
        <v>2575.36</v>
      </c>
      <c r="E31" s="2"/>
      <c r="F31" s="22"/>
      <c r="G31" s="2"/>
      <c r="H31" s="2"/>
      <c r="I31" s="2"/>
      <c r="J31" s="22"/>
      <c r="K31" s="2"/>
      <c r="L31" s="2">
        <f t="shared" si="0"/>
        <v>2575.36</v>
      </c>
      <c r="M31" s="2"/>
      <c r="N31" s="22">
        <f t="shared" si="1"/>
        <v>0</v>
      </c>
      <c r="O31" s="11"/>
      <c r="P31" s="2">
        <f>--92006.44</f>
        <v>92006.44</v>
      </c>
      <c r="Q31" s="2"/>
      <c r="R31" s="22"/>
      <c r="S31" s="2"/>
      <c r="T31" s="2"/>
      <c r="U31" s="2"/>
      <c r="V31" s="22"/>
      <c r="W31" s="2"/>
      <c r="X31" s="2">
        <f t="shared" si="2"/>
        <v>92006.44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>--71.95</f>
        <v>71.95</v>
      </c>
      <c r="E32" s="2"/>
      <c r="F32" s="22"/>
      <c r="G32" s="2"/>
      <c r="H32" s="2"/>
      <c r="I32" s="2"/>
      <c r="J32" s="22"/>
      <c r="K32" s="2"/>
      <c r="L32" s="2">
        <f t="shared" si="0"/>
        <v>71.95</v>
      </c>
      <c r="M32" s="2"/>
      <c r="N32" s="22">
        <f t="shared" si="1"/>
        <v>0</v>
      </c>
      <c r="O32" s="11"/>
      <c r="P32" s="2">
        <f>--71.95</f>
        <v>71.95</v>
      </c>
      <c r="Q32" s="2"/>
      <c r="R32" s="22"/>
      <c r="S32" s="2"/>
      <c r="T32" s="2"/>
      <c r="U32" s="2"/>
      <c r="V32" s="22"/>
      <c r="W32" s="2"/>
      <c r="X32" s="2">
        <f t="shared" si="2"/>
        <v>71.95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>--9.99</f>
        <v>9.99</v>
      </c>
      <c r="E33" s="2"/>
      <c r="F33" s="22"/>
      <c r="G33" s="2"/>
      <c r="H33" s="2"/>
      <c r="I33" s="2"/>
      <c r="J33" s="22"/>
      <c r="K33" s="2"/>
      <c r="L33" s="2">
        <f t="shared" si="0"/>
        <v>9.99</v>
      </c>
      <c r="M33" s="2"/>
      <c r="N33" s="22">
        <f t="shared" si="1"/>
        <v>0</v>
      </c>
      <c r="O33" s="11"/>
      <c r="P33" s="2">
        <f>--9.99</f>
        <v>9.99</v>
      </c>
      <c r="Q33" s="2"/>
      <c r="R33" s="22"/>
      <c r="S33" s="2"/>
      <c r="T33" s="2"/>
      <c r="U33" s="2"/>
      <c r="V33" s="22"/>
      <c r="W33" s="2"/>
      <c r="X33" s="2">
        <f t="shared" si="2"/>
        <v>9.99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"4100", " - ", "NON-TAXABLE SALES")</f>
        <v xml:space="preserve">          4100 - NON-TAXABLE SALES</v>
      </c>
      <c r="C34" s="11"/>
      <c r="D34" s="2">
        <f>--10945.69</f>
        <v>10945.69</v>
      </c>
      <c r="E34" s="2"/>
      <c r="F34" s="22"/>
      <c r="G34" s="2"/>
      <c r="H34" s="2">
        <v>17535</v>
      </c>
      <c r="I34" s="2"/>
      <c r="J34" s="22"/>
      <c r="K34" s="2"/>
      <c r="L34" s="2">
        <f t="shared" si="0"/>
        <v>-6589.3099999999995</v>
      </c>
      <c r="M34" s="2"/>
      <c r="N34" s="22">
        <f t="shared" si="1"/>
        <v>-0.37578043912175646</v>
      </c>
      <c r="O34" s="11"/>
      <c r="P34" s="2">
        <f>--164344.02</f>
        <v>164344.01999999999</v>
      </c>
      <c r="Q34" s="2"/>
      <c r="R34" s="22"/>
      <c r="S34" s="2"/>
      <c r="T34" s="2">
        <v>25361</v>
      </c>
      <c r="U34" s="2"/>
      <c r="V34" s="22"/>
      <c r="W34" s="2"/>
      <c r="X34" s="2">
        <f t="shared" si="2"/>
        <v>138983.01999999999</v>
      </c>
      <c r="Y34" s="2"/>
      <c r="Z34" s="22">
        <f t="shared" si="3"/>
        <v>5.4801869011474311</v>
      </c>
    </row>
    <row r="35" spans="1:26" s="24" customFormat="1" hidden="1" outlineLevel="1" x14ac:dyDescent="0.25">
      <c r="A35" s="51"/>
      <c r="B35" s="11" t="str">
        <f>CONCATENATE("          ", "4101", " - ", "NON-TAXABLE SALES-NEW TEXT")</f>
        <v xml:space="preserve">          4101 - NON-TAXABLE SALES-NEW TEXT</v>
      </c>
      <c r="C35" s="11"/>
      <c r="D35" s="2">
        <f>--18824.16</f>
        <v>18824.16</v>
      </c>
      <c r="E35" s="2"/>
      <c r="F35" s="22"/>
      <c r="G35" s="2"/>
      <c r="H35" s="2"/>
      <c r="I35" s="2"/>
      <c r="J35" s="22"/>
      <c r="K35" s="2"/>
      <c r="L35" s="2">
        <f t="shared" si="0"/>
        <v>18824.16</v>
      </c>
      <c r="M35" s="2"/>
      <c r="N35" s="22">
        <f t="shared" si="1"/>
        <v>0</v>
      </c>
      <c r="O35" s="11"/>
      <c r="P35" s="2">
        <f>--70404.84</f>
        <v>70404.84</v>
      </c>
      <c r="Q35" s="2"/>
      <c r="R35" s="22"/>
      <c r="S35" s="2"/>
      <c r="T35" s="2"/>
      <c r="U35" s="2"/>
      <c r="V35" s="22"/>
      <c r="W35" s="2"/>
      <c r="X35" s="2">
        <f t="shared" si="2"/>
        <v>70404.84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"4102", " - ", "NON-TAXABLE SALES-USED TEXT")</f>
        <v xml:space="preserve">          4102 - NON-TAXABLE SALES-USED TEXT</v>
      </c>
      <c r="C36" s="11"/>
      <c r="D36" s="2">
        <f>--8807.08</f>
        <v>8807.08</v>
      </c>
      <c r="E36" s="2"/>
      <c r="F36" s="22"/>
      <c r="G36" s="2"/>
      <c r="H36" s="2"/>
      <c r="I36" s="2"/>
      <c r="J36" s="22"/>
      <c r="K36" s="2"/>
      <c r="L36" s="2">
        <f t="shared" si="0"/>
        <v>8807.08</v>
      </c>
      <c r="M36" s="2"/>
      <c r="N36" s="22">
        <f t="shared" si="1"/>
        <v>0</v>
      </c>
      <c r="O36" s="11"/>
      <c r="P36" s="2">
        <f>--30370.82</f>
        <v>30370.82</v>
      </c>
      <c r="Q36" s="2"/>
      <c r="R36" s="22"/>
      <c r="S36" s="2"/>
      <c r="T36" s="2"/>
      <c r="U36" s="2"/>
      <c r="V36" s="22"/>
      <c r="W36" s="2"/>
      <c r="X36" s="2">
        <f t="shared" si="2"/>
        <v>30370.82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"4103", " - ", "NON-TAXABLE SALES-RENTAL TEXT")</f>
        <v xml:space="preserve">          4103 - NON-TAXABLE SALES-RENTAL TEXT</v>
      </c>
      <c r="C37" s="11"/>
      <c r="D37" s="2">
        <f>--284.97</f>
        <v>284.97000000000003</v>
      </c>
      <c r="E37" s="2"/>
      <c r="F37" s="22"/>
      <c r="G37" s="2"/>
      <c r="H37" s="2"/>
      <c r="I37" s="2"/>
      <c r="J37" s="22"/>
      <c r="K37" s="2"/>
      <c r="L37" s="2">
        <f t="shared" si="0"/>
        <v>284.97000000000003</v>
      </c>
      <c r="M37" s="2"/>
      <c r="N37" s="22">
        <f t="shared" si="1"/>
        <v>0</v>
      </c>
      <c r="O37" s="11"/>
      <c r="P37" s="2">
        <f>--284.97</f>
        <v>284.97000000000003</v>
      </c>
      <c r="Q37" s="2"/>
      <c r="R37" s="22"/>
      <c r="S37" s="2"/>
      <c r="T37" s="2"/>
      <c r="U37" s="2"/>
      <c r="V37" s="22"/>
      <c r="W37" s="2"/>
      <c r="X37" s="2">
        <f t="shared" si="2"/>
        <v>284.97000000000003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"4104", " - ", "NON-TAXABLE SALES-DIGITAL TEXT")</f>
        <v xml:space="preserve">          4104 - NON-TAXABLE SALES-DIGITAL TEXT</v>
      </c>
      <c r="C38" s="11"/>
      <c r="D38" s="2">
        <f>--73817.67</f>
        <v>73817.67</v>
      </c>
      <c r="E38" s="2"/>
      <c r="F38" s="22"/>
      <c r="G38" s="2"/>
      <c r="H38" s="2"/>
      <c r="I38" s="2"/>
      <c r="J38" s="22"/>
      <c r="K38" s="2"/>
      <c r="L38" s="2">
        <f t="shared" si="0"/>
        <v>73817.67</v>
      </c>
      <c r="M38" s="2"/>
      <c r="N38" s="22">
        <f t="shared" si="1"/>
        <v>0</v>
      </c>
      <c r="O38" s="11"/>
      <c r="P38" s="2">
        <f>--286707.85</f>
        <v>286707.84999999998</v>
      </c>
      <c r="Q38" s="2"/>
      <c r="R38" s="22"/>
      <c r="S38" s="2"/>
      <c r="T38" s="2"/>
      <c r="U38" s="2"/>
      <c r="V38" s="22"/>
      <c r="W38" s="2"/>
      <c r="X38" s="2">
        <f t="shared" si="2"/>
        <v>286707.84999999998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"4118", " - ", "NON-TAXABLE SALES-STUDY GUIDES")</f>
        <v xml:space="preserve">          4118 - NON-TAXABLE SALES-STUDY GUIDES</v>
      </c>
      <c r="C39" s="11"/>
      <c r="D39" s="2">
        <f>--6.5</f>
        <v>6.5</v>
      </c>
      <c r="E39" s="2"/>
      <c r="F39" s="22"/>
      <c r="G39" s="2"/>
      <c r="H39" s="2"/>
      <c r="I39" s="2"/>
      <c r="J39" s="22"/>
      <c r="K39" s="2"/>
      <c r="L39" s="2">
        <f t="shared" si="0"/>
        <v>6.5</v>
      </c>
      <c r="M39" s="2"/>
      <c r="N39" s="22">
        <f t="shared" si="1"/>
        <v>0</v>
      </c>
      <c r="O39" s="11"/>
      <c r="P39" s="2">
        <f>--108.33</f>
        <v>108.33</v>
      </c>
      <c r="Q39" s="2"/>
      <c r="R39" s="22"/>
      <c r="S39" s="2"/>
      <c r="T39" s="2"/>
      <c r="U39" s="2"/>
      <c r="V39" s="22"/>
      <c r="W39" s="2"/>
      <c r="X39" s="2">
        <f t="shared" si="2"/>
        <v>108.33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"4126", " - ", "NON-TAXABLE SALES-WRITING INST")</f>
        <v xml:space="preserve">          4126 - NON-TAXABLE SALES-WRITING INST</v>
      </c>
      <c r="C40" s="11"/>
      <c r="D40" s="2">
        <f>0</f>
        <v>0</v>
      </c>
      <c r="E40" s="2"/>
      <c r="F40" s="22"/>
      <c r="G40" s="2"/>
      <c r="H40" s="2"/>
      <c r="I40" s="2"/>
      <c r="J40" s="22"/>
      <c r="K40" s="2"/>
      <c r="L40" s="2">
        <f t="shared" si="0"/>
        <v>0</v>
      </c>
      <c r="M40" s="2"/>
      <c r="N40" s="22">
        <f t="shared" si="1"/>
        <v>0</v>
      </c>
      <c r="O40" s="11"/>
      <c r="P40" s="2">
        <f>--52.68</f>
        <v>52.68</v>
      </c>
      <c r="Q40" s="2"/>
      <c r="R40" s="22"/>
      <c r="S40" s="2"/>
      <c r="T40" s="2"/>
      <c r="U40" s="2"/>
      <c r="V40" s="22"/>
      <c r="W40" s="2"/>
      <c r="X40" s="2">
        <f t="shared" si="2"/>
        <v>52.68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"4127", " - ", "NON-TAXABLE SALES-SCHOOL SUPPL")</f>
        <v xml:space="preserve">          4127 - NON-TAXABLE SALES-SCHOOL SUPPL</v>
      </c>
      <c r="C41" s="11"/>
      <c r="D41" s="2">
        <f>--810.33</f>
        <v>810.33</v>
      </c>
      <c r="E41" s="2"/>
      <c r="F41" s="22"/>
      <c r="G41" s="2"/>
      <c r="H41" s="2"/>
      <c r="I41" s="2"/>
      <c r="J41" s="22"/>
      <c r="K41" s="2"/>
      <c r="L41" s="2">
        <f t="shared" si="0"/>
        <v>810.33</v>
      </c>
      <c r="M41" s="2"/>
      <c r="N41" s="22">
        <f t="shared" si="1"/>
        <v>0</v>
      </c>
      <c r="O41" s="11"/>
      <c r="P41" s="2">
        <f>--2670.74</f>
        <v>2670.74</v>
      </c>
      <c r="Q41" s="2"/>
      <c r="R41" s="22"/>
      <c r="S41" s="2"/>
      <c r="T41" s="2"/>
      <c r="U41" s="2"/>
      <c r="V41" s="22"/>
      <c r="W41" s="2"/>
      <c r="X41" s="2">
        <f t="shared" si="2"/>
        <v>2670.74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"4131", " - ", "NON-TAXABLE SALES-FOOD")</f>
        <v xml:space="preserve">          4131 - NON-TAXABLE SALES-FOOD</v>
      </c>
      <c r="C42" s="11"/>
      <c r="D42" s="2">
        <f>--2168.74</f>
        <v>2168.7399999999998</v>
      </c>
      <c r="E42" s="2"/>
      <c r="F42" s="22"/>
      <c r="G42" s="2"/>
      <c r="H42" s="2"/>
      <c r="I42" s="2"/>
      <c r="J42" s="22"/>
      <c r="K42" s="2"/>
      <c r="L42" s="2">
        <f t="shared" si="0"/>
        <v>2168.7399999999998</v>
      </c>
      <c r="M42" s="2"/>
      <c r="N42" s="22">
        <f t="shared" si="1"/>
        <v>0</v>
      </c>
      <c r="O42" s="11"/>
      <c r="P42" s="2">
        <f>--4003.96</f>
        <v>4003.96</v>
      </c>
      <c r="Q42" s="2"/>
      <c r="R42" s="22"/>
      <c r="S42" s="2"/>
      <c r="T42" s="2"/>
      <c r="U42" s="2"/>
      <c r="V42" s="22"/>
      <c r="W42" s="2"/>
      <c r="X42" s="2">
        <f t="shared" si="2"/>
        <v>4003.96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"4132", " - ", "NON-TAXABLE SALES-JUICE")</f>
        <v xml:space="preserve">          4132 - NON-TAXABLE SALES-JUICE</v>
      </c>
      <c r="C43" s="11"/>
      <c r="D43" s="2">
        <f t="shared" ref="D43:D46" si="4">0</f>
        <v>0</v>
      </c>
      <c r="E43" s="2"/>
      <c r="F43" s="22"/>
      <c r="G43" s="2"/>
      <c r="H43" s="2"/>
      <c r="I43" s="2"/>
      <c r="J43" s="22"/>
      <c r="K43" s="2"/>
      <c r="L43" s="2">
        <f t="shared" si="0"/>
        <v>0</v>
      </c>
      <c r="M43" s="2"/>
      <c r="N43" s="22">
        <f t="shared" si="1"/>
        <v>0</v>
      </c>
      <c r="O43" s="11"/>
      <c r="P43" s="2">
        <f>--22.49</f>
        <v>22.49</v>
      </c>
      <c r="Q43" s="2"/>
      <c r="R43" s="22"/>
      <c r="S43" s="2"/>
      <c r="T43" s="2"/>
      <c r="U43" s="2"/>
      <c r="V43" s="22"/>
      <c r="W43" s="2"/>
      <c r="X43" s="2">
        <f t="shared" si="2"/>
        <v>22.49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"4133", " - ", "NON-TAXABLE SALES-CANDY")</f>
        <v xml:space="preserve">          4133 - NON-TAXABLE SALES-CANDY</v>
      </c>
      <c r="C44" s="11"/>
      <c r="D44" s="2">
        <f t="shared" si="4"/>
        <v>0</v>
      </c>
      <c r="E44" s="2"/>
      <c r="F44" s="22"/>
      <c r="G44" s="2"/>
      <c r="H44" s="2"/>
      <c r="I44" s="2"/>
      <c r="J44" s="22"/>
      <c r="K44" s="2"/>
      <c r="L44" s="2">
        <f t="shared" si="0"/>
        <v>0</v>
      </c>
      <c r="M44" s="2"/>
      <c r="N44" s="22">
        <f t="shared" si="1"/>
        <v>0</v>
      </c>
      <c r="O44" s="11"/>
      <c r="P44" s="2">
        <f>--80.71</f>
        <v>80.709999999999994</v>
      </c>
      <c r="Q44" s="2"/>
      <c r="R44" s="22"/>
      <c r="S44" s="2"/>
      <c r="T44" s="2"/>
      <c r="U44" s="2"/>
      <c r="V44" s="22"/>
      <c r="W44" s="2"/>
      <c r="X44" s="2">
        <f t="shared" si="2"/>
        <v>80.709999999999994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"4134", " - ", "NON-TAXABLE SALES-SODA")</f>
        <v xml:space="preserve">          4134 - NON-TAXABLE SALES-SODA</v>
      </c>
      <c r="C45" s="11"/>
      <c r="D45" s="2">
        <f t="shared" si="4"/>
        <v>0</v>
      </c>
      <c r="E45" s="2"/>
      <c r="F45" s="22"/>
      <c r="G45" s="2"/>
      <c r="H45" s="2"/>
      <c r="I45" s="2"/>
      <c r="J45" s="22"/>
      <c r="K45" s="2"/>
      <c r="L45" s="2">
        <f t="shared" si="0"/>
        <v>0</v>
      </c>
      <c r="M45" s="2"/>
      <c r="N45" s="22">
        <f t="shared" si="1"/>
        <v>0</v>
      </c>
      <c r="O45" s="11"/>
      <c r="P45" s="2">
        <f>--45.53</f>
        <v>45.53</v>
      </c>
      <c r="Q45" s="2"/>
      <c r="R45" s="22"/>
      <c r="S45" s="2"/>
      <c r="T45" s="2"/>
      <c r="U45" s="2"/>
      <c r="V45" s="22"/>
      <c r="W45" s="2"/>
      <c r="X45" s="2">
        <f t="shared" si="2"/>
        <v>45.53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"4137", " - ", "NON-TAXABLE SALES-WATER")</f>
        <v xml:space="preserve">          4137 - NON-TAXABLE SALES-WATER</v>
      </c>
      <c r="C46" s="11"/>
      <c r="D46" s="2">
        <f t="shared" si="4"/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--68.25</f>
        <v>68.25</v>
      </c>
      <c r="Q46" s="2"/>
      <c r="R46" s="22"/>
      <c r="S46" s="2"/>
      <c r="T46" s="2"/>
      <c r="U46" s="2"/>
      <c r="V46" s="22"/>
      <c r="W46" s="2"/>
      <c r="X46" s="2">
        <f t="shared" si="2"/>
        <v>68.25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"4140", " - ", "NON-TAXABLE SALES-LOGO CLOTHIN")</f>
        <v xml:space="preserve">          4140 - NON-TAXABLE SALES-LOGO CLOTHIN</v>
      </c>
      <c r="C47" s="11"/>
      <c r="D47" s="2">
        <f>--3339.7</f>
        <v>3339.7</v>
      </c>
      <c r="E47" s="2"/>
      <c r="F47" s="22"/>
      <c r="G47" s="2"/>
      <c r="H47" s="2"/>
      <c r="I47" s="2"/>
      <c r="J47" s="22"/>
      <c r="K47" s="2"/>
      <c r="L47" s="2">
        <f t="shared" si="0"/>
        <v>3339.7</v>
      </c>
      <c r="M47" s="2"/>
      <c r="N47" s="22">
        <f t="shared" si="1"/>
        <v>0</v>
      </c>
      <c r="O47" s="11"/>
      <c r="P47" s="2">
        <f>--17452.44</f>
        <v>17452.439999999999</v>
      </c>
      <c r="Q47" s="2"/>
      <c r="R47" s="22"/>
      <c r="S47" s="2"/>
      <c r="T47" s="2"/>
      <c r="U47" s="2"/>
      <c r="V47" s="22"/>
      <c r="W47" s="2"/>
      <c r="X47" s="2">
        <f t="shared" si="2"/>
        <v>17452.439999999999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"4141", " - ", "NON-TAXABLE SALES-LOGO GIFTS")</f>
        <v xml:space="preserve">          4141 - NON-TAXABLE SALES-LOGO GIFTS</v>
      </c>
      <c r="C48" s="11"/>
      <c r="D48" s="2">
        <f>--555.74</f>
        <v>555.74</v>
      </c>
      <c r="E48" s="2"/>
      <c r="F48" s="22"/>
      <c r="G48" s="2"/>
      <c r="H48" s="2"/>
      <c r="I48" s="2"/>
      <c r="J48" s="22"/>
      <c r="K48" s="2"/>
      <c r="L48" s="2">
        <f t="shared" si="0"/>
        <v>555.74</v>
      </c>
      <c r="M48" s="2"/>
      <c r="N48" s="22">
        <f t="shared" si="1"/>
        <v>0</v>
      </c>
      <c r="O48" s="11"/>
      <c r="P48" s="2">
        <f>--2944.99</f>
        <v>2944.99</v>
      </c>
      <c r="Q48" s="2"/>
      <c r="R48" s="22"/>
      <c r="S48" s="2"/>
      <c r="T48" s="2"/>
      <c r="U48" s="2"/>
      <c r="V48" s="22"/>
      <c r="W48" s="2"/>
      <c r="X48" s="2">
        <f t="shared" si="2"/>
        <v>2944.99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"4142", " - ", "NON-TAXABLE SALES-EVERYDAY GIF")</f>
        <v xml:space="preserve">          4142 - NON-TAXABLE SALES-EVERYDAY GIF</v>
      </c>
      <c r="C49" s="11"/>
      <c r="D49" s="2">
        <f>--30.16</f>
        <v>30.16</v>
      </c>
      <c r="E49" s="2"/>
      <c r="F49" s="22"/>
      <c r="G49" s="2"/>
      <c r="H49" s="2"/>
      <c r="I49" s="2"/>
      <c r="J49" s="22"/>
      <c r="K49" s="2"/>
      <c r="L49" s="2">
        <f t="shared" si="0"/>
        <v>30.16</v>
      </c>
      <c r="M49" s="2"/>
      <c r="N49" s="22">
        <f t="shared" si="1"/>
        <v>0</v>
      </c>
      <c r="O49" s="11"/>
      <c r="P49" s="2">
        <f>--1009.73</f>
        <v>1009.73</v>
      </c>
      <c r="Q49" s="2"/>
      <c r="R49" s="22"/>
      <c r="S49" s="2"/>
      <c r="T49" s="2"/>
      <c r="U49" s="2"/>
      <c r="V49" s="22"/>
      <c r="W49" s="2"/>
      <c r="X49" s="2">
        <f t="shared" si="2"/>
        <v>1009.73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"4143", " - ", "NON-TAXABLE SALES-CARDS")</f>
        <v xml:space="preserve">          4143 - NON-TAXABLE SALES-CARDS</v>
      </c>
      <c r="C50" s="11"/>
      <c r="D50" s="2">
        <f>0</f>
        <v>0</v>
      </c>
      <c r="E50" s="2"/>
      <c r="F50" s="22"/>
      <c r="G50" s="2"/>
      <c r="H50" s="2"/>
      <c r="I50" s="2"/>
      <c r="J50" s="22"/>
      <c r="K50" s="2"/>
      <c r="L50" s="2">
        <f t="shared" si="0"/>
        <v>0</v>
      </c>
      <c r="M50" s="2"/>
      <c r="N50" s="22">
        <f t="shared" si="1"/>
        <v>0</v>
      </c>
      <c r="O50" s="11"/>
      <c r="P50" s="2">
        <f>--19.98</f>
        <v>19.98</v>
      </c>
      <c r="Q50" s="2"/>
      <c r="R50" s="22"/>
      <c r="S50" s="2"/>
      <c r="T50" s="2"/>
      <c r="U50" s="2"/>
      <c r="V50" s="22"/>
      <c r="W50" s="2"/>
      <c r="X50" s="2">
        <f t="shared" si="2"/>
        <v>19.98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"4144", " - ", "NON-TAXABLE SALES-ACCESSORIES")</f>
        <v xml:space="preserve">          4144 - NON-TAXABLE SALES-ACCESSORIES</v>
      </c>
      <c r="C51" s="11"/>
      <c r="D51" s="2">
        <f>--59.95</f>
        <v>59.95</v>
      </c>
      <c r="E51" s="2"/>
      <c r="F51" s="22"/>
      <c r="G51" s="2"/>
      <c r="H51" s="2"/>
      <c r="I51" s="2"/>
      <c r="J51" s="22"/>
      <c r="K51" s="2"/>
      <c r="L51" s="2">
        <f t="shared" si="0"/>
        <v>59.95</v>
      </c>
      <c r="M51" s="2"/>
      <c r="N51" s="22">
        <f t="shared" si="1"/>
        <v>0</v>
      </c>
      <c r="O51" s="11"/>
      <c r="P51" s="2">
        <f>--215.75</f>
        <v>215.75</v>
      </c>
      <c r="Q51" s="2"/>
      <c r="R51" s="22"/>
      <c r="S51" s="2"/>
      <c r="T51" s="2"/>
      <c r="U51" s="2"/>
      <c r="V51" s="22"/>
      <c r="W51" s="2"/>
      <c r="X51" s="2">
        <f t="shared" si="2"/>
        <v>215.75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"4145", " - ", "NON-TAXABLE SALES-SPECIAL ORDE")</f>
        <v xml:space="preserve">          4145 - NON-TAXABLE SALES-SPECIAL ORDE</v>
      </c>
      <c r="C52" s="11"/>
      <c r="D52" s="2">
        <f>0</f>
        <v>0</v>
      </c>
      <c r="E52" s="2"/>
      <c r="F52" s="22"/>
      <c r="G52" s="2"/>
      <c r="H52" s="2"/>
      <c r="I52" s="2"/>
      <c r="J52" s="22"/>
      <c r="K52" s="2"/>
      <c r="L52" s="2">
        <f t="shared" si="0"/>
        <v>0</v>
      </c>
      <c r="M52" s="2"/>
      <c r="N52" s="22">
        <f t="shared" si="1"/>
        <v>0</v>
      </c>
      <c r="O52" s="11"/>
      <c r="P52" s="2">
        <f>--35846</f>
        <v>35846</v>
      </c>
      <c r="Q52" s="2"/>
      <c r="R52" s="22"/>
      <c r="S52" s="2"/>
      <c r="T52" s="2"/>
      <c r="U52" s="2"/>
      <c r="V52" s="22"/>
      <c r="W52" s="2"/>
      <c r="X52" s="2">
        <f t="shared" si="2"/>
        <v>35846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"4146", " - ", "NON-TAXABLE SALES-COIN OP MACH")</f>
        <v xml:space="preserve">          4146 - NON-TAXABLE SALES-COIN OP MACH</v>
      </c>
      <c r="C53" s="11"/>
      <c r="D53" s="2">
        <f>--49.7</f>
        <v>49.7</v>
      </c>
      <c r="E53" s="2"/>
      <c r="F53" s="22"/>
      <c r="G53" s="2"/>
      <c r="H53" s="2"/>
      <c r="I53" s="2"/>
      <c r="J53" s="22"/>
      <c r="K53" s="2"/>
      <c r="L53" s="2">
        <f t="shared" si="0"/>
        <v>49.7</v>
      </c>
      <c r="M53" s="2"/>
      <c r="N53" s="22">
        <f t="shared" si="1"/>
        <v>0</v>
      </c>
      <c r="O53" s="11"/>
      <c r="P53" s="2">
        <f>--65.2</f>
        <v>65.2</v>
      </c>
      <c r="Q53" s="2"/>
      <c r="R53" s="22"/>
      <c r="S53" s="2"/>
      <c r="T53" s="2"/>
      <c r="U53" s="2"/>
      <c r="V53" s="22"/>
      <c r="W53" s="2"/>
      <c r="X53" s="2">
        <f t="shared" si="2"/>
        <v>65.2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"4147", " - ", "NON-TAXABLE SALES-MISC")</f>
        <v xml:space="preserve">          4147 - NON-TAXABLE SALES-MISC</v>
      </c>
      <c r="C54" s="11"/>
      <c r="D54" s="2">
        <f>--24</f>
        <v>24</v>
      </c>
      <c r="E54" s="2"/>
      <c r="F54" s="22"/>
      <c r="G54" s="2"/>
      <c r="H54" s="2"/>
      <c r="I54" s="2"/>
      <c r="J54" s="22"/>
      <c r="K54" s="2"/>
      <c r="L54" s="2">
        <f t="shared" si="0"/>
        <v>24</v>
      </c>
      <c r="M54" s="2"/>
      <c r="N54" s="22">
        <f t="shared" si="1"/>
        <v>0</v>
      </c>
      <c r="O54" s="11"/>
      <c r="P54" s="2">
        <f>--48</f>
        <v>48</v>
      </c>
      <c r="Q54" s="2"/>
      <c r="R54" s="22"/>
      <c r="S54" s="2"/>
      <c r="T54" s="2"/>
      <c r="U54" s="2"/>
      <c r="V54" s="22"/>
      <c r="W54" s="2"/>
      <c r="X54" s="2">
        <f t="shared" si="2"/>
        <v>48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"4201", " - ", "SALES RETURN TAXABLE-NEW TEXT")</f>
        <v xml:space="preserve">          4201 - SALES RETURN TAXABLE-NEW TEXT</v>
      </c>
      <c r="C55" s="11"/>
      <c r="D55" s="2">
        <f>-13393.2</f>
        <v>-13393.2</v>
      </c>
      <c r="E55" s="2"/>
      <c r="F55" s="22"/>
      <c r="G55" s="2"/>
      <c r="H55" s="2"/>
      <c r="I55" s="2"/>
      <c r="J55" s="22"/>
      <c r="K55" s="2"/>
      <c r="L55" s="2">
        <f t="shared" si="0"/>
        <v>-13393.2</v>
      </c>
      <c r="M55" s="2"/>
      <c r="N55" s="22">
        <f t="shared" si="1"/>
        <v>0</v>
      </c>
      <c r="O55" s="11"/>
      <c r="P55" s="2">
        <f>-32248.99</f>
        <v>-32248.99</v>
      </c>
      <c r="Q55" s="2"/>
      <c r="R55" s="22"/>
      <c r="S55" s="2"/>
      <c r="T55" s="2"/>
      <c r="U55" s="2"/>
      <c r="V55" s="22"/>
      <c r="W55" s="2"/>
      <c r="X55" s="2">
        <f t="shared" si="2"/>
        <v>-32248.99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"4202", " - ", "SALES RETURN TAXABLE-USED TEXT")</f>
        <v xml:space="preserve">          4202 - SALES RETURN TAXABLE-USED TEXT</v>
      </c>
      <c r="C56" s="11"/>
      <c r="D56" s="2">
        <f>-1345.2</f>
        <v>-1345.2</v>
      </c>
      <c r="E56" s="2"/>
      <c r="F56" s="22"/>
      <c r="G56" s="2"/>
      <c r="H56" s="2"/>
      <c r="I56" s="2"/>
      <c r="J56" s="22"/>
      <c r="K56" s="2"/>
      <c r="L56" s="2">
        <f t="shared" si="0"/>
        <v>-1345.2</v>
      </c>
      <c r="M56" s="2"/>
      <c r="N56" s="22">
        <f t="shared" si="1"/>
        <v>0</v>
      </c>
      <c r="O56" s="11"/>
      <c r="P56" s="2">
        <f>-10392.95</f>
        <v>-10392.950000000001</v>
      </c>
      <c r="Q56" s="2"/>
      <c r="R56" s="22"/>
      <c r="S56" s="2"/>
      <c r="T56" s="2"/>
      <c r="U56" s="2"/>
      <c r="V56" s="22"/>
      <c r="W56" s="2"/>
      <c r="X56" s="2">
        <f t="shared" si="2"/>
        <v>-10392.950000000001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"4204", " - ", "SALES RETURN TAXABLE-DIGITAL T")</f>
        <v xml:space="preserve">          4204 - SALES RETURN TAXABLE-DIGITAL T</v>
      </c>
      <c r="C57" s="11"/>
      <c r="D57" s="2">
        <f>-105.87</f>
        <v>-105.87</v>
      </c>
      <c r="E57" s="2"/>
      <c r="F57" s="22"/>
      <c r="G57" s="2"/>
      <c r="H57" s="2"/>
      <c r="I57" s="2"/>
      <c r="J57" s="22"/>
      <c r="K57" s="2"/>
      <c r="L57" s="2">
        <f t="shared" si="0"/>
        <v>-105.87</v>
      </c>
      <c r="M57" s="2"/>
      <c r="N57" s="22">
        <f t="shared" si="1"/>
        <v>0</v>
      </c>
      <c r="O57" s="11"/>
      <c r="P57" s="2">
        <f>-1246.95</f>
        <v>-1246.95</v>
      </c>
      <c r="Q57" s="2"/>
      <c r="R57" s="22"/>
      <c r="S57" s="2"/>
      <c r="T57" s="2"/>
      <c r="U57" s="2"/>
      <c r="V57" s="22"/>
      <c r="W57" s="2"/>
      <c r="X57" s="2">
        <f t="shared" si="2"/>
        <v>-1246.95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"4226", " - ", "SALES RETURN TAXABLE-WRITING I")</f>
        <v xml:space="preserve">          4226 - SALES RETURN TAXABLE-WRITING I</v>
      </c>
      <c r="C58" s="11"/>
      <c r="D58" s="2">
        <f>-22.49</f>
        <v>-22.49</v>
      </c>
      <c r="E58" s="2"/>
      <c r="F58" s="22"/>
      <c r="G58" s="2"/>
      <c r="H58" s="2"/>
      <c r="I58" s="2"/>
      <c r="J58" s="22"/>
      <c r="K58" s="2"/>
      <c r="L58" s="2">
        <f t="shared" si="0"/>
        <v>-22.49</v>
      </c>
      <c r="M58" s="2"/>
      <c r="N58" s="22">
        <f t="shared" si="1"/>
        <v>0</v>
      </c>
      <c r="O58" s="11"/>
      <c r="P58" s="2">
        <f>-28.87</f>
        <v>-28.87</v>
      </c>
      <c r="Q58" s="2"/>
      <c r="R58" s="22"/>
      <c r="S58" s="2"/>
      <c r="T58" s="2"/>
      <c r="U58" s="2"/>
      <c r="V58" s="22"/>
      <c r="W58" s="2"/>
      <c r="X58" s="2">
        <f t="shared" si="2"/>
        <v>-28.87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"4227", " - ", "SALES RETURN TAXABLE-SCHOOL SU")</f>
        <v xml:space="preserve">          4227 - SALES RETURN TAXABLE-SCHOOL SU</v>
      </c>
      <c r="C59" s="11"/>
      <c r="D59" s="2">
        <f>-152.29</f>
        <v>-152.29</v>
      </c>
      <c r="E59" s="2"/>
      <c r="F59" s="22"/>
      <c r="G59" s="2"/>
      <c r="H59" s="2"/>
      <c r="I59" s="2"/>
      <c r="J59" s="22"/>
      <c r="K59" s="2"/>
      <c r="L59" s="2">
        <f t="shared" si="0"/>
        <v>-152.29</v>
      </c>
      <c r="M59" s="2"/>
      <c r="N59" s="22">
        <f t="shared" si="1"/>
        <v>0</v>
      </c>
      <c r="O59" s="11"/>
      <c r="P59" s="2">
        <f>-568.67</f>
        <v>-568.66999999999996</v>
      </c>
      <c r="Q59" s="2"/>
      <c r="R59" s="22"/>
      <c r="S59" s="2"/>
      <c r="T59" s="2"/>
      <c r="U59" s="2"/>
      <c r="V59" s="22"/>
      <c r="W59" s="2"/>
      <c r="X59" s="2">
        <f t="shared" si="2"/>
        <v>-568.66999999999996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"4228", " - ", "SALES RETURN TAXABLE-ART/TECH")</f>
        <v xml:space="preserve">          4228 - SALES RETURN TAXABLE-ART/TECH</v>
      </c>
      <c r="C60" s="11"/>
      <c r="D60" s="2">
        <f>-57.76</f>
        <v>-57.76</v>
      </c>
      <c r="E60" s="2"/>
      <c r="F60" s="22"/>
      <c r="G60" s="2"/>
      <c r="H60" s="2"/>
      <c r="I60" s="2"/>
      <c r="J60" s="22"/>
      <c r="K60" s="2"/>
      <c r="L60" s="2">
        <f t="shared" si="0"/>
        <v>-57.76</v>
      </c>
      <c r="M60" s="2"/>
      <c r="N60" s="22">
        <f t="shared" si="1"/>
        <v>0</v>
      </c>
      <c r="O60" s="11"/>
      <c r="P60" s="2">
        <f>-222.2</f>
        <v>-222.2</v>
      </c>
      <c r="Q60" s="2"/>
      <c r="R60" s="22"/>
      <c r="S60" s="2"/>
      <c r="T60" s="2"/>
      <c r="U60" s="2"/>
      <c r="V60" s="22"/>
      <c r="W60" s="2"/>
      <c r="X60" s="2">
        <f t="shared" si="2"/>
        <v>-222.2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"4240", " - ", "SALES RETURN TAXABLE-LOGO CLOT")</f>
        <v xml:space="preserve">          4240 - SALES RETURN TAXABLE-LOGO CLOT</v>
      </c>
      <c r="C61" s="11"/>
      <c r="D61" s="2">
        <f>-3453.14</f>
        <v>-3453.14</v>
      </c>
      <c r="E61" s="2"/>
      <c r="F61" s="22"/>
      <c r="G61" s="2"/>
      <c r="H61" s="2"/>
      <c r="I61" s="2"/>
      <c r="J61" s="22"/>
      <c r="K61" s="2"/>
      <c r="L61" s="2">
        <f t="shared" si="0"/>
        <v>-3453.14</v>
      </c>
      <c r="M61" s="2"/>
      <c r="N61" s="22">
        <f t="shared" si="1"/>
        <v>0</v>
      </c>
      <c r="O61" s="11"/>
      <c r="P61" s="2">
        <f>-11609.96</f>
        <v>-11609.96</v>
      </c>
      <c r="Q61" s="2"/>
      <c r="R61" s="22"/>
      <c r="S61" s="2"/>
      <c r="T61" s="2"/>
      <c r="U61" s="2"/>
      <c r="V61" s="22"/>
      <c r="W61" s="2"/>
      <c r="X61" s="2">
        <f t="shared" si="2"/>
        <v>-11609.96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"4241", " - ", "SALES RETURN TAXABLE-LOGO GIFT")</f>
        <v xml:space="preserve">          4241 - SALES RETURN TAXABLE-LOGO GIFT</v>
      </c>
      <c r="C62" s="11"/>
      <c r="D62" s="2">
        <f>-988.92</f>
        <v>-988.92</v>
      </c>
      <c r="E62" s="2"/>
      <c r="F62" s="22"/>
      <c r="G62" s="2"/>
      <c r="H62" s="2"/>
      <c r="I62" s="2"/>
      <c r="J62" s="22"/>
      <c r="K62" s="2"/>
      <c r="L62" s="2">
        <f t="shared" si="0"/>
        <v>-988.92</v>
      </c>
      <c r="M62" s="2"/>
      <c r="N62" s="22">
        <f t="shared" si="1"/>
        <v>0</v>
      </c>
      <c r="O62" s="11"/>
      <c r="P62" s="2">
        <f>-2317.11</f>
        <v>-2317.11</v>
      </c>
      <c r="Q62" s="2"/>
      <c r="R62" s="22"/>
      <c r="S62" s="2"/>
      <c r="T62" s="2"/>
      <c r="U62" s="2"/>
      <c r="V62" s="22"/>
      <c r="W62" s="2"/>
      <c r="X62" s="2">
        <f t="shared" si="2"/>
        <v>-2317.11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"4242", " - ", "SALES RETURN TAXABLE-EVERYDAY")</f>
        <v xml:space="preserve">          4242 - SALES RETURN TAXABLE-EVERYDAY</v>
      </c>
      <c r="C63" s="11"/>
      <c r="D63" s="2">
        <f>-405.07</f>
        <v>-405.07</v>
      </c>
      <c r="E63" s="2"/>
      <c r="F63" s="22"/>
      <c r="G63" s="2"/>
      <c r="H63" s="2"/>
      <c r="I63" s="2"/>
      <c r="J63" s="22"/>
      <c r="K63" s="2"/>
      <c r="L63" s="2">
        <f t="shared" si="0"/>
        <v>-405.07</v>
      </c>
      <c r="M63" s="2"/>
      <c r="N63" s="22">
        <f t="shared" si="1"/>
        <v>0</v>
      </c>
      <c r="O63" s="11"/>
      <c r="P63" s="2">
        <f>-1054.56</f>
        <v>-1054.56</v>
      </c>
      <c r="Q63" s="2"/>
      <c r="R63" s="22"/>
      <c r="S63" s="2"/>
      <c r="T63" s="2"/>
      <c r="U63" s="2"/>
      <c r="V63" s="22"/>
      <c r="W63" s="2"/>
      <c r="X63" s="2">
        <f t="shared" si="2"/>
        <v>-1054.56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"4243", " - ", "SALES RETURN TAXABLE-CARDS")</f>
        <v xml:space="preserve">          4243 - SALES RETURN TAXABLE-CARDS</v>
      </c>
      <c r="C64" s="11"/>
      <c r="D64" s="2">
        <f>-59.94</f>
        <v>-59.94</v>
      </c>
      <c r="E64" s="2"/>
      <c r="F64" s="22"/>
      <c r="G64" s="2"/>
      <c r="H64" s="2"/>
      <c r="I64" s="2"/>
      <c r="J64" s="22"/>
      <c r="K64" s="2"/>
      <c r="L64" s="2">
        <f t="shared" si="0"/>
        <v>-59.94</v>
      </c>
      <c r="M64" s="2"/>
      <c r="N64" s="22">
        <f t="shared" si="1"/>
        <v>0</v>
      </c>
      <c r="O64" s="11"/>
      <c r="P64" s="2">
        <f>-153.37</f>
        <v>-153.37</v>
      </c>
      <c r="Q64" s="2"/>
      <c r="R64" s="22"/>
      <c r="S64" s="2"/>
      <c r="T64" s="2"/>
      <c r="U64" s="2"/>
      <c r="V64" s="22"/>
      <c r="W64" s="2"/>
      <c r="X64" s="2">
        <f t="shared" si="2"/>
        <v>-153.37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"4244", " - ", "SALES RETURN TAXABLE-ACCESSORI")</f>
        <v xml:space="preserve">          4244 - SALES RETURN TAXABLE-ACCESSORI</v>
      </c>
      <c r="C65" s="11"/>
      <c r="D65" s="2">
        <f>-60</f>
        <v>-60</v>
      </c>
      <c r="E65" s="2"/>
      <c r="F65" s="22"/>
      <c r="G65" s="2"/>
      <c r="H65" s="2"/>
      <c r="I65" s="2"/>
      <c r="J65" s="22"/>
      <c r="K65" s="2"/>
      <c r="L65" s="2">
        <f t="shared" si="0"/>
        <v>-60</v>
      </c>
      <c r="M65" s="2"/>
      <c r="N65" s="22">
        <f t="shared" si="1"/>
        <v>0</v>
      </c>
      <c r="O65" s="11"/>
      <c r="P65" s="2">
        <f>-410.99</f>
        <v>-410.99</v>
      </c>
      <c r="Q65" s="2"/>
      <c r="R65" s="22"/>
      <c r="S65" s="2"/>
      <c r="T65" s="2"/>
      <c r="U65" s="2"/>
      <c r="V65" s="22"/>
      <c r="W65" s="2"/>
      <c r="X65" s="2">
        <f t="shared" si="2"/>
        <v>-410.99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"4245", " - ", "SALES RETURN TAXABLE-SPECIAL O")</f>
        <v xml:space="preserve">          4245 - SALES RETURN TAXABLE-SPECIAL O</v>
      </c>
      <c r="C66" s="11"/>
      <c r="D66" s="2">
        <f>-3.99</f>
        <v>-3.99</v>
      </c>
      <c r="E66" s="2"/>
      <c r="F66" s="22"/>
      <c r="G66" s="2"/>
      <c r="H66" s="2"/>
      <c r="I66" s="2"/>
      <c r="J66" s="22"/>
      <c r="K66" s="2"/>
      <c r="L66" s="2">
        <f t="shared" si="0"/>
        <v>-3.99</v>
      </c>
      <c r="M66" s="2"/>
      <c r="N66" s="22">
        <f t="shared" si="1"/>
        <v>0</v>
      </c>
      <c r="O66" s="11"/>
      <c r="P66" s="2">
        <f>-1182.95</f>
        <v>-1182.95</v>
      </c>
      <c r="Q66" s="2"/>
      <c r="R66" s="22"/>
      <c r="S66" s="2"/>
      <c r="T66" s="2"/>
      <c r="U66" s="2"/>
      <c r="V66" s="22"/>
      <c r="W66" s="2"/>
      <c r="X66" s="2">
        <f t="shared" si="2"/>
        <v>-1182.95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"4301", " - ", "SALES RETURN NON TAXABLE-NEW T")</f>
        <v xml:space="preserve">          4301 - SALES RETURN NON TAXABLE-NEW T</v>
      </c>
      <c r="C67" s="11"/>
      <c r="D67" s="2">
        <f>-1820.43</f>
        <v>-1820.43</v>
      </c>
      <c r="E67" s="2"/>
      <c r="F67" s="22"/>
      <c r="G67" s="2"/>
      <c r="H67" s="2"/>
      <c r="I67" s="2"/>
      <c r="J67" s="22"/>
      <c r="K67" s="2"/>
      <c r="L67" s="2">
        <f t="shared" si="0"/>
        <v>-1820.43</v>
      </c>
      <c r="M67" s="2"/>
      <c r="N67" s="22">
        <f t="shared" si="1"/>
        <v>0</v>
      </c>
      <c r="O67" s="11"/>
      <c r="P67" s="2">
        <f>-1840.68</f>
        <v>-1840.68</v>
      </c>
      <c r="Q67" s="2"/>
      <c r="R67" s="22"/>
      <c r="S67" s="2"/>
      <c r="T67" s="2"/>
      <c r="U67" s="2"/>
      <c r="V67" s="22"/>
      <c r="W67" s="2"/>
      <c r="X67" s="2">
        <f t="shared" si="2"/>
        <v>-1840.68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"4302", " - ", "SALES RETURN NON TAXABLE-TEXT")</f>
        <v xml:space="preserve">          4302 - SALES RETURN NON TAXABLE-TEXT</v>
      </c>
      <c r="C68" s="11"/>
      <c r="D68" s="2">
        <f>-737.24</f>
        <v>-737.24</v>
      </c>
      <c r="E68" s="2"/>
      <c r="F68" s="22"/>
      <c r="G68" s="2"/>
      <c r="H68" s="2"/>
      <c r="I68" s="2"/>
      <c r="J68" s="22"/>
      <c r="K68" s="2"/>
      <c r="L68" s="2">
        <f t="shared" si="0"/>
        <v>-737.24</v>
      </c>
      <c r="M68" s="2"/>
      <c r="N68" s="22">
        <f t="shared" si="1"/>
        <v>0</v>
      </c>
      <c r="O68" s="11"/>
      <c r="P68" s="2">
        <f>-1147.08</f>
        <v>-1147.08</v>
      </c>
      <c r="Q68" s="2"/>
      <c r="R68" s="22"/>
      <c r="S68" s="2"/>
      <c r="T68" s="2"/>
      <c r="U68" s="2"/>
      <c r="V68" s="22"/>
      <c r="W68" s="2"/>
      <c r="X68" s="2">
        <f t="shared" si="2"/>
        <v>-1147.08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"4304", " - ", "SALES RETURN NON TAXABLE-DIGIT")</f>
        <v xml:space="preserve">          4304 - SALES RETURN NON TAXABLE-DIGIT</v>
      </c>
      <c r="C69" s="11"/>
      <c r="D69" s="2">
        <f>-7456.63</f>
        <v>-7456.63</v>
      </c>
      <c r="E69" s="2"/>
      <c r="F69" s="22"/>
      <c r="G69" s="2"/>
      <c r="H69" s="2"/>
      <c r="I69" s="2"/>
      <c r="J69" s="22"/>
      <c r="K69" s="2"/>
      <c r="L69" s="2">
        <f t="shared" si="0"/>
        <v>-7456.63</v>
      </c>
      <c r="M69" s="2"/>
      <c r="N69" s="22">
        <f t="shared" si="1"/>
        <v>0</v>
      </c>
      <c r="O69" s="11"/>
      <c r="P69" s="2">
        <f>-13409.36</f>
        <v>-13409.36</v>
      </c>
      <c r="Q69" s="2"/>
      <c r="R69" s="22"/>
      <c r="S69" s="2"/>
      <c r="T69" s="2"/>
      <c r="U69" s="2"/>
      <c r="V69" s="22"/>
      <c r="W69" s="2"/>
      <c r="X69" s="2">
        <f t="shared" si="2"/>
        <v>-13409.36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"4340", " - ", "SALES RETURN NON TAXABLE-LOGO")</f>
        <v xml:space="preserve">          4340 - SALES RETURN NON TAXABLE-LOGO</v>
      </c>
      <c r="C70" s="11"/>
      <c r="D70" s="2">
        <f>-36.9</f>
        <v>-36.9</v>
      </c>
      <c r="E70" s="2"/>
      <c r="F70" s="22"/>
      <c r="G70" s="2"/>
      <c r="H70" s="2"/>
      <c r="I70" s="2"/>
      <c r="J70" s="22"/>
      <c r="K70" s="2"/>
      <c r="L70" s="2">
        <f t="shared" si="0"/>
        <v>-36.9</v>
      </c>
      <c r="M70" s="2"/>
      <c r="N70" s="22">
        <f t="shared" si="1"/>
        <v>0</v>
      </c>
      <c r="O70" s="11"/>
      <c r="P70" s="2">
        <f>-541.04</f>
        <v>-541.04</v>
      </c>
      <c r="Q70" s="2"/>
      <c r="R70" s="22"/>
      <c r="S70" s="2"/>
      <c r="T70" s="2"/>
      <c r="U70" s="2"/>
      <c r="V70" s="22"/>
      <c r="W70" s="2"/>
      <c r="X70" s="2">
        <f t="shared" si="2"/>
        <v>-541.04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"4341", " - ", "SALES RETURN NON TAXABLE-LOGO")</f>
        <v xml:space="preserve">          4341 - SALES RETURN NON TAXABLE-LOGO</v>
      </c>
      <c r="C71" s="11"/>
      <c r="D71" s="2">
        <f>-129.95</f>
        <v>-129.94999999999999</v>
      </c>
      <c r="E71" s="2"/>
      <c r="F71" s="22"/>
      <c r="G71" s="2"/>
      <c r="H71" s="2"/>
      <c r="I71" s="2"/>
      <c r="J71" s="22"/>
      <c r="K71" s="2"/>
      <c r="L71" s="2">
        <f t="shared" si="0"/>
        <v>-129.94999999999999</v>
      </c>
      <c r="M71" s="2"/>
      <c r="N71" s="22">
        <f t="shared" si="1"/>
        <v>0</v>
      </c>
      <c r="O71" s="11"/>
      <c r="P71" s="2">
        <f>-146.9</f>
        <v>-146.9</v>
      </c>
      <c r="Q71" s="2"/>
      <c r="R71" s="22"/>
      <c r="S71" s="2"/>
      <c r="T71" s="2"/>
      <c r="U71" s="2"/>
      <c r="V71" s="22"/>
      <c r="W71" s="2"/>
      <c r="X71" s="2">
        <f t="shared" si="2"/>
        <v>-146.9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"4342", " - ", "SALES RETURN NON TAXABLE-EVERY")</f>
        <v xml:space="preserve">          4342 - SALES RETURN NON TAXABLE-EVERY</v>
      </c>
      <c r="C72" s="11"/>
      <c r="D72" s="2">
        <f>-24.95</f>
        <v>-24.95</v>
      </c>
      <c r="E72" s="2"/>
      <c r="F72" s="22"/>
      <c r="G72" s="2"/>
      <c r="H72" s="2"/>
      <c r="I72" s="2"/>
      <c r="J72" s="22"/>
      <c r="K72" s="2"/>
      <c r="L72" s="2">
        <f t="shared" si="0"/>
        <v>-24.95</v>
      </c>
      <c r="M72" s="2"/>
      <c r="N72" s="22">
        <f t="shared" si="1"/>
        <v>0</v>
      </c>
      <c r="O72" s="11"/>
      <c r="P72" s="2">
        <f>-118.7</f>
        <v>-118.7</v>
      </c>
      <c r="Q72" s="2"/>
      <c r="R72" s="22"/>
      <c r="S72" s="2"/>
      <c r="T72" s="2"/>
      <c r="U72" s="2"/>
      <c r="V72" s="22"/>
      <c r="W72" s="2"/>
      <c r="X72" s="2">
        <f t="shared" si="2"/>
        <v>-118.7</v>
      </c>
      <c r="Y72" s="2"/>
      <c r="Z72" s="22">
        <f t="shared" si="3"/>
        <v>0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collapsed="1" x14ac:dyDescent="0.25">
      <c r="A74" s="10"/>
      <c r="B74" s="25" t="s">
        <v>8</v>
      </c>
      <c r="C74" s="10"/>
      <c r="D74" s="4">
        <f>SUM(OSRRefD16x_0)</f>
        <v>231141.09999999989</v>
      </c>
      <c r="E74" s="4"/>
      <c r="F74" s="12">
        <f t="shared" ref="F74:F100" si="5">IF(D$12=0,0,D74/D$12)</f>
        <v>0.626152816372607</v>
      </c>
      <c r="G74" s="4"/>
      <c r="H74" s="4">
        <f>SUM(OSRRefH16x_0)</f>
        <v>831126</v>
      </c>
      <c r="I74" s="4"/>
      <c r="J74" s="12">
        <f t="shared" ref="J74:J100" si="6">IF(H$12=0,0,H74/H$12)</f>
        <v>0.645342282379469</v>
      </c>
      <c r="K74" s="4"/>
      <c r="L74" s="4">
        <f t="shared" ref="L74:L100" si="7">+D74-H74</f>
        <v>-599984.90000000014</v>
      </c>
      <c r="M74" s="4"/>
      <c r="N74" s="12">
        <f t="shared" ref="N74:N100" si="8">IF(H74=0,0,L74/H74)</f>
        <v>-0.72189403291438381</v>
      </c>
      <c r="O74" s="10"/>
      <c r="P74" s="4">
        <f>SUM(OSRRefP16x_0)</f>
        <v>1453959.43</v>
      </c>
      <c r="Q74" s="4"/>
      <c r="R74" s="12">
        <f t="shared" ref="R74:R100" si="9">IF(P$12=0,0,P74/P$12)</f>
        <v>0.66272784303967969</v>
      </c>
      <c r="S74" s="4"/>
      <c r="T74" s="4">
        <f>SUM(OSRRefT16x_0)</f>
        <v>2281761</v>
      </c>
      <c r="U74" s="4"/>
      <c r="V74" s="12">
        <f t="shared" ref="V74:V100" si="10">IF(T$12=0,0,T74/T$12)</f>
        <v>0.6367474702543322</v>
      </c>
      <c r="W74" s="4"/>
      <c r="X74" s="4">
        <f t="shared" ref="X74:X100" si="11">+P74-T74</f>
        <v>-827801.57000000007</v>
      </c>
      <c r="Y74" s="4"/>
      <c r="Z74" s="12">
        <f t="shared" ref="Z74:Z100" si="12">IF(T74=0,0,X74/T74)</f>
        <v>-0.36279065598894894</v>
      </c>
    </row>
    <row r="75" spans="1:26" s="24" customFormat="1" hidden="1" outlineLevel="1" x14ac:dyDescent="0.25">
      <c r="A75" s="51"/>
      <c r="B75" s="11" t="str">
        <f>CONCATENATE("          ", "5000", " - ", "PURCHASES @ COST")</f>
        <v xml:space="preserve">          5000 - PURCHASES @ COST</v>
      </c>
      <c r="C75" s="11"/>
      <c r="D75" s="2"/>
      <c r="E75" s="2"/>
      <c r="F75" s="22">
        <f t="shared" si="5"/>
        <v>0</v>
      </c>
      <c r="G75" s="2"/>
      <c r="H75" s="2">
        <v>831126</v>
      </c>
      <c r="I75" s="2"/>
      <c r="J75" s="22">
        <f t="shared" si="6"/>
        <v>0.645342282379469</v>
      </c>
      <c r="K75" s="2"/>
      <c r="L75" s="2">
        <f t="shared" si="7"/>
        <v>-831126</v>
      </c>
      <c r="M75" s="2"/>
      <c r="N75" s="22">
        <f t="shared" si="8"/>
        <v>-1</v>
      </c>
      <c r="O75" s="11"/>
      <c r="P75" s="2"/>
      <c r="Q75" s="2"/>
      <c r="R75" s="22">
        <f t="shared" si="9"/>
        <v>0</v>
      </c>
      <c r="S75" s="2"/>
      <c r="T75" s="2">
        <v>2281761</v>
      </c>
      <c r="U75" s="2"/>
      <c r="V75" s="22">
        <f t="shared" si="10"/>
        <v>0.6367474702543322</v>
      </c>
      <c r="W75" s="2"/>
      <c r="X75" s="2">
        <f t="shared" si="11"/>
        <v>-2281761</v>
      </c>
      <c r="Y75" s="2"/>
      <c r="Z75" s="22">
        <f t="shared" si="12"/>
        <v>-1</v>
      </c>
    </row>
    <row r="76" spans="1:26" s="24" customFormat="1" hidden="1" outlineLevel="1" x14ac:dyDescent="0.25">
      <c r="A76" s="51"/>
      <c r="B76" s="11" t="str">
        <f>CONCATENATE("          ", "5001", " - ", "PURCHASES @ COST-NEW TEXT")</f>
        <v xml:space="preserve">          5001 - PURCHASES @ COST-NEW TEXT</v>
      </c>
      <c r="C76" s="11"/>
      <c r="D76" s="2">
        <v>602088.99</v>
      </c>
      <c r="E76" s="2"/>
      <c r="F76" s="22">
        <f t="shared" si="5"/>
        <v>1.6310371318447416</v>
      </c>
      <c r="G76" s="2"/>
      <c r="H76" s="2"/>
      <c r="I76" s="2"/>
      <c r="J76" s="22">
        <f t="shared" si="6"/>
        <v>0</v>
      </c>
      <c r="K76" s="2"/>
      <c r="L76" s="2">
        <f t="shared" si="7"/>
        <v>602088.99</v>
      </c>
      <c r="M76" s="2"/>
      <c r="N76" s="22">
        <f t="shared" si="8"/>
        <v>0</v>
      </c>
      <c r="O76" s="11"/>
      <c r="P76" s="2">
        <v>1293421.76</v>
      </c>
      <c r="Q76" s="2"/>
      <c r="R76" s="22">
        <f t="shared" si="9"/>
        <v>0.58955332278108086</v>
      </c>
      <c r="S76" s="2"/>
      <c r="T76" s="2"/>
      <c r="U76" s="2"/>
      <c r="V76" s="22">
        <f t="shared" si="10"/>
        <v>0</v>
      </c>
      <c r="W76" s="2"/>
      <c r="X76" s="2">
        <f t="shared" si="11"/>
        <v>1293421.76</v>
      </c>
      <c r="Y76" s="2"/>
      <c r="Z76" s="22">
        <f t="shared" si="12"/>
        <v>0</v>
      </c>
    </row>
    <row r="77" spans="1:26" s="24" customFormat="1" hidden="1" outlineLevel="1" x14ac:dyDescent="0.25">
      <c r="A77" s="51"/>
      <c r="B77" s="11" t="str">
        <f>CONCATENATE("          ", "5002", " - ", "PURCHASES @ COST-USED TEXT")</f>
        <v xml:space="preserve">          5002 - PURCHASES @ COST-USED TEXT</v>
      </c>
      <c r="C77" s="11"/>
      <c r="D77" s="2">
        <v>108363.86</v>
      </c>
      <c r="E77" s="2"/>
      <c r="F77" s="22">
        <f t="shared" si="5"/>
        <v>0.29355374761133751</v>
      </c>
      <c r="G77" s="2"/>
      <c r="H77" s="2"/>
      <c r="I77" s="2"/>
      <c r="J77" s="22">
        <f t="shared" si="6"/>
        <v>0</v>
      </c>
      <c r="K77" s="2"/>
      <c r="L77" s="2">
        <f t="shared" si="7"/>
        <v>108363.86</v>
      </c>
      <c r="M77" s="2"/>
      <c r="N77" s="22">
        <f t="shared" si="8"/>
        <v>0</v>
      </c>
      <c r="O77" s="11"/>
      <c r="P77" s="2">
        <v>296731.38</v>
      </c>
      <c r="Q77" s="2"/>
      <c r="R77" s="22">
        <f t="shared" si="9"/>
        <v>0.13525284362961046</v>
      </c>
      <c r="S77" s="2"/>
      <c r="T77" s="2"/>
      <c r="U77" s="2"/>
      <c r="V77" s="22">
        <f t="shared" si="10"/>
        <v>0</v>
      </c>
      <c r="W77" s="2"/>
      <c r="X77" s="2">
        <f t="shared" si="11"/>
        <v>296731.38</v>
      </c>
      <c r="Y77" s="2"/>
      <c r="Z77" s="22">
        <f t="shared" si="12"/>
        <v>0</v>
      </c>
    </row>
    <row r="78" spans="1:26" s="24" customFormat="1" hidden="1" outlineLevel="1" x14ac:dyDescent="0.25">
      <c r="A78" s="51"/>
      <c r="B78" s="11" t="str">
        <f>CONCATENATE("          ", "5003", " - ", "PURCHASES @ COST-RENTAL TEXT")</f>
        <v xml:space="preserve">          5003 - PURCHASES @ COST-RENTAL TEXT</v>
      </c>
      <c r="C78" s="11"/>
      <c r="D78" s="2">
        <v>781.74</v>
      </c>
      <c r="E78" s="2"/>
      <c r="F78" s="22">
        <f t="shared" si="5"/>
        <v>2.1177051708723463E-3</v>
      </c>
      <c r="G78" s="2"/>
      <c r="H78" s="2"/>
      <c r="I78" s="2"/>
      <c r="J78" s="22">
        <f t="shared" si="6"/>
        <v>0</v>
      </c>
      <c r="K78" s="2"/>
      <c r="L78" s="2">
        <f t="shared" si="7"/>
        <v>781.74</v>
      </c>
      <c r="M78" s="2"/>
      <c r="N78" s="22">
        <f t="shared" si="8"/>
        <v>0</v>
      </c>
      <c r="O78" s="11"/>
      <c r="P78" s="2">
        <v>-11086.1</v>
      </c>
      <c r="Q78" s="2"/>
      <c r="R78" s="22">
        <f t="shared" si="9"/>
        <v>-5.053144530120895E-3</v>
      </c>
      <c r="S78" s="2"/>
      <c r="T78" s="2"/>
      <c r="U78" s="2"/>
      <c r="V78" s="22">
        <f t="shared" si="10"/>
        <v>0</v>
      </c>
      <c r="W78" s="2"/>
      <c r="X78" s="2">
        <f t="shared" si="11"/>
        <v>-11086.1</v>
      </c>
      <c r="Y78" s="2"/>
      <c r="Z78" s="22">
        <f t="shared" si="12"/>
        <v>0</v>
      </c>
    </row>
    <row r="79" spans="1:26" s="24" customFormat="1" hidden="1" outlineLevel="1" x14ac:dyDescent="0.25">
      <c r="A79" s="51"/>
      <c r="B79" s="11" t="str">
        <f>CONCATENATE("          ", "5004", " - ", "PURCHASES @ COST-DIGITAL TEXT")</f>
        <v xml:space="preserve">          5004 - PURCHASES @ COST-DIGITAL TEXT</v>
      </c>
      <c r="C79" s="11"/>
      <c r="D79" s="2">
        <v>60186.1</v>
      </c>
      <c r="E79" s="2"/>
      <c r="F79" s="22">
        <f t="shared" si="5"/>
        <v>0.16304195152434328</v>
      </c>
      <c r="G79" s="2"/>
      <c r="H79" s="2"/>
      <c r="I79" s="2"/>
      <c r="J79" s="22">
        <f t="shared" si="6"/>
        <v>0</v>
      </c>
      <c r="K79" s="2"/>
      <c r="L79" s="2">
        <f t="shared" si="7"/>
        <v>60186.1</v>
      </c>
      <c r="M79" s="2"/>
      <c r="N79" s="22">
        <f t="shared" si="8"/>
        <v>0</v>
      </c>
      <c r="O79" s="11"/>
      <c r="P79" s="2">
        <v>182616.07</v>
      </c>
      <c r="Q79" s="2"/>
      <c r="R79" s="22">
        <f t="shared" si="9"/>
        <v>8.3238054431465924E-2</v>
      </c>
      <c r="S79" s="2"/>
      <c r="T79" s="2"/>
      <c r="U79" s="2"/>
      <c r="V79" s="22">
        <f t="shared" si="10"/>
        <v>0</v>
      </c>
      <c r="W79" s="2"/>
      <c r="X79" s="2">
        <f t="shared" si="11"/>
        <v>182616.07</v>
      </c>
      <c r="Y79" s="2"/>
      <c r="Z79" s="22">
        <f t="shared" si="12"/>
        <v>0</v>
      </c>
    </row>
    <row r="80" spans="1:26" s="24" customFormat="1" hidden="1" outlineLevel="1" x14ac:dyDescent="0.25">
      <c r="A80" s="51"/>
      <c r="B80" s="11" t="str">
        <f>CONCATENATE("          ", "5013", " - ", "PURCHASES @ COST-TRADE BOOKS")</f>
        <v xml:space="preserve">          5013 - PURCHASES @ COST-TRADE BOOKS</v>
      </c>
      <c r="C80" s="11"/>
      <c r="D80" s="2">
        <v>-9.36</v>
      </c>
      <c r="E80" s="2"/>
      <c r="F80" s="22">
        <f t="shared" si="5"/>
        <v>-2.5355898891402715E-5</v>
      </c>
      <c r="G80" s="2"/>
      <c r="H80" s="2"/>
      <c r="I80" s="2"/>
      <c r="J80" s="22">
        <f t="shared" si="6"/>
        <v>0</v>
      </c>
      <c r="K80" s="2"/>
      <c r="L80" s="2">
        <f t="shared" si="7"/>
        <v>-9.36</v>
      </c>
      <c r="M80" s="2"/>
      <c r="N80" s="22">
        <f t="shared" si="8"/>
        <v>0</v>
      </c>
      <c r="O80" s="11"/>
      <c r="P80" s="2">
        <v>99.18</v>
      </c>
      <c r="Q80" s="2"/>
      <c r="R80" s="22">
        <f t="shared" si="9"/>
        <v>4.5207139976853028E-5</v>
      </c>
      <c r="S80" s="2"/>
      <c r="T80" s="2"/>
      <c r="U80" s="2"/>
      <c r="V80" s="22">
        <f t="shared" si="10"/>
        <v>0</v>
      </c>
      <c r="W80" s="2"/>
      <c r="X80" s="2">
        <f t="shared" si="11"/>
        <v>99.18</v>
      </c>
      <c r="Y80" s="2"/>
      <c r="Z80" s="22">
        <f t="shared" si="12"/>
        <v>0</v>
      </c>
    </row>
    <row r="81" spans="1:26" s="24" customFormat="1" hidden="1" outlineLevel="1" x14ac:dyDescent="0.25">
      <c r="A81" s="51"/>
      <c r="B81" s="11" t="str">
        <f>CONCATENATE("          ", "5014", " - ", "PURCHASES @ COST-REMAINDERS")</f>
        <v xml:space="preserve">          5014 - PURCHASES @ COST-REMAINDERS</v>
      </c>
      <c r="C81" s="11"/>
      <c r="D81" s="2"/>
      <c r="E81" s="2"/>
      <c r="F81" s="22">
        <f t="shared" si="5"/>
        <v>0</v>
      </c>
      <c r="G81" s="2"/>
      <c r="H81" s="2"/>
      <c r="I81" s="2"/>
      <c r="J81" s="22">
        <f t="shared" si="6"/>
        <v>0</v>
      </c>
      <c r="K81" s="2"/>
      <c r="L81" s="2">
        <f t="shared" si="7"/>
        <v>0</v>
      </c>
      <c r="M81" s="2"/>
      <c r="N81" s="22">
        <f t="shared" si="8"/>
        <v>0</v>
      </c>
      <c r="O81" s="11"/>
      <c r="P81" s="2">
        <v>-12.51</v>
      </c>
      <c r="Q81" s="2"/>
      <c r="R81" s="22">
        <f t="shared" si="9"/>
        <v>-5.7021710134143109E-6</v>
      </c>
      <c r="S81" s="2"/>
      <c r="T81" s="2"/>
      <c r="U81" s="2"/>
      <c r="V81" s="22">
        <f t="shared" si="10"/>
        <v>0</v>
      </c>
      <c r="W81" s="2"/>
      <c r="X81" s="2">
        <f t="shared" si="11"/>
        <v>-12.51</v>
      </c>
      <c r="Y81" s="2"/>
      <c r="Z81" s="22">
        <f t="shared" si="12"/>
        <v>0</v>
      </c>
    </row>
    <row r="82" spans="1:26" s="24" customFormat="1" hidden="1" outlineLevel="1" x14ac:dyDescent="0.25">
      <c r="A82" s="51"/>
      <c r="B82" s="11" t="str">
        <f>CONCATENATE("          ", "5027", " - ", "PURCHASES @ COST-SCHOOL SUPPLI")</f>
        <v xml:space="preserve">          5027 - PURCHASES @ COST-SCHOOL SUPPLI</v>
      </c>
      <c r="C82" s="11"/>
      <c r="D82" s="2"/>
      <c r="E82" s="2"/>
      <c r="F82" s="22">
        <f t="shared" si="5"/>
        <v>0</v>
      </c>
      <c r="G82" s="2"/>
      <c r="H82" s="2"/>
      <c r="I82" s="2"/>
      <c r="J82" s="22">
        <f t="shared" si="6"/>
        <v>0</v>
      </c>
      <c r="K82" s="2"/>
      <c r="L82" s="2">
        <f t="shared" si="7"/>
        <v>0</v>
      </c>
      <c r="M82" s="2"/>
      <c r="N82" s="22">
        <f t="shared" si="8"/>
        <v>0</v>
      </c>
      <c r="O82" s="11"/>
      <c r="P82" s="2">
        <v>8503.4</v>
      </c>
      <c r="Q82" s="2"/>
      <c r="R82" s="22">
        <f t="shared" si="9"/>
        <v>3.8759265384066544E-3</v>
      </c>
      <c r="S82" s="2"/>
      <c r="T82" s="2"/>
      <c r="U82" s="2"/>
      <c r="V82" s="22">
        <f t="shared" si="10"/>
        <v>0</v>
      </c>
      <c r="W82" s="2"/>
      <c r="X82" s="2">
        <f t="shared" si="11"/>
        <v>8503.4</v>
      </c>
      <c r="Y82" s="2"/>
      <c r="Z82" s="22">
        <f t="shared" si="12"/>
        <v>0</v>
      </c>
    </row>
    <row r="83" spans="1:26" s="24" customFormat="1" hidden="1" outlineLevel="1" x14ac:dyDescent="0.25">
      <c r="A83" s="51"/>
      <c r="B83" s="11" t="str">
        <f>CONCATENATE("          ", "5028", " - ", "PURCHASES @ COST-ART/TECH")</f>
        <v xml:space="preserve">          5028 - PURCHASES @ COST-ART/TECH</v>
      </c>
      <c r="C83" s="11"/>
      <c r="D83" s="2">
        <v>-83.4</v>
      </c>
      <c r="E83" s="2"/>
      <c r="F83" s="22">
        <f t="shared" si="5"/>
        <v>-2.2592756063493448E-4</v>
      </c>
      <c r="G83" s="2"/>
      <c r="H83" s="2"/>
      <c r="I83" s="2"/>
      <c r="J83" s="22">
        <f t="shared" si="6"/>
        <v>0</v>
      </c>
      <c r="K83" s="2"/>
      <c r="L83" s="2">
        <f t="shared" si="7"/>
        <v>-83.4</v>
      </c>
      <c r="M83" s="2"/>
      <c r="N83" s="22">
        <f t="shared" si="8"/>
        <v>0</v>
      </c>
      <c r="O83" s="11"/>
      <c r="P83" s="2">
        <v>-83.4</v>
      </c>
      <c r="Q83" s="2"/>
      <c r="R83" s="22">
        <f t="shared" si="9"/>
        <v>-3.8014473422762072E-5</v>
      </c>
      <c r="S83" s="2"/>
      <c r="T83" s="2"/>
      <c r="U83" s="2"/>
      <c r="V83" s="22">
        <f t="shared" si="10"/>
        <v>0</v>
      </c>
      <c r="W83" s="2"/>
      <c r="X83" s="2">
        <f t="shared" si="11"/>
        <v>-83.4</v>
      </c>
      <c r="Y83" s="2"/>
      <c r="Z83" s="22">
        <f t="shared" si="12"/>
        <v>0</v>
      </c>
    </row>
    <row r="84" spans="1:26" s="24" customFormat="1" hidden="1" outlineLevel="1" x14ac:dyDescent="0.25">
      <c r="A84" s="51"/>
      <c r="B84" s="11" t="str">
        <f>CONCATENATE("          ", "5031", " - ", "PURCHASES @ COST-FOOD")</f>
        <v xml:space="preserve">          5031 - PURCHASES @ COST-FOOD</v>
      </c>
      <c r="C84" s="11"/>
      <c r="D84" s="2">
        <v>4065.92</v>
      </c>
      <c r="E84" s="2"/>
      <c r="F84" s="22">
        <f t="shared" si="5"/>
        <v>1.1014429104757707E-2</v>
      </c>
      <c r="G84" s="2"/>
      <c r="H84" s="2"/>
      <c r="I84" s="2"/>
      <c r="J84" s="22">
        <f t="shared" si="6"/>
        <v>0</v>
      </c>
      <c r="K84" s="2"/>
      <c r="L84" s="2">
        <f t="shared" si="7"/>
        <v>4065.92</v>
      </c>
      <c r="M84" s="2"/>
      <c r="N84" s="22">
        <f t="shared" si="8"/>
        <v>0</v>
      </c>
      <c r="O84" s="11"/>
      <c r="P84" s="2">
        <v>4065.92</v>
      </c>
      <c r="Q84" s="2"/>
      <c r="R84" s="22">
        <f t="shared" si="9"/>
        <v>1.8532830668954049E-3</v>
      </c>
      <c r="S84" s="2"/>
      <c r="T84" s="2"/>
      <c r="U84" s="2"/>
      <c r="V84" s="22">
        <f t="shared" si="10"/>
        <v>0</v>
      </c>
      <c r="W84" s="2"/>
      <c r="X84" s="2">
        <f t="shared" si="11"/>
        <v>4065.92</v>
      </c>
      <c r="Y84" s="2"/>
      <c r="Z84" s="22">
        <f t="shared" si="12"/>
        <v>0</v>
      </c>
    </row>
    <row r="85" spans="1:26" s="24" customFormat="1" hidden="1" outlineLevel="1" x14ac:dyDescent="0.25">
      <c r="A85" s="51"/>
      <c r="B85" s="11" t="str">
        <f>CONCATENATE("          ", "5040", " - ", "PURCHASES @ COST-LOGO CLOTHING")</f>
        <v xml:space="preserve">          5040 - PURCHASES @ COST-LOGO CLOTHING</v>
      </c>
      <c r="C85" s="11"/>
      <c r="D85" s="2">
        <v>4398.1499999999996</v>
      </c>
      <c r="E85" s="2"/>
      <c r="F85" s="22">
        <f t="shared" si="5"/>
        <v>1.1914428067224663E-2</v>
      </c>
      <c r="G85" s="2"/>
      <c r="H85" s="2"/>
      <c r="I85" s="2"/>
      <c r="J85" s="22">
        <f t="shared" si="6"/>
        <v>0</v>
      </c>
      <c r="K85" s="2"/>
      <c r="L85" s="2">
        <f t="shared" si="7"/>
        <v>4398.1499999999996</v>
      </c>
      <c r="M85" s="2"/>
      <c r="N85" s="22">
        <f t="shared" si="8"/>
        <v>0</v>
      </c>
      <c r="O85" s="11"/>
      <c r="P85" s="2">
        <v>13750.05</v>
      </c>
      <c r="Q85" s="2"/>
      <c r="R85" s="22">
        <f t="shared" si="9"/>
        <v>6.2673970058351267E-3</v>
      </c>
      <c r="S85" s="2"/>
      <c r="T85" s="2"/>
      <c r="U85" s="2"/>
      <c r="V85" s="22">
        <f t="shared" si="10"/>
        <v>0</v>
      </c>
      <c r="W85" s="2"/>
      <c r="X85" s="2">
        <f t="shared" si="11"/>
        <v>13750.05</v>
      </c>
      <c r="Y85" s="2"/>
      <c r="Z85" s="22">
        <f t="shared" si="12"/>
        <v>0</v>
      </c>
    </row>
    <row r="86" spans="1:26" s="24" customFormat="1" hidden="1" outlineLevel="1" x14ac:dyDescent="0.25">
      <c r="A86" s="51"/>
      <c r="B86" s="11" t="str">
        <f>CONCATENATE("          ", "5041", " - ", "PURCHASES @ COST-LOGO GIFTS")</f>
        <v xml:space="preserve">          5041 - PURCHASES @ COST-LOGO GIFTS</v>
      </c>
      <c r="C86" s="11"/>
      <c r="D86" s="2">
        <v>868</v>
      </c>
      <c r="E86" s="2"/>
      <c r="F86" s="22">
        <f t="shared" si="5"/>
        <v>2.3513803672796539E-3</v>
      </c>
      <c r="G86" s="2"/>
      <c r="H86" s="2"/>
      <c r="I86" s="2"/>
      <c r="J86" s="22">
        <f t="shared" si="6"/>
        <v>0</v>
      </c>
      <c r="K86" s="2"/>
      <c r="L86" s="2">
        <f t="shared" si="7"/>
        <v>868</v>
      </c>
      <c r="M86" s="2"/>
      <c r="N86" s="22">
        <f t="shared" si="8"/>
        <v>0</v>
      </c>
      <c r="O86" s="11"/>
      <c r="P86" s="2">
        <v>1997.54</v>
      </c>
      <c r="Q86" s="2"/>
      <c r="R86" s="22">
        <f t="shared" si="9"/>
        <v>9.1049677746887466E-4</v>
      </c>
      <c r="S86" s="2"/>
      <c r="T86" s="2"/>
      <c r="U86" s="2"/>
      <c r="V86" s="22">
        <f t="shared" si="10"/>
        <v>0</v>
      </c>
      <c r="W86" s="2"/>
      <c r="X86" s="2">
        <f t="shared" si="11"/>
        <v>1997.54</v>
      </c>
      <c r="Y86" s="2"/>
      <c r="Z86" s="22">
        <f t="shared" si="12"/>
        <v>0</v>
      </c>
    </row>
    <row r="87" spans="1:26" s="24" customFormat="1" hidden="1" outlineLevel="1" x14ac:dyDescent="0.25">
      <c r="A87" s="51"/>
      <c r="B87" s="11" t="str">
        <f>CONCATENATE("          ", "5042", " - ", "PURCHASES @ COST-EVERYDAY GIFT")</f>
        <v xml:space="preserve">          5042 - PURCHASES @ COST-EVERYDAY GIFT</v>
      </c>
      <c r="C87" s="11"/>
      <c r="D87" s="2">
        <v>522</v>
      </c>
      <c r="E87" s="2"/>
      <c r="F87" s="22">
        <f t="shared" si="5"/>
        <v>1.4140789766359208E-3</v>
      </c>
      <c r="G87" s="2"/>
      <c r="H87" s="2"/>
      <c r="I87" s="2"/>
      <c r="J87" s="22">
        <f t="shared" si="6"/>
        <v>0</v>
      </c>
      <c r="K87" s="2"/>
      <c r="L87" s="2">
        <f t="shared" si="7"/>
        <v>522</v>
      </c>
      <c r="M87" s="2"/>
      <c r="N87" s="22">
        <f t="shared" si="8"/>
        <v>0</v>
      </c>
      <c r="O87" s="11"/>
      <c r="P87" s="2">
        <v>1491.15</v>
      </c>
      <c r="Q87" s="2"/>
      <c r="R87" s="22">
        <f t="shared" si="9"/>
        <v>6.7967964081956439E-4</v>
      </c>
      <c r="S87" s="2"/>
      <c r="T87" s="2"/>
      <c r="U87" s="2"/>
      <c r="V87" s="22">
        <f t="shared" si="10"/>
        <v>0</v>
      </c>
      <c r="W87" s="2"/>
      <c r="X87" s="2">
        <f t="shared" si="11"/>
        <v>1491.15</v>
      </c>
      <c r="Y87" s="2"/>
      <c r="Z87" s="22">
        <f t="shared" si="12"/>
        <v>0</v>
      </c>
    </row>
    <row r="88" spans="1:26" s="24" customFormat="1" hidden="1" outlineLevel="1" x14ac:dyDescent="0.25">
      <c r="A88" s="51"/>
      <c r="B88" s="11" t="str">
        <f>CONCATENATE("          ", "5043", " - ", "PURCHASES @ COST-CARDS")</f>
        <v xml:space="preserve">          5043 - PURCHASES @ COST-CARDS</v>
      </c>
      <c r="C88" s="11"/>
      <c r="D88" s="2">
        <v>1401</v>
      </c>
      <c r="E88" s="2"/>
      <c r="F88" s="22">
        <f t="shared" si="5"/>
        <v>3.7952579430400864E-3</v>
      </c>
      <c r="G88" s="2"/>
      <c r="H88" s="2"/>
      <c r="I88" s="2"/>
      <c r="J88" s="22">
        <f t="shared" si="6"/>
        <v>0</v>
      </c>
      <c r="K88" s="2"/>
      <c r="L88" s="2">
        <f t="shared" si="7"/>
        <v>1401</v>
      </c>
      <c r="M88" s="2"/>
      <c r="N88" s="22">
        <f t="shared" si="8"/>
        <v>0</v>
      </c>
      <c r="O88" s="11"/>
      <c r="P88" s="2">
        <v>3116.25</v>
      </c>
      <c r="Q88" s="2"/>
      <c r="R88" s="22">
        <f t="shared" si="9"/>
        <v>1.4204149017228093E-3</v>
      </c>
      <c r="S88" s="2"/>
      <c r="T88" s="2"/>
      <c r="U88" s="2"/>
      <c r="V88" s="22">
        <f t="shared" si="10"/>
        <v>0</v>
      </c>
      <c r="W88" s="2"/>
      <c r="X88" s="2">
        <f t="shared" si="11"/>
        <v>3116.25</v>
      </c>
      <c r="Y88" s="2"/>
      <c r="Z88" s="22">
        <f t="shared" si="12"/>
        <v>0</v>
      </c>
    </row>
    <row r="89" spans="1:26" s="24" customFormat="1" hidden="1" outlineLevel="1" x14ac:dyDescent="0.25">
      <c r="A89" s="51"/>
      <c r="B89" s="11" t="str">
        <f>CONCATENATE("          ", "5045", " - ", "PURCHASES @ COST-SPECIAL ORDER")</f>
        <v xml:space="preserve">          5045 - PURCHASES @ COST-SPECIAL ORDER</v>
      </c>
      <c r="C89" s="11"/>
      <c r="D89" s="2">
        <v>52784.12</v>
      </c>
      <c r="E89" s="2"/>
      <c r="F89" s="22">
        <f t="shared" si="5"/>
        <v>0.14299025745637478</v>
      </c>
      <c r="G89" s="2"/>
      <c r="H89" s="2"/>
      <c r="I89" s="2"/>
      <c r="J89" s="22">
        <f t="shared" si="6"/>
        <v>0</v>
      </c>
      <c r="K89" s="2"/>
      <c r="L89" s="2">
        <f t="shared" si="7"/>
        <v>52784.12</v>
      </c>
      <c r="M89" s="2"/>
      <c r="N89" s="22">
        <f t="shared" si="8"/>
        <v>0</v>
      </c>
      <c r="O89" s="11"/>
      <c r="P89" s="2">
        <v>61174.290000000008</v>
      </c>
      <c r="Q89" s="2"/>
      <c r="R89" s="22">
        <f t="shared" si="9"/>
        <v>2.7883794021119183E-2</v>
      </c>
      <c r="S89" s="2"/>
      <c r="T89" s="2"/>
      <c r="U89" s="2"/>
      <c r="V89" s="22">
        <f t="shared" si="10"/>
        <v>0</v>
      </c>
      <c r="W89" s="2"/>
      <c r="X89" s="2">
        <f t="shared" si="11"/>
        <v>61174.290000000008</v>
      </c>
      <c r="Y89" s="2"/>
      <c r="Z89" s="22">
        <f t="shared" si="12"/>
        <v>0</v>
      </c>
    </row>
    <row r="90" spans="1:26" s="24" customFormat="1" hidden="1" outlineLevel="1" x14ac:dyDescent="0.25">
      <c r="A90" s="51"/>
      <c r="B90" s="11" t="str">
        <f>CONCATENATE("          ", "5200", " - ", "PURCHASES OFFSET")</f>
        <v xml:space="preserve">          5200 - PURCHASES OFFSET</v>
      </c>
      <c r="C90" s="11"/>
      <c r="D90" s="2">
        <v>-821971.10000000009</v>
      </c>
      <c r="E90" s="2"/>
      <c r="F90" s="22">
        <f t="shared" si="5"/>
        <v>-2.2266897546212685</v>
      </c>
      <c r="G90" s="2"/>
      <c r="H90" s="2"/>
      <c r="I90" s="2"/>
      <c r="J90" s="22">
        <f t="shared" si="6"/>
        <v>0</v>
      </c>
      <c r="K90" s="2"/>
      <c r="L90" s="2">
        <f t="shared" si="7"/>
        <v>-821971.10000000009</v>
      </c>
      <c r="M90" s="2"/>
      <c r="N90" s="22">
        <f t="shared" si="8"/>
        <v>0</v>
      </c>
      <c r="O90" s="11"/>
      <c r="P90" s="2">
        <v>-1534973.6800000002</v>
      </c>
      <c r="Q90" s="2"/>
      <c r="R90" s="22">
        <f t="shared" si="9"/>
        <v>-0.69965487005994365</v>
      </c>
      <c r="S90" s="2"/>
      <c r="T90" s="2"/>
      <c r="U90" s="2"/>
      <c r="V90" s="22">
        <f t="shared" si="10"/>
        <v>0</v>
      </c>
      <c r="W90" s="2"/>
      <c r="X90" s="2">
        <f t="shared" si="11"/>
        <v>-1534973.6800000002</v>
      </c>
      <c r="Y90" s="2"/>
      <c r="Z90" s="22">
        <f t="shared" si="12"/>
        <v>0</v>
      </c>
    </row>
    <row r="91" spans="1:26" s="24" customFormat="1" hidden="1" outlineLevel="1" x14ac:dyDescent="0.25">
      <c r="A91" s="51"/>
      <c r="B91" s="11" t="str">
        <f>CONCATENATE("          ", "5300", " - ", "COG$ OFFSET")</f>
        <v xml:space="preserve">          5300 - COG$ OFFSET</v>
      </c>
      <c r="C91" s="11"/>
      <c r="D91" s="2">
        <v>204421</v>
      </c>
      <c r="E91" s="2"/>
      <c r="F91" s="22">
        <f t="shared" si="5"/>
        <v>0.55376903923925591</v>
      </c>
      <c r="G91" s="2"/>
      <c r="H91" s="2"/>
      <c r="I91" s="2"/>
      <c r="J91" s="22">
        <f t="shared" si="6"/>
        <v>0</v>
      </c>
      <c r="K91" s="2"/>
      <c r="L91" s="2">
        <f t="shared" si="7"/>
        <v>204421</v>
      </c>
      <c r="M91" s="2"/>
      <c r="N91" s="22">
        <f t="shared" si="8"/>
        <v>0</v>
      </c>
      <c r="O91" s="11"/>
      <c r="P91" s="2">
        <v>1110478</v>
      </c>
      <c r="Q91" s="2"/>
      <c r="R91" s="22">
        <f t="shared" si="9"/>
        <v>0.50616590428731389</v>
      </c>
      <c r="S91" s="2"/>
      <c r="T91" s="2"/>
      <c r="U91" s="2"/>
      <c r="V91" s="22">
        <f t="shared" si="10"/>
        <v>0</v>
      </c>
      <c r="W91" s="2"/>
      <c r="X91" s="2">
        <f t="shared" si="11"/>
        <v>1110478</v>
      </c>
      <c r="Y91" s="2"/>
      <c r="Z91" s="22">
        <f t="shared" si="12"/>
        <v>0</v>
      </c>
    </row>
    <row r="92" spans="1:26" s="24" customFormat="1" hidden="1" outlineLevel="1" x14ac:dyDescent="0.25">
      <c r="A92" s="51"/>
      <c r="B92" s="11" t="str">
        <f>CONCATENATE("          ", "5501", " - ", "FREIGHT-IN-NEW TEXT")</f>
        <v xml:space="preserve">          5501 - FREIGHT-IN-NEW TEXT</v>
      </c>
      <c r="C92" s="11"/>
      <c r="D92" s="2">
        <v>5279.6</v>
      </c>
      <c r="E92" s="2"/>
      <c r="F92" s="22">
        <f t="shared" si="5"/>
        <v>1.4302243994342927E-2</v>
      </c>
      <c r="G92" s="2"/>
      <c r="H92" s="2"/>
      <c r="I92" s="2"/>
      <c r="J92" s="22">
        <f t="shared" si="6"/>
        <v>0</v>
      </c>
      <c r="K92" s="2"/>
      <c r="L92" s="2">
        <f t="shared" si="7"/>
        <v>5279.6</v>
      </c>
      <c r="M92" s="2"/>
      <c r="N92" s="22">
        <f t="shared" si="8"/>
        <v>0</v>
      </c>
      <c r="O92" s="11"/>
      <c r="P92" s="2">
        <v>10762.88</v>
      </c>
      <c r="Q92" s="2"/>
      <c r="R92" s="22">
        <f t="shared" si="9"/>
        <v>4.9058179342011676E-3</v>
      </c>
      <c r="S92" s="2"/>
      <c r="T92" s="2"/>
      <c r="U92" s="2"/>
      <c r="V92" s="22">
        <f t="shared" si="10"/>
        <v>0</v>
      </c>
      <c r="W92" s="2"/>
      <c r="X92" s="2">
        <f t="shared" si="11"/>
        <v>10762.88</v>
      </c>
      <c r="Y92" s="2"/>
      <c r="Z92" s="22">
        <f t="shared" si="12"/>
        <v>0</v>
      </c>
    </row>
    <row r="93" spans="1:26" s="24" customFormat="1" hidden="1" outlineLevel="1" x14ac:dyDescent="0.25">
      <c r="A93" s="51"/>
      <c r="B93" s="11" t="str">
        <f>CONCATENATE("          ", "5502", " - ", "FREIGHT-IN-USED TEXT")</f>
        <v xml:space="preserve">          5502 - FREIGHT-IN-USED TEXT</v>
      </c>
      <c r="C93" s="11"/>
      <c r="D93" s="2">
        <v>7276.27</v>
      </c>
      <c r="E93" s="2"/>
      <c r="F93" s="22">
        <f t="shared" si="5"/>
        <v>1.9711150259246458E-2</v>
      </c>
      <c r="G93" s="2"/>
      <c r="H93" s="2"/>
      <c r="I93" s="2"/>
      <c r="J93" s="22">
        <f t="shared" si="6"/>
        <v>0</v>
      </c>
      <c r="K93" s="2"/>
      <c r="L93" s="2">
        <f t="shared" si="7"/>
        <v>7276.27</v>
      </c>
      <c r="M93" s="2"/>
      <c r="N93" s="22">
        <f t="shared" si="8"/>
        <v>0</v>
      </c>
      <c r="O93" s="11"/>
      <c r="P93" s="2">
        <v>8510.82</v>
      </c>
      <c r="Q93" s="2"/>
      <c r="R93" s="22">
        <f t="shared" si="9"/>
        <v>3.8793086414377924E-3</v>
      </c>
      <c r="S93" s="2"/>
      <c r="T93" s="2"/>
      <c r="U93" s="2"/>
      <c r="V93" s="22">
        <f t="shared" si="10"/>
        <v>0</v>
      </c>
      <c r="W93" s="2"/>
      <c r="X93" s="2">
        <f t="shared" si="11"/>
        <v>8510.82</v>
      </c>
      <c r="Y93" s="2"/>
      <c r="Z93" s="22">
        <f t="shared" si="12"/>
        <v>0</v>
      </c>
    </row>
    <row r="94" spans="1:26" s="24" customFormat="1" hidden="1" outlineLevel="1" x14ac:dyDescent="0.25">
      <c r="A94" s="51"/>
      <c r="B94" s="11" t="str">
        <f>CONCATENATE("          ", "5504", " - ", "FREIGHT-IN-DIGITAL TEXT")</f>
        <v xml:space="preserve">          5504 - FREIGHT-IN-DIGITAL TEXT</v>
      </c>
      <c r="C94" s="11"/>
      <c r="D94" s="2">
        <v>10.99</v>
      </c>
      <c r="E94" s="2"/>
      <c r="F94" s="22">
        <f t="shared" si="5"/>
        <v>2.9771509488944001E-5</v>
      </c>
      <c r="G94" s="2"/>
      <c r="H94" s="2"/>
      <c r="I94" s="2"/>
      <c r="J94" s="22">
        <f t="shared" si="6"/>
        <v>0</v>
      </c>
      <c r="K94" s="2"/>
      <c r="L94" s="2">
        <f t="shared" si="7"/>
        <v>10.99</v>
      </c>
      <c r="M94" s="2"/>
      <c r="N94" s="22">
        <f t="shared" si="8"/>
        <v>0</v>
      </c>
      <c r="O94" s="11"/>
      <c r="P94" s="2">
        <v>10.99</v>
      </c>
      <c r="Q94" s="2"/>
      <c r="R94" s="22">
        <f t="shared" si="9"/>
        <v>5.0093412819682872E-6</v>
      </c>
      <c r="S94" s="2"/>
      <c r="T94" s="2"/>
      <c r="U94" s="2"/>
      <c r="V94" s="22">
        <f t="shared" si="10"/>
        <v>0</v>
      </c>
      <c r="W94" s="2"/>
      <c r="X94" s="2">
        <f t="shared" si="11"/>
        <v>10.99</v>
      </c>
      <c r="Y94" s="2"/>
      <c r="Z94" s="22">
        <f t="shared" si="12"/>
        <v>0</v>
      </c>
    </row>
    <row r="95" spans="1:26" s="24" customFormat="1" hidden="1" outlineLevel="1" x14ac:dyDescent="0.25">
      <c r="A95" s="51"/>
      <c r="B95" s="11" t="str">
        <f>CONCATENATE("          ", "5528", " - ", "FREIGHT-IN-ART/TECH")</f>
        <v xml:space="preserve">          5528 - FREIGHT-IN-ART/TECH</v>
      </c>
      <c r="C95" s="11"/>
      <c r="D95" s="2">
        <v>6.76</v>
      </c>
      <c r="E95" s="2"/>
      <c r="F95" s="22">
        <f t="shared" si="5"/>
        <v>1.831259364379085E-5</v>
      </c>
      <c r="G95" s="2"/>
      <c r="H95" s="2"/>
      <c r="I95" s="2"/>
      <c r="J95" s="22">
        <f t="shared" si="6"/>
        <v>0</v>
      </c>
      <c r="K95" s="2"/>
      <c r="L95" s="2">
        <f t="shared" si="7"/>
        <v>6.76</v>
      </c>
      <c r="M95" s="2"/>
      <c r="N95" s="22">
        <f t="shared" si="8"/>
        <v>0</v>
      </c>
      <c r="O95" s="11"/>
      <c r="P95" s="2">
        <v>44.81</v>
      </c>
      <c r="Q95" s="2"/>
      <c r="R95" s="22">
        <f t="shared" si="9"/>
        <v>2.0424802806642307E-5</v>
      </c>
      <c r="S95" s="2"/>
      <c r="T95" s="2"/>
      <c r="U95" s="2"/>
      <c r="V95" s="22">
        <f t="shared" si="10"/>
        <v>0</v>
      </c>
      <c r="W95" s="2"/>
      <c r="X95" s="2">
        <f t="shared" si="11"/>
        <v>44.81</v>
      </c>
      <c r="Y95" s="2"/>
      <c r="Z95" s="22">
        <f t="shared" si="12"/>
        <v>0</v>
      </c>
    </row>
    <row r="96" spans="1:26" s="24" customFormat="1" hidden="1" outlineLevel="1" x14ac:dyDescent="0.25">
      <c r="A96" s="51"/>
      <c r="B96" s="11" t="str">
        <f>CONCATENATE("          ", "5540", " - ", "FREIGHT-IN-LOGO CLOTHING")</f>
        <v xml:space="preserve">          5540 - FREIGHT-IN-LOGO CLOTHING</v>
      </c>
      <c r="C96" s="11"/>
      <c r="D96" s="2">
        <v>234.23</v>
      </c>
      <c r="E96" s="2"/>
      <c r="F96" s="22">
        <f t="shared" si="5"/>
        <v>6.3452053390312588E-4</v>
      </c>
      <c r="G96" s="2"/>
      <c r="H96" s="2"/>
      <c r="I96" s="2"/>
      <c r="J96" s="22">
        <f t="shared" si="6"/>
        <v>0</v>
      </c>
      <c r="K96" s="2"/>
      <c r="L96" s="2">
        <f t="shared" si="7"/>
        <v>234.23</v>
      </c>
      <c r="M96" s="2"/>
      <c r="N96" s="22">
        <f t="shared" si="8"/>
        <v>0</v>
      </c>
      <c r="O96" s="11"/>
      <c r="P96" s="2">
        <v>2165.7600000000002</v>
      </c>
      <c r="Q96" s="2"/>
      <c r="R96" s="22">
        <f t="shared" si="9"/>
        <v>9.8717297314246041E-4</v>
      </c>
      <c r="S96" s="2"/>
      <c r="T96" s="2"/>
      <c r="U96" s="2"/>
      <c r="V96" s="22">
        <f t="shared" si="10"/>
        <v>0</v>
      </c>
      <c r="W96" s="2"/>
      <c r="X96" s="2">
        <f t="shared" si="11"/>
        <v>2165.7600000000002</v>
      </c>
      <c r="Y96" s="2"/>
      <c r="Z96" s="22">
        <f t="shared" si="12"/>
        <v>0</v>
      </c>
    </row>
    <row r="97" spans="1:26" s="24" customFormat="1" hidden="1" outlineLevel="1" x14ac:dyDescent="0.25">
      <c r="A97" s="51"/>
      <c r="B97" s="11" t="str">
        <f>CONCATENATE("          ", "5541", " - ", "FREIGHT-IN-LOGO GIFTS")</f>
        <v xml:space="preserve">          5541 - FREIGHT-IN-LOGO GIFTS</v>
      </c>
      <c r="C97" s="11"/>
      <c r="D97" s="2">
        <v>154.41</v>
      </c>
      <c r="E97" s="2"/>
      <c r="F97" s="22">
        <f t="shared" si="5"/>
        <v>4.1829106280144162E-4</v>
      </c>
      <c r="G97" s="2"/>
      <c r="H97" s="2"/>
      <c r="I97" s="2"/>
      <c r="J97" s="22">
        <f t="shared" si="6"/>
        <v>0</v>
      </c>
      <c r="K97" s="2"/>
      <c r="L97" s="2">
        <f t="shared" si="7"/>
        <v>154.41</v>
      </c>
      <c r="M97" s="2"/>
      <c r="N97" s="22">
        <f t="shared" si="8"/>
        <v>0</v>
      </c>
      <c r="O97" s="11"/>
      <c r="P97" s="2">
        <v>361.11</v>
      </c>
      <c r="Q97" s="2"/>
      <c r="R97" s="22">
        <f t="shared" si="9"/>
        <v>1.6459720021215363E-4</v>
      </c>
      <c r="S97" s="2"/>
      <c r="T97" s="2"/>
      <c r="U97" s="2"/>
      <c r="V97" s="22">
        <f t="shared" si="10"/>
        <v>0</v>
      </c>
      <c r="W97" s="2"/>
      <c r="X97" s="2">
        <f t="shared" si="11"/>
        <v>361.11</v>
      </c>
      <c r="Y97" s="2"/>
      <c r="Z97" s="22">
        <f t="shared" si="12"/>
        <v>0</v>
      </c>
    </row>
    <row r="98" spans="1:26" s="24" customFormat="1" hidden="1" outlineLevel="1" x14ac:dyDescent="0.25">
      <c r="A98" s="51"/>
      <c r="B98" s="11" t="str">
        <f>CONCATENATE("          ", "5542", " - ", "FREIGHT-IN-EVERYDAY GIFTS")</f>
        <v xml:space="preserve">          5542 - FREIGHT-IN-EVERYDAY GIFTS</v>
      </c>
      <c r="C98" s="11"/>
      <c r="D98" s="2">
        <v>65.44</v>
      </c>
      <c r="E98" s="2"/>
      <c r="F98" s="22">
        <f t="shared" si="5"/>
        <v>1.7727457515527711E-4</v>
      </c>
      <c r="G98" s="2"/>
      <c r="H98" s="2"/>
      <c r="I98" s="2"/>
      <c r="J98" s="22">
        <f t="shared" si="6"/>
        <v>0</v>
      </c>
      <c r="K98" s="2"/>
      <c r="L98" s="2">
        <f t="shared" si="7"/>
        <v>65.44</v>
      </c>
      <c r="M98" s="2"/>
      <c r="N98" s="22">
        <f t="shared" si="8"/>
        <v>0</v>
      </c>
      <c r="O98" s="11"/>
      <c r="P98" s="2">
        <v>71.38</v>
      </c>
      <c r="Q98" s="2"/>
      <c r="R98" s="22">
        <f t="shared" si="9"/>
        <v>3.2535648835932335E-5</v>
      </c>
      <c r="S98" s="2"/>
      <c r="T98" s="2"/>
      <c r="U98" s="2"/>
      <c r="V98" s="22">
        <f t="shared" si="10"/>
        <v>0</v>
      </c>
      <c r="W98" s="2"/>
      <c r="X98" s="2">
        <f t="shared" si="11"/>
        <v>71.38</v>
      </c>
      <c r="Y98" s="2"/>
      <c r="Z98" s="22">
        <f t="shared" si="12"/>
        <v>0</v>
      </c>
    </row>
    <row r="99" spans="1:26" s="24" customFormat="1" hidden="1" outlineLevel="1" x14ac:dyDescent="0.25">
      <c r="A99" s="51"/>
      <c r="B99" s="11" t="str">
        <f>CONCATENATE("          ", "5543", " - ", "FREIGHT-IN-CARDS")</f>
        <v xml:space="preserve">          5543 - FREIGHT-IN-CARDS</v>
      </c>
      <c r="C99" s="11"/>
      <c r="D99" s="2">
        <v>81.77</v>
      </c>
      <c r="E99" s="2"/>
      <c r="F99" s="22">
        <f t="shared" si="5"/>
        <v>2.2151195003739318E-4</v>
      </c>
      <c r="G99" s="2"/>
      <c r="H99" s="2"/>
      <c r="I99" s="2"/>
      <c r="J99" s="22">
        <f t="shared" si="6"/>
        <v>0</v>
      </c>
      <c r="K99" s="2"/>
      <c r="L99" s="2">
        <f t="shared" si="7"/>
        <v>81.77</v>
      </c>
      <c r="M99" s="2"/>
      <c r="N99" s="22">
        <f t="shared" si="8"/>
        <v>0</v>
      </c>
      <c r="O99" s="11"/>
      <c r="P99" s="2">
        <v>81.77</v>
      </c>
      <c r="Q99" s="2"/>
      <c r="R99" s="22">
        <f t="shared" si="9"/>
        <v>3.7271504697592979E-5</v>
      </c>
      <c r="S99" s="2"/>
      <c r="T99" s="2"/>
      <c r="U99" s="2"/>
      <c r="V99" s="22">
        <f t="shared" si="10"/>
        <v>0</v>
      </c>
      <c r="W99" s="2"/>
      <c r="X99" s="2">
        <f t="shared" si="11"/>
        <v>81.77</v>
      </c>
      <c r="Y99" s="2"/>
      <c r="Z99" s="22">
        <f t="shared" si="12"/>
        <v>0</v>
      </c>
    </row>
    <row r="100" spans="1:26" s="24" customFormat="1" hidden="1" outlineLevel="1" x14ac:dyDescent="0.25">
      <c r="A100" s="51"/>
      <c r="B100" s="11" t="str">
        <f>CONCATENATE("          ", "5545", " - ", "FREIGHT-IN-SPECIAL ORDERS")</f>
        <v xml:space="preserve">          5545 - FREIGHT-IN-SPECIAL ORDERS</v>
      </c>
      <c r="C100" s="11"/>
      <c r="D100" s="2">
        <v>214.61</v>
      </c>
      <c r="E100" s="2"/>
      <c r="F100" s="22">
        <f t="shared" si="5"/>
        <v>5.8137066891922405E-4</v>
      </c>
      <c r="G100" s="2"/>
      <c r="H100" s="2"/>
      <c r="I100" s="2"/>
      <c r="J100" s="22">
        <f t="shared" si="6"/>
        <v>0</v>
      </c>
      <c r="K100" s="2"/>
      <c r="L100" s="2">
        <f t="shared" si="7"/>
        <v>214.61</v>
      </c>
      <c r="M100" s="2"/>
      <c r="N100" s="22">
        <f t="shared" si="8"/>
        <v>0</v>
      </c>
      <c r="O100" s="11"/>
      <c r="P100" s="2">
        <v>660.61</v>
      </c>
      <c r="Q100" s="2"/>
      <c r="R100" s="22">
        <f t="shared" si="9"/>
        <v>3.0111200584905098E-4</v>
      </c>
      <c r="S100" s="2"/>
      <c r="T100" s="2"/>
      <c r="U100" s="2"/>
      <c r="V100" s="22">
        <f t="shared" si="10"/>
        <v>0</v>
      </c>
      <c r="W100" s="2"/>
      <c r="X100" s="2">
        <f t="shared" si="11"/>
        <v>660.61</v>
      </c>
      <c r="Y100" s="2"/>
      <c r="Z100" s="22">
        <f t="shared" si="12"/>
        <v>0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25">
      <c r="A102" s="10"/>
      <c r="B102" s="26" t="s">
        <v>6</v>
      </c>
      <c r="C102" s="26"/>
      <c r="D102" s="20">
        <f>D12-D74</f>
        <v>138003.77000000011</v>
      </c>
      <c r="E102" s="13"/>
      <c r="F102" s="21">
        <f>IF(D$12=0,0,D102/D$12)</f>
        <v>0.373847183627393</v>
      </c>
      <c r="G102" s="13"/>
      <c r="H102" s="20">
        <f>H12-H74</f>
        <v>456758</v>
      </c>
      <c r="I102" s="13"/>
      <c r="J102" s="21">
        <f>IF(H$12=0,0,H102/H$12)</f>
        <v>0.35465771762053105</v>
      </c>
      <c r="K102" s="16"/>
      <c r="L102" s="20">
        <f>+D102-H102</f>
        <v>-318754.22999999986</v>
      </c>
      <c r="M102" s="16"/>
      <c r="N102" s="21">
        <f>IF(H102=0,0,L102/H102)</f>
        <v>-0.69786239102544423</v>
      </c>
      <c r="O102" s="25"/>
      <c r="P102" s="20">
        <f>P12-P74</f>
        <v>739941.79999999958</v>
      </c>
      <c r="Q102" s="13"/>
      <c r="R102" s="21">
        <f>IF(P$12=0,0,P102/P$12)</f>
        <v>0.33727215696032031</v>
      </c>
      <c r="S102" s="13"/>
      <c r="T102" s="20">
        <f>T12-T74</f>
        <v>1301702</v>
      </c>
      <c r="U102" s="13"/>
      <c r="V102" s="21">
        <f>IF(T$12=0,0,T102/T$12)</f>
        <v>0.3632525297456678</v>
      </c>
      <c r="W102" s="16"/>
      <c r="X102" s="20">
        <f>+P102-T102</f>
        <v>-561760.20000000042</v>
      </c>
      <c r="Y102" s="16"/>
      <c r="Z102" s="21">
        <f>IF(T102=0,0,X102/T102)</f>
        <v>-0.43155822146697204</v>
      </c>
    </row>
    <row r="103" spans="1:26" x14ac:dyDescent="0.25">
      <c r="A103" s="9"/>
      <c r="B103" s="10"/>
      <c r="C103" s="9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6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x14ac:dyDescent="0.25">
      <c r="A104" s="10"/>
      <c r="B104" s="25" t="s">
        <v>9</v>
      </c>
      <c r="C104" s="10"/>
      <c r="D104" s="19">
        <f>SUM(OSRRefD22x_0)</f>
        <v>259799.44000000009</v>
      </c>
      <c r="E104" s="19"/>
      <c r="F104" s="35">
        <f t="shared" ref="F104:F115" si="13">IF(D$12=0,0,D104/D$12)</f>
        <v>0.70378721503024033</v>
      </c>
      <c r="G104" s="19"/>
      <c r="H104" s="19">
        <f>SUM(OSRRefH22x_0)</f>
        <v>398835.48061211541</v>
      </c>
      <c r="I104" s="19"/>
      <c r="J104" s="35">
        <f t="shared" ref="J104:J115" si="14">IF(H$12=0,0,H104/H$12)</f>
        <v>0.30968276693562108</v>
      </c>
      <c r="K104" s="4"/>
      <c r="L104" s="19">
        <f t="shared" ref="L104:L115" si="15">+D104-H104</f>
        <v>-139036.04061211532</v>
      </c>
      <c r="M104" s="4"/>
      <c r="N104" s="35">
        <f t="shared" ref="N104:N115" si="16">IF(H104=0,0,L104/H104)</f>
        <v>-0.34860499471794443</v>
      </c>
      <c r="O104" s="10"/>
      <c r="P104" s="19">
        <f>SUM(OSRRefP22x_0)</f>
        <v>802288.14</v>
      </c>
      <c r="Q104" s="19"/>
      <c r="R104" s="35">
        <f t="shared" ref="R104:R115" si="17">IF(P$12=0,0,P104/P$12)</f>
        <v>0.36569018195955894</v>
      </c>
      <c r="S104" s="19"/>
      <c r="T104" s="19">
        <f>SUM(OSRRefT22x_0)</f>
        <v>1231637.1343233751</v>
      </c>
      <c r="U104" s="19"/>
      <c r="V104" s="35">
        <f t="shared" ref="V104:V115" si="18">IF(T$12=0,0,T104/T$12)</f>
        <v>0.34370025149509709</v>
      </c>
      <c r="W104" s="4"/>
      <c r="X104" s="19">
        <f t="shared" ref="X104:X115" si="19">+P104-T104</f>
        <v>-429348.99432337505</v>
      </c>
      <c r="Y104" s="4"/>
      <c r="Z104" s="35">
        <f t="shared" ref="Z104:Z115" si="20">IF(T104=0,0,X104/T104)</f>
        <v>-0.34860023488918807</v>
      </c>
    </row>
    <row r="105" spans="1:26" s="28" customFormat="1" outlineLevel="1" collapsed="1" x14ac:dyDescent="0.25">
      <c r="A105" s="27"/>
      <c r="B105" s="14" t="str">
        <f>CONCATENATE("     ","*Benefits                                         ")</f>
        <v xml:space="preserve">     *Benefits                                         </v>
      </c>
      <c r="C105" s="14"/>
      <c r="D105" s="1">
        <f>SUM(OSRRefD22_0x_0)</f>
        <v>46877.819999999992</v>
      </c>
      <c r="E105" s="1"/>
      <c r="F105" s="5">
        <f t="shared" si="13"/>
        <v>0.1269903060010017</v>
      </c>
      <c r="G105" s="1"/>
      <c r="H105" s="1">
        <f>SUM(OSRRefH22_0x_0)</f>
        <v>41962.62282996154</v>
      </c>
      <c r="I105" s="1"/>
      <c r="J105" s="5">
        <f t="shared" si="14"/>
        <v>3.2582610568934425E-2</v>
      </c>
      <c r="K105" s="1"/>
      <c r="L105" s="1">
        <f t="shared" si="15"/>
        <v>4915.1971700384529</v>
      </c>
      <c r="M105" s="1"/>
      <c r="N105" s="5">
        <f t="shared" si="16"/>
        <v>0.11713274429855169</v>
      </c>
      <c r="O105" s="14"/>
      <c r="P105" s="1">
        <f>SUM(OSRRefP22_0x_0)</f>
        <v>132990.54999999999</v>
      </c>
      <c r="Q105" s="1"/>
      <c r="R105" s="5">
        <f t="shared" si="17"/>
        <v>6.061829410615719E-2</v>
      </c>
      <c r="S105" s="1"/>
      <c r="T105" s="1">
        <f>SUM(OSRRefT22_0x_0)</f>
        <v>142476.27153137495</v>
      </c>
      <c r="U105" s="1"/>
      <c r="V105" s="5">
        <f t="shared" si="18"/>
        <v>3.9759381227425804E-2</v>
      </c>
      <c r="W105" s="1"/>
      <c r="X105" s="1">
        <f t="shared" si="19"/>
        <v>-9485.7215313749621</v>
      </c>
      <c r="Y105" s="1"/>
      <c r="Z105" s="5">
        <f t="shared" si="20"/>
        <v>-6.6577553085996458E-2</v>
      </c>
    </row>
    <row r="106" spans="1:26" s="24" customFormat="1" hidden="1" outlineLevel="2" x14ac:dyDescent="0.25">
      <c r="A106" s="29"/>
      <c r="B106" s="11" t="str">
        <f>CONCATENATE("          ", "6111", " - ", "F.I.C.A.")</f>
        <v xml:space="preserve">          6111 - F.I.C.A.</v>
      </c>
      <c r="C106" s="11"/>
      <c r="D106" s="6">
        <v>11303.64</v>
      </c>
      <c r="E106" s="2"/>
      <c r="F106" s="7">
        <f t="shared" si="13"/>
        <v>3.0621148818890533E-2</v>
      </c>
      <c r="G106" s="2"/>
      <c r="H106" s="6">
        <v>6346.1987394230782</v>
      </c>
      <c r="I106" s="2"/>
      <c r="J106" s="7">
        <f t="shared" si="14"/>
        <v>4.9276167259031702E-3</v>
      </c>
      <c r="K106" s="2"/>
      <c r="L106" s="6">
        <f t="shared" si="15"/>
        <v>4957.4412605769212</v>
      </c>
      <c r="M106" s="2"/>
      <c r="N106" s="7">
        <f t="shared" si="16"/>
        <v>0.7811670362260974</v>
      </c>
      <c r="O106" s="11"/>
      <c r="P106" s="6">
        <v>29607.030000000002</v>
      </c>
      <c r="Q106" s="2"/>
      <c r="R106" s="7">
        <f t="shared" si="17"/>
        <v>1.3495151739351553E-2</v>
      </c>
      <c r="S106" s="2"/>
      <c r="T106" s="6">
        <v>31005.870254625002</v>
      </c>
      <c r="U106" s="2"/>
      <c r="V106" s="7">
        <f t="shared" si="18"/>
        <v>8.6524879019610375E-3</v>
      </c>
      <c r="W106" s="2"/>
      <c r="X106" s="6">
        <f t="shared" si="19"/>
        <v>-1398.8402546249999</v>
      </c>
      <c r="Y106" s="2"/>
      <c r="Z106" s="7">
        <f t="shared" si="20"/>
        <v>-4.511533600371502E-2</v>
      </c>
    </row>
    <row r="107" spans="1:26" s="24" customFormat="1" hidden="1" outlineLevel="2" x14ac:dyDescent="0.25">
      <c r="A107" s="29"/>
      <c r="B107" s="11" t="str">
        <f>CONCATENATE("          ", "6112", " - ", "COMPENSATION INSURANCE")</f>
        <v xml:space="preserve">          6112 - COMPENSATION INSURANCE</v>
      </c>
      <c r="C107" s="11"/>
      <c r="D107" s="6">
        <v>4070.32</v>
      </c>
      <c r="E107" s="2"/>
      <c r="F107" s="7">
        <f t="shared" si="13"/>
        <v>1.1026348544407512E-2</v>
      </c>
      <c r="G107" s="2"/>
      <c r="H107" s="6">
        <v>3160.3636380769212</v>
      </c>
      <c r="I107" s="2"/>
      <c r="J107" s="7">
        <f t="shared" si="14"/>
        <v>2.4539194819385296E-3</v>
      </c>
      <c r="K107" s="2"/>
      <c r="L107" s="6">
        <f t="shared" si="15"/>
        <v>909.95636192307893</v>
      </c>
      <c r="M107" s="2"/>
      <c r="N107" s="7">
        <f t="shared" si="16"/>
        <v>0.28792774064341109</v>
      </c>
      <c r="O107" s="11"/>
      <c r="P107" s="6">
        <v>8214.4500000000007</v>
      </c>
      <c r="Q107" s="2"/>
      <c r="R107" s="7">
        <f t="shared" si="17"/>
        <v>3.7442205180768335E-3</v>
      </c>
      <c r="S107" s="2"/>
      <c r="T107" s="6">
        <v>10176.777711249993</v>
      </c>
      <c r="U107" s="2"/>
      <c r="V107" s="7">
        <f t="shared" si="18"/>
        <v>2.8399282234112628E-3</v>
      </c>
      <c r="W107" s="2"/>
      <c r="X107" s="6">
        <f t="shared" si="19"/>
        <v>-1962.3277112499927</v>
      </c>
      <c r="Y107" s="2"/>
      <c r="Z107" s="7">
        <f t="shared" si="20"/>
        <v>-0.19282407132473015</v>
      </c>
    </row>
    <row r="108" spans="1:26" s="24" customFormat="1" hidden="1" outlineLevel="2" x14ac:dyDescent="0.25">
      <c r="A108" s="29"/>
      <c r="B108" s="11" t="str">
        <f>CONCATENATE("          ", "6113", " - ", "GROUP INSURANCE")</f>
        <v xml:space="preserve">          6113 - GROUP INSURANCE</v>
      </c>
      <c r="C108" s="11"/>
      <c r="D108" s="6">
        <v>14780.92</v>
      </c>
      <c r="E108" s="2"/>
      <c r="F108" s="7">
        <f t="shared" si="13"/>
        <v>4.0040973615588914E-2</v>
      </c>
      <c r="G108" s="2"/>
      <c r="H108" s="6">
        <v>17287.5</v>
      </c>
      <c r="I108" s="2"/>
      <c r="J108" s="7">
        <f t="shared" si="14"/>
        <v>1.3423180969714664E-2</v>
      </c>
      <c r="K108" s="2"/>
      <c r="L108" s="6">
        <f t="shared" si="15"/>
        <v>-2506.58</v>
      </c>
      <c r="M108" s="2"/>
      <c r="N108" s="7">
        <f t="shared" si="16"/>
        <v>-0.14499378163412871</v>
      </c>
      <c r="O108" s="11"/>
      <c r="P108" s="6">
        <v>43784.990000000005</v>
      </c>
      <c r="Q108" s="2"/>
      <c r="R108" s="7">
        <f t="shared" si="17"/>
        <v>1.995759398885975E-2</v>
      </c>
      <c r="S108" s="2"/>
      <c r="T108" s="6">
        <v>52642.499999999993</v>
      </c>
      <c r="U108" s="2"/>
      <c r="V108" s="7">
        <f t="shared" si="18"/>
        <v>1.469039864510949E-2</v>
      </c>
      <c r="W108" s="2"/>
      <c r="X108" s="6">
        <f t="shared" si="19"/>
        <v>-8857.5099999999875</v>
      </c>
      <c r="Y108" s="2"/>
      <c r="Z108" s="7">
        <f t="shared" si="20"/>
        <v>-0.16825777651137366</v>
      </c>
    </row>
    <row r="109" spans="1:26" s="24" customFormat="1" hidden="1" outlineLevel="2" x14ac:dyDescent="0.25">
      <c r="A109" s="29"/>
      <c r="B109" s="11" t="str">
        <f>CONCATENATE("          ", "6114", " - ", "STATE UNEMPLOYMENT INSURANCE")</f>
        <v xml:space="preserve">          6114 - STATE UNEMPLOYMENT INSURANCE</v>
      </c>
      <c r="C109" s="11"/>
      <c r="D109" s="6">
        <v>487.57</v>
      </c>
      <c r="E109" s="2"/>
      <c r="F109" s="7">
        <f t="shared" si="13"/>
        <v>1.320809361376199E-3</v>
      </c>
      <c r="G109" s="2"/>
      <c r="H109" s="6">
        <v>448.85741400000001</v>
      </c>
      <c r="I109" s="2"/>
      <c r="J109" s="7">
        <f t="shared" si="14"/>
        <v>3.4852316978858347E-4</v>
      </c>
      <c r="K109" s="2"/>
      <c r="L109" s="6">
        <f t="shared" si="15"/>
        <v>38.712585999999988</v>
      </c>
      <c r="M109" s="2"/>
      <c r="N109" s="7">
        <f t="shared" si="16"/>
        <v>8.6246956811991043E-2</v>
      </c>
      <c r="O109" s="11"/>
      <c r="P109" s="6">
        <v>1135.8399999999999</v>
      </c>
      <c r="Q109" s="2"/>
      <c r="R109" s="7">
        <f t="shared" si="17"/>
        <v>5.1772613300371789E-4</v>
      </c>
      <c r="S109" s="2"/>
      <c r="T109" s="6">
        <v>1438.0914404999999</v>
      </c>
      <c r="U109" s="2"/>
      <c r="V109" s="7">
        <f t="shared" si="18"/>
        <v>4.013133219179324E-4</v>
      </c>
      <c r="W109" s="2"/>
      <c r="X109" s="6">
        <f t="shared" si="19"/>
        <v>-302.25144049999994</v>
      </c>
      <c r="Y109" s="2"/>
      <c r="Z109" s="7">
        <f t="shared" si="20"/>
        <v>-0.21017539774446628</v>
      </c>
    </row>
    <row r="110" spans="1:26" s="24" customFormat="1" hidden="1" outlineLevel="2" x14ac:dyDescent="0.25">
      <c r="A110" s="29"/>
      <c r="B110" s="11" t="str">
        <f>CONCATENATE("          ", "6115", " - ", "P.E.R.S.")</f>
        <v xml:space="preserve">          6115 - P.E.R.S.</v>
      </c>
      <c r="C110" s="11"/>
      <c r="D110" s="6">
        <v>5930.47</v>
      </c>
      <c r="E110" s="2"/>
      <c r="F110" s="7">
        <f t="shared" si="13"/>
        <v>1.6065427104540286E-2</v>
      </c>
      <c r="G110" s="2"/>
      <c r="H110" s="6">
        <v>4692.7557153846165</v>
      </c>
      <c r="I110" s="2"/>
      <c r="J110" s="7">
        <f t="shared" si="14"/>
        <v>3.6437720442094291E-3</v>
      </c>
      <c r="K110" s="2"/>
      <c r="L110" s="6">
        <f t="shared" si="15"/>
        <v>1237.7142846153838</v>
      </c>
      <c r="M110" s="2"/>
      <c r="N110" s="7">
        <f t="shared" si="16"/>
        <v>0.26374999247407899</v>
      </c>
      <c r="O110" s="11"/>
      <c r="P110" s="6">
        <v>20244.53</v>
      </c>
      <c r="Q110" s="2"/>
      <c r="R110" s="7">
        <f t="shared" si="17"/>
        <v>9.2276396599677377E-3</v>
      </c>
      <c r="S110" s="2"/>
      <c r="T110" s="6">
        <v>15251.456075000002</v>
      </c>
      <c r="U110" s="2"/>
      <c r="V110" s="7">
        <f t="shared" si="18"/>
        <v>4.256066289787282E-3</v>
      </c>
      <c r="W110" s="2"/>
      <c r="X110" s="6">
        <f t="shared" si="19"/>
        <v>4993.073924999997</v>
      </c>
      <c r="Y110" s="2"/>
      <c r="Z110" s="7">
        <f t="shared" si="20"/>
        <v>0.32738342492980599</v>
      </c>
    </row>
    <row r="111" spans="1:26" s="24" customFormat="1" hidden="1" outlineLevel="2" x14ac:dyDescent="0.25">
      <c r="A111" s="29"/>
      <c r="B111" s="11" t="str">
        <f>CONCATENATE("          ", "6116", " - ", "EDUCATIONAL BENEFITS")</f>
        <v xml:space="preserve">          6116 - EDUCATIONAL BENEFITS</v>
      </c>
      <c r="C111" s="11"/>
      <c r="D111" s="6"/>
      <c r="E111" s="2"/>
      <c r="F111" s="7">
        <f t="shared" si="13"/>
        <v>0</v>
      </c>
      <c r="G111" s="2"/>
      <c r="H111" s="6">
        <v>0</v>
      </c>
      <c r="I111" s="2"/>
      <c r="J111" s="7">
        <f t="shared" si="14"/>
        <v>0</v>
      </c>
      <c r="K111" s="2"/>
      <c r="L111" s="6">
        <f t="shared" si="15"/>
        <v>0</v>
      </c>
      <c r="M111" s="2"/>
      <c r="N111" s="7">
        <f t="shared" si="16"/>
        <v>0</v>
      </c>
      <c r="O111" s="11"/>
      <c r="P111" s="6">
        <v>0</v>
      </c>
      <c r="Q111" s="2"/>
      <c r="R111" s="7">
        <f t="shared" si="17"/>
        <v>0</v>
      </c>
      <c r="S111" s="2"/>
      <c r="T111" s="6">
        <v>0</v>
      </c>
      <c r="U111" s="2"/>
      <c r="V111" s="7">
        <f t="shared" si="18"/>
        <v>0</v>
      </c>
      <c r="W111" s="2"/>
      <c r="X111" s="6">
        <f t="shared" si="19"/>
        <v>0</v>
      </c>
      <c r="Y111" s="2"/>
      <c r="Z111" s="7">
        <f t="shared" si="20"/>
        <v>0</v>
      </c>
    </row>
    <row r="112" spans="1:26" s="24" customFormat="1" hidden="1" outlineLevel="2" x14ac:dyDescent="0.25">
      <c r="A112" s="29"/>
      <c r="B112" s="11" t="str">
        <f>CONCATENATE("          ", "6117", " - ", "RETIREMENT STAFF HOURLY")</f>
        <v xml:space="preserve">          6117 - RETIREMENT STAFF HOURLY</v>
      </c>
      <c r="C112" s="11"/>
      <c r="D112" s="6">
        <v>248.98</v>
      </c>
      <c r="E112" s="2"/>
      <c r="F112" s="7">
        <f t="shared" si="13"/>
        <v>6.7447774636553929E-4</v>
      </c>
      <c r="G112" s="2"/>
      <c r="H112" s="6"/>
      <c r="I112" s="2"/>
      <c r="J112" s="7">
        <f t="shared" si="14"/>
        <v>0</v>
      </c>
      <c r="K112" s="2"/>
      <c r="L112" s="6">
        <f t="shared" si="15"/>
        <v>248.98</v>
      </c>
      <c r="M112" s="2"/>
      <c r="N112" s="7">
        <f t="shared" si="16"/>
        <v>0</v>
      </c>
      <c r="O112" s="11"/>
      <c r="P112" s="6">
        <v>837.77</v>
      </c>
      <c r="Q112" s="2"/>
      <c r="R112" s="7">
        <f t="shared" si="17"/>
        <v>3.8186313428522039E-4</v>
      </c>
      <c r="S112" s="2"/>
      <c r="T112" s="6"/>
      <c r="U112" s="2"/>
      <c r="V112" s="7">
        <f t="shared" si="18"/>
        <v>0</v>
      </c>
      <c r="W112" s="2"/>
      <c r="X112" s="6">
        <f t="shared" si="19"/>
        <v>837.77</v>
      </c>
      <c r="Y112" s="2"/>
      <c r="Z112" s="7">
        <f t="shared" si="20"/>
        <v>0</v>
      </c>
    </row>
    <row r="113" spans="1:26" s="24" customFormat="1" hidden="1" outlineLevel="2" x14ac:dyDescent="0.25">
      <c r="A113" s="29"/>
      <c r="B113" s="11" t="str">
        <f>CONCATENATE("          ", "6118", " - ", "VACATION")</f>
        <v xml:space="preserve">          6118 - VACATION</v>
      </c>
      <c r="C113" s="11"/>
      <c r="D113" s="6">
        <v>4704.91</v>
      </c>
      <c r="E113" s="2"/>
      <c r="F113" s="7">
        <f t="shared" si="13"/>
        <v>1.2745429727900593E-2</v>
      </c>
      <c r="G113" s="2"/>
      <c r="H113" s="6">
        <v>3945.7434200000012</v>
      </c>
      <c r="I113" s="2"/>
      <c r="J113" s="7">
        <f t="shared" si="14"/>
        <v>3.0637413152116194E-3</v>
      </c>
      <c r="K113" s="2"/>
      <c r="L113" s="6">
        <f t="shared" si="15"/>
        <v>759.1665799999987</v>
      </c>
      <c r="M113" s="2"/>
      <c r="N113" s="7">
        <f t="shared" si="16"/>
        <v>0.19240140556326354</v>
      </c>
      <c r="O113" s="11"/>
      <c r="P113" s="6">
        <v>14429.57</v>
      </c>
      <c r="Q113" s="2"/>
      <c r="R113" s="7">
        <f t="shared" si="17"/>
        <v>6.5771283605142077E-3</v>
      </c>
      <c r="S113" s="2"/>
      <c r="T113" s="6">
        <v>12823.666114999998</v>
      </c>
      <c r="U113" s="2"/>
      <c r="V113" s="7">
        <f t="shared" si="18"/>
        <v>3.5785680262360735E-3</v>
      </c>
      <c r="W113" s="2"/>
      <c r="X113" s="6">
        <f t="shared" si="19"/>
        <v>1605.9038850000015</v>
      </c>
      <c r="Y113" s="2"/>
      <c r="Z113" s="7">
        <f t="shared" si="20"/>
        <v>0.12522970191196386</v>
      </c>
    </row>
    <row r="114" spans="1:26" s="24" customFormat="1" hidden="1" outlineLevel="2" x14ac:dyDescent="0.25">
      <c r="A114" s="29"/>
      <c r="B114" s="11" t="str">
        <f>CONCATENATE("          ", "6119", " - ", "SICK LEAVE")</f>
        <v xml:space="preserve">          6119 - SICK LEAVE</v>
      </c>
      <c r="C114" s="11"/>
      <c r="D114" s="6">
        <v>3523.27</v>
      </c>
      <c r="E114" s="2"/>
      <c r="F114" s="7">
        <f t="shared" si="13"/>
        <v>9.5444100306744072E-3</v>
      </c>
      <c r="G114" s="2"/>
      <c r="H114" s="6">
        <v>4456.2039030769201</v>
      </c>
      <c r="I114" s="2"/>
      <c r="J114" s="7">
        <f t="shared" si="14"/>
        <v>3.4600972627013924E-3</v>
      </c>
      <c r="K114" s="2"/>
      <c r="L114" s="6">
        <f t="shared" si="15"/>
        <v>-932.93390307692016</v>
      </c>
      <c r="M114" s="2"/>
      <c r="N114" s="7">
        <f t="shared" si="16"/>
        <v>-0.20935619719572254</v>
      </c>
      <c r="O114" s="11"/>
      <c r="P114" s="6">
        <v>10478.459999999999</v>
      </c>
      <c r="Q114" s="2"/>
      <c r="R114" s="7">
        <f t="shared" si="17"/>
        <v>4.7761767287946696E-3</v>
      </c>
      <c r="S114" s="2"/>
      <c r="T114" s="6">
        <v>14262.909934999989</v>
      </c>
      <c r="U114" s="2"/>
      <c r="V114" s="7">
        <f t="shared" si="18"/>
        <v>3.9802029307962686E-3</v>
      </c>
      <c r="W114" s="2"/>
      <c r="X114" s="6">
        <f t="shared" si="19"/>
        <v>-3784.4499349999896</v>
      </c>
      <c r="Y114" s="2"/>
      <c r="Z114" s="7">
        <f t="shared" si="20"/>
        <v>-0.26533505099918397</v>
      </c>
    </row>
    <row r="115" spans="1:26" s="24" customFormat="1" hidden="1" outlineLevel="2" x14ac:dyDescent="0.25">
      <c r="A115" s="29"/>
      <c r="B115" s="11" t="str">
        <f>CONCATENATE("          ", "6156", " - ", "EMPLOYEE MEALS")</f>
        <v xml:space="preserve">          6156 - EMPLOYEE MEALS</v>
      </c>
      <c r="C115" s="11"/>
      <c r="D115" s="6">
        <v>1827.74</v>
      </c>
      <c r="E115" s="2"/>
      <c r="F115" s="7">
        <f t="shared" si="13"/>
        <v>4.9512810512577351E-3</v>
      </c>
      <c r="G115" s="2"/>
      <c r="H115" s="6">
        <v>1625</v>
      </c>
      <c r="I115" s="2"/>
      <c r="J115" s="7">
        <f t="shared" si="14"/>
        <v>1.2617595994670328E-3</v>
      </c>
      <c r="K115" s="2"/>
      <c r="L115" s="6">
        <f t="shared" si="15"/>
        <v>202.74</v>
      </c>
      <c r="M115" s="2"/>
      <c r="N115" s="7">
        <f t="shared" si="16"/>
        <v>0.12476307692307693</v>
      </c>
      <c r="O115" s="11"/>
      <c r="P115" s="6">
        <v>4257.91</v>
      </c>
      <c r="Q115" s="2"/>
      <c r="R115" s="7">
        <f t="shared" si="17"/>
        <v>1.9407938433035113E-3</v>
      </c>
      <c r="S115" s="2"/>
      <c r="T115" s="6">
        <v>4875</v>
      </c>
      <c r="U115" s="2"/>
      <c r="V115" s="7">
        <f t="shared" si="18"/>
        <v>1.3604158882064639E-3</v>
      </c>
      <c r="W115" s="2"/>
      <c r="X115" s="6">
        <f t="shared" si="19"/>
        <v>-617.09000000000015</v>
      </c>
      <c r="Y115" s="2"/>
      <c r="Z115" s="7">
        <f t="shared" si="20"/>
        <v>-0.12658256410256413</v>
      </c>
    </row>
    <row r="116" spans="1:26" s="28" customFormat="1" outlineLevel="1" collapsed="1" x14ac:dyDescent="0.25">
      <c r="A116" s="27"/>
      <c r="B116" s="14" t="str">
        <f>CONCATENATE("     ","*Payroll                                          ")</f>
        <v xml:space="preserve">     *Payroll                                          </v>
      </c>
      <c r="C116" s="14"/>
      <c r="D116" s="1">
        <f>SUM(OSRRefD22_1x_0)</f>
        <v>120415</v>
      </c>
      <c r="E116" s="1"/>
      <c r="F116" s="5">
        <f t="shared" ref="F116:F126" si="21">IF(D$12=0,0,D116/D$12)</f>
        <v>0.32619984668891649</v>
      </c>
      <c r="G116" s="1"/>
      <c r="H116" s="1">
        <f>SUM(OSRRefH22_1x_0)</f>
        <v>160139.85778215388</v>
      </c>
      <c r="I116" s="1"/>
      <c r="J116" s="5">
        <f t="shared" ref="J116:J126" si="22">IF(H$12=0,0,H116/H$12)</f>
        <v>0.1243433863470265</v>
      </c>
      <c r="K116" s="1"/>
      <c r="L116" s="1">
        <f t="shared" ref="L116:L126" si="23">+D116-H116</f>
        <v>-39724.857782153878</v>
      </c>
      <c r="M116" s="1"/>
      <c r="N116" s="5">
        <f t="shared" ref="N116:N126" si="24">IF(H116=0,0,L116/H116)</f>
        <v>-0.2480635260472977</v>
      </c>
      <c r="O116" s="14"/>
      <c r="P116" s="1">
        <f>SUM(OSRRefP22_1x_0)</f>
        <v>400728.57</v>
      </c>
      <c r="Q116" s="1"/>
      <c r="R116" s="5">
        <f t="shared" ref="R116:R126" si="25">IF(P$12=0,0,P116/P$12)</f>
        <v>0.18265570232621645</v>
      </c>
      <c r="S116" s="1"/>
      <c r="T116" s="1">
        <f>SUM(OSRRefT22_1x_0)</f>
        <v>518044.86279200006</v>
      </c>
      <c r="U116" s="1"/>
      <c r="V116" s="5">
        <f t="shared" ref="V116:V126" si="26">IF(T$12=0,0,T116/T$12)</f>
        <v>0.14456542813250758</v>
      </c>
      <c r="W116" s="1"/>
      <c r="X116" s="1">
        <f t="shared" ref="X116:X126" si="27">+P116-T116</f>
        <v>-117316.29279200005</v>
      </c>
      <c r="Y116" s="1"/>
      <c r="Z116" s="5">
        <f t="shared" ref="Z116:Z126" si="28">IF(T116=0,0,X116/T116)</f>
        <v>-0.22645971655760566</v>
      </c>
    </row>
    <row r="117" spans="1:26" s="24" customFormat="1" hidden="1" outlineLevel="2" x14ac:dyDescent="0.25">
      <c r="A117" s="29"/>
      <c r="B117" s="11" t="str">
        <f>CONCATENATE("          ", "6001", " - ", "ADMINISTRATIVE SALARIES")</f>
        <v xml:space="preserve">          6001 - ADMINISTRATIVE SALARIES</v>
      </c>
      <c r="C117" s="11"/>
      <c r="D117" s="6">
        <v>4205.74</v>
      </c>
      <c r="E117" s="2"/>
      <c r="F117" s="7">
        <f t="shared" si="21"/>
        <v>1.1393196389265819E-2</v>
      </c>
      <c r="G117" s="2"/>
      <c r="H117" s="6">
        <v>7759.6923076923094</v>
      </c>
      <c r="I117" s="2"/>
      <c r="J117" s="7">
        <f t="shared" si="22"/>
        <v>6.0251484665484701E-3</v>
      </c>
      <c r="K117" s="2"/>
      <c r="L117" s="6">
        <f t="shared" si="23"/>
        <v>-3553.9523076923097</v>
      </c>
      <c r="M117" s="2"/>
      <c r="N117" s="7">
        <f t="shared" si="24"/>
        <v>-0.45800170506364263</v>
      </c>
      <c r="O117" s="11"/>
      <c r="P117" s="6">
        <v>12937.33</v>
      </c>
      <c r="Q117" s="2"/>
      <c r="R117" s="7">
        <f t="shared" si="25"/>
        <v>5.8969518878477512E-3</v>
      </c>
      <c r="S117" s="2"/>
      <c r="T117" s="6">
        <v>25219.000000000011</v>
      </c>
      <c r="U117" s="2"/>
      <c r="V117" s="7">
        <f t="shared" si="26"/>
        <v>7.0376058019854006E-3</v>
      </c>
      <c r="W117" s="2"/>
      <c r="X117" s="6">
        <f t="shared" si="27"/>
        <v>-12281.670000000011</v>
      </c>
      <c r="Y117" s="2"/>
      <c r="Z117" s="7">
        <f t="shared" si="28"/>
        <v>-0.48700067409492864</v>
      </c>
    </row>
    <row r="118" spans="1:26" s="24" customFormat="1" hidden="1" outlineLevel="2" x14ac:dyDescent="0.25">
      <c r="A118" s="29"/>
      <c r="B118" s="11" t="str">
        <f>CONCATENATE("          ", "6002", " - ", "STAFF SALARIES")</f>
        <v xml:space="preserve">          6002 - STAFF SALARIES</v>
      </c>
      <c r="C118" s="11"/>
      <c r="D118" s="6">
        <v>53438.720000000001</v>
      </c>
      <c r="E118" s="2"/>
      <c r="F118" s="7">
        <f t="shared" si="21"/>
        <v>0.14476354500063893</v>
      </c>
      <c r="G118" s="2"/>
      <c r="H118" s="6">
        <v>41207.275394461554</v>
      </c>
      <c r="I118" s="2"/>
      <c r="J118" s="7">
        <f t="shared" si="22"/>
        <v>3.1996107874980632E-2</v>
      </c>
      <c r="K118" s="2"/>
      <c r="L118" s="6">
        <f t="shared" si="23"/>
        <v>12231.444605538447</v>
      </c>
      <c r="M118" s="2"/>
      <c r="N118" s="7">
        <f t="shared" si="24"/>
        <v>0.29682730751915737</v>
      </c>
      <c r="O118" s="11"/>
      <c r="P118" s="6">
        <v>171933.88</v>
      </c>
      <c r="Q118" s="2"/>
      <c r="R118" s="7">
        <f t="shared" si="25"/>
        <v>7.8369015728205801E-2</v>
      </c>
      <c r="S118" s="2"/>
      <c r="T118" s="6">
        <v>133923.64503200009</v>
      </c>
      <c r="U118" s="2"/>
      <c r="V118" s="7">
        <f t="shared" si="26"/>
        <v>3.7372688104216532E-2</v>
      </c>
      <c r="W118" s="2"/>
      <c r="X118" s="6">
        <f t="shared" si="27"/>
        <v>38010.234967999917</v>
      </c>
      <c r="Y118" s="2"/>
      <c r="Z118" s="7">
        <f t="shared" si="28"/>
        <v>0.28382019440194928</v>
      </c>
    </row>
    <row r="119" spans="1:26" s="24" customFormat="1" hidden="1" outlineLevel="2" x14ac:dyDescent="0.25">
      <c r="A119" s="29"/>
      <c r="B119" s="11" t="str">
        <f>CONCATENATE("          ", "6003", " - ", "STAFF HOURLY-9 MONTH")</f>
        <v xml:space="preserve">          6003 - STAFF HOURLY-9 MONTH</v>
      </c>
      <c r="C119" s="11"/>
      <c r="D119" s="6"/>
      <c r="E119" s="2"/>
      <c r="F119" s="7">
        <f t="shared" si="21"/>
        <v>0</v>
      </c>
      <c r="G119" s="2"/>
      <c r="H119" s="6">
        <v>0</v>
      </c>
      <c r="I119" s="2"/>
      <c r="J119" s="7">
        <f t="shared" si="22"/>
        <v>0</v>
      </c>
      <c r="K119" s="2"/>
      <c r="L119" s="6">
        <f t="shared" si="23"/>
        <v>0</v>
      </c>
      <c r="M119" s="2"/>
      <c r="N119" s="7">
        <f t="shared" si="24"/>
        <v>0</v>
      </c>
      <c r="O119" s="11"/>
      <c r="P119" s="6"/>
      <c r="Q119" s="2"/>
      <c r="R119" s="7">
        <f t="shared" si="25"/>
        <v>0</v>
      </c>
      <c r="S119" s="2"/>
      <c r="T119" s="6">
        <v>0</v>
      </c>
      <c r="U119" s="2"/>
      <c r="V119" s="7">
        <f t="shared" si="26"/>
        <v>0</v>
      </c>
      <c r="W119" s="2"/>
      <c r="X119" s="6">
        <f t="shared" si="27"/>
        <v>0</v>
      </c>
      <c r="Y119" s="2"/>
      <c r="Z119" s="7">
        <f t="shared" si="28"/>
        <v>0</v>
      </c>
    </row>
    <row r="120" spans="1:26" s="24" customFormat="1" hidden="1" outlineLevel="2" x14ac:dyDescent="0.25">
      <c r="A120" s="29"/>
      <c r="B120" s="11" t="str">
        <f>CONCATENATE("          ", "6004", " - ", "STAFF HOURLY")</f>
        <v xml:space="preserve">          6004 - STAFF HOURLY</v>
      </c>
      <c r="C120" s="11"/>
      <c r="D120" s="6">
        <v>15888.169999999998</v>
      </c>
      <c r="E120" s="2"/>
      <c r="F120" s="7">
        <f t="shared" si="21"/>
        <v>4.3040473513826692E-2</v>
      </c>
      <c r="G120" s="2"/>
      <c r="H120" s="6">
        <v>24787.750080000002</v>
      </c>
      <c r="I120" s="2"/>
      <c r="J120" s="7">
        <f t="shared" si="22"/>
        <v>1.9246880992387513E-2</v>
      </c>
      <c r="K120" s="2"/>
      <c r="L120" s="6">
        <f t="shared" si="23"/>
        <v>-8899.5800800000034</v>
      </c>
      <c r="M120" s="2"/>
      <c r="N120" s="7">
        <f t="shared" si="24"/>
        <v>-0.35903137845417565</v>
      </c>
      <c r="O120" s="11"/>
      <c r="P120" s="6">
        <v>45478.049999999996</v>
      </c>
      <c r="Q120" s="2"/>
      <c r="R120" s="7">
        <f t="shared" si="25"/>
        <v>2.0729306031703171E-2</v>
      </c>
      <c r="S120" s="2"/>
      <c r="T120" s="6">
        <v>79619.237760000004</v>
      </c>
      <c r="U120" s="2"/>
      <c r="V120" s="7">
        <f t="shared" si="26"/>
        <v>2.221851816524965E-2</v>
      </c>
      <c r="W120" s="2"/>
      <c r="X120" s="6">
        <f t="shared" si="27"/>
        <v>-34141.187760000008</v>
      </c>
      <c r="Y120" s="2"/>
      <c r="Z120" s="7">
        <f t="shared" si="28"/>
        <v>-0.42880576002138315</v>
      </c>
    </row>
    <row r="121" spans="1:26" s="24" customFormat="1" hidden="1" outlineLevel="2" x14ac:dyDescent="0.25">
      <c r="A121" s="29"/>
      <c r="B121" s="11" t="str">
        <f>CONCATENATE("          ", "6005", " - ", "TEMPORARY WAGES-HOURLY")</f>
        <v xml:space="preserve">          6005 - TEMPORARY WAGES-HOURLY</v>
      </c>
      <c r="C121" s="11"/>
      <c r="D121" s="6">
        <v>25841.46</v>
      </c>
      <c r="E121" s="2"/>
      <c r="F121" s="7">
        <f t="shared" si="21"/>
        <v>7.0003573393827734E-2</v>
      </c>
      <c r="G121" s="2"/>
      <c r="H121" s="6">
        <v>3391.5</v>
      </c>
      <c r="I121" s="2"/>
      <c r="J121" s="7">
        <f t="shared" si="22"/>
        <v>2.6333893425184254E-3</v>
      </c>
      <c r="K121" s="2"/>
      <c r="L121" s="6">
        <f t="shared" si="23"/>
        <v>22449.96</v>
      </c>
      <c r="M121" s="2"/>
      <c r="N121" s="7">
        <f t="shared" si="24"/>
        <v>6.6194781070322861</v>
      </c>
      <c r="O121" s="11"/>
      <c r="P121" s="6">
        <v>60732.5</v>
      </c>
      <c r="Q121" s="2"/>
      <c r="R121" s="7">
        <f t="shared" si="25"/>
        <v>2.7682422148056326E-2</v>
      </c>
      <c r="S121" s="2"/>
      <c r="T121" s="6">
        <v>10687.5</v>
      </c>
      <c r="U121" s="2"/>
      <c r="V121" s="7">
        <f t="shared" si="26"/>
        <v>2.9824502164526325E-3</v>
      </c>
      <c r="W121" s="2"/>
      <c r="X121" s="6">
        <f t="shared" si="27"/>
        <v>50045</v>
      </c>
      <c r="Y121" s="2"/>
      <c r="Z121" s="7">
        <f t="shared" si="28"/>
        <v>4.6825730994152046</v>
      </c>
    </row>
    <row r="122" spans="1:26" s="24" customFormat="1" hidden="1" outlineLevel="2" x14ac:dyDescent="0.25">
      <c r="A122" s="29"/>
      <c r="B122" s="11" t="str">
        <f>CONCATENATE("          ", "6006", " - ", "TEMPORARY PART TIME")</f>
        <v xml:space="preserve">          6006 - TEMPORARY PART TIME</v>
      </c>
      <c r="C122" s="11"/>
      <c r="D122" s="6">
        <v>1728.86</v>
      </c>
      <c r="E122" s="2"/>
      <c r="F122" s="7">
        <f t="shared" si="21"/>
        <v>4.6834187347639424E-3</v>
      </c>
      <c r="G122" s="2"/>
      <c r="H122" s="6">
        <v>0</v>
      </c>
      <c r="I122" s="2"/>
      <c r="J122" s="7">
        <f t="shared" si="22"/>
        <v>0</v>
      </c>
      <c r="K122" s="2"/>
      <c r="L122" s="6">
        <f t="shared" si="23"/>
        <v>1728.86</v>
      </c>
      <c r="M122" s="2"/>
      <c r="N122" s="7">
        <f t="shared" si="24"/>
        <v>0</v>
      </c>
      <c r="O122" s="11"/>
      <c r="P122" s="6">
        <v>5704.41</v>
      </c>
      <c r="Q122" s="2"/>
      <c r="R122" s="7">
        <f t="shared" si="25"/>
        <v>2.6001216107618486E-3</v>
      </c>
      <c r="S122" s="2"/>
      <c r="T122" s="6">
        <v>0</v>
      </c>
      <c r="U122" s="2"/>
      <c r="V122" s="7">
        <f t="shared" si="26"/>
        <v>0</v>
      </c>
      <c r="W122" s="2"/>
      <c r="X122" s="6">
        <f t="shared" si="27"/>
        <v>5704.41</v>
      </c>
      <c r="Y122" s="2"/>
      <c r="Z122" s="7">
        <f t="shared" si="28"/>
        <v>0</v>
      </c>
    </row>
    <row r="123" spans="1:26" s="24" customFormat="1" hidden="1" outlineLevel="2" x14ac:dyDescent="0.25">
      <c r="A123" s="29"/>
      <c r="B123" s="11" t="str">
        <f>CONCATENATE("          ", "6007", " - ", "STUDENT HOURLY")</f>
        <v xml:space="preserve">          6007 - STUDENT HOURLY</v>
      </c>
      <c r="C123" s="11"/>
      <c r="D123" s="6">
        <v>18256.38</v>
      </c>
      <c r="E123" s="2"/>
      <c r="F123" s="7">
        <f t="shared" si="21"/>
        <v>4.9455868098613971E-2</v>
      </c>
      <c r="G123" s="2"/>
      <c r="H123" s="6">
        <v>0</v>
      </c>
      <c r="I123" s="2"/>
      <c r="J123" s="7">
        <f t="shared" si="22"/>
        <v>0</v>
      </c>
      <c r="K123" s="2"/>
      <c r="L123" s="6">
        <f t="shared" si="23"/>
        <v>18256.38</v>
      </c>
      <c r="M123" s="2"/>
      <c r="N123" s="7">
        <f t="shared" si="24"/>
        <v>0</v>
      </c>
      <c r="O123" s="11"/>
      <c r="P123" s="6">
        <v>102453.7</v>
      </c>
      <c r="Q123" s="2"/>
      <c r="R123" s="7">
        <f t="shared" si="25"/>
        <v>4.6699322010954898E-2</v>
      </c>
      <c r="S123" s="2"/>
      <c r="T123" s="6">
        <v>136745</v>
      </c>
      <c r="U123" s="2"/>
      <c r="V123" s="7">
        <f t="shared" si="26"/>
        <v>3.8160014488778031E-2</v>
      </c>
      <c r="W123" s="2"/>
      <c r="X123" s="6">
        <f t="shared" si="27"/>
        <v>-34291.300000000003</v>
      </c>
      <c r="Y123" s="2"/>
      <c r="Z123" s="7">
        <f t="shared" si="28"/>
        <v>-0.25076821821638817</v>
      </c>
    </row>
    <row r="124" spans="1:26" s="24" customFormat="1" hidden="1" outlineLevel="2" x14ac:dyDescent="0.25">
      <c r="A124" s="29"/>
      <c r="B124" s="11" t="str">
        <f>CONCATENATE("          ", "6008", " - ", "STUDENT HOURLY-FICA EXEMPT")</f>
        <v xml:space="preserve">          6008 - STUDENT HOURLY-FICA EXEMPT</v>
      </c>
      <c r="C124" s="11"/>
      <c r="D124" s="6">
        <v>1055.67</v>
      </c>
      <c r="E124" s="2"/>
      <c r="F124" s="7">
        <f t="shared" si="21"/>
        <v>2.859771557979392E-3</v>
      </c>
      <c r="G124" s="2"/>
      <c r="H124" s="6">
        <v>82993.64</v>
      </c>
      <c r="I124" s="2"/>
      <c r="J124" s="7">
        <f t="shared" si="22"/>
        <v>6.4441859670591448E-2</v>
      </c>
      <c r="K124" s="2"/>
      <c r="L124" s="6">
        <f t="shared" si="23"/>
        <v>-81937.97</v>
      </c>
      <c r="M124" s="2"/>
      <c r="N124" s="7">
        <f t="shared" si="24"/>
        <v>-0.98728010965659541</v>
      </c>
      <c r="O124" s="11"/>
      <c r="P124" s="6">
        <v>1488.7</v>
      </c>
      <c r="Q124" s="2"/>
      <c r="R124" s="7">
        <f t="shared" si="25"/>
        <v>6.7856290868664141E-4</v>
      </c>
      <c r="S124" s="2"/>
      <c r="T124" s="6">
        <v>131850.48000000001</v>
      </c>
      <c r="U124" s="2"/>
      <c r="V124" s="7">
        <f t="shared" si="26"/>
        <v>3.6794151355825359E-2</v>
      </c>
      <c r="W124" s="2"/>
      <c r="X124" s="6">
        <f t="shared" si="27"/>
        <v>-130361.78000000001</v>
      </c>
      <c r="Y124" s="2"/>
      <c r="Z124" s="7">
        <f t="shared" si="28"/>
        <v>-0.98870918027753862</v>
      </c>
    </row>
    <row r="125" spans="1:26" s="24" customFormat="1" hidden="1" outlineLevel="2" x14ac:dyDescent="0.25">
      <c r="A125" s="29"/>
      <c r="B125" s="11" t="str">
        <f>CONCATENATE("          ", "6009", " - ", "TEMPORARY-SEASONAL")</f>
        <v xml:space="preserve">          6009 - TEMPORARY-SEASONAL</v>
      </c>
      <c r="C125" s="11"/>
      <c r="D125" s="6"/>
      <c r="E125" s="2"/>
      <c r="F125" s="7">
        <f t="shared" si="21"/>
        <v>0</v>
      </c>
      <c r="G125" s="2"/>
      <c r="H125" s="6">
        <v>0</v>
      </c>
      <c r="I125" s="2"/>
      <c r="J125" s="7">
        <f t="shared" si="22"/>
        <v>0</v>
      </c>
      <c r="K125" s="2"/>
      <c r="L125" s="6">
        <f t="shared" si="23"/>
        <v>0</v>
      </c>
      <c r="M125" s="2"/>
      <c r="N125" s="7">
        <f t="shared" si="24"/>
        <v>0</v>
      </c>
      <c r="O125" s="11"/>
      <c r="P125" s="6"/>
      <c r="Q125" s="2"/>
      <c r="R125" s="7">
        <f t="shared" si="25"/>
        <v>0</v>
      </c>
      <c r="S125" s="2"/>
      <c r="T125" s="6">
        <v>0</v>
      </c>
      <c r="U125" s="2"/>
      <c r="V125" s="7">
        <f t="shared" si="26"/>
        <v>0</v>
      </c>
      <c r="W125" s="2"/>
      <c r="X125" s="6">
        <f t="shared" si="27"/>
        <v>0</v>
      </c>
      <c r="Y125" s="2"/>
      <c r="Z125" s="7">
        <f t="shared" si="28"/>
        <v>0</v>
      </c>
    </row>
    <row r="126" spans="1:26" s="24" customFormat="1" hidden="1" outlineLevel="2" x14ac:dyDescent="0.25">
      <c r="A126" s="29"/>
      <c r="B126" s="11" t="str">
        <f>CONCATENATE("          ", "6010", " - ", "GRATUITY")</f>
        <v xml:space="preserve">          6010 - GRATUITY</v>
      </c>
      <c r="C126" s="11"/>
      <c r="D126" s="6"/>
      <c r="E126" s="2"/>
      <c r="F126" s="7">
        <f t="shared" si="21"/>
        <v>0</v>
      </c>
      <c r="G126" s="2"/>
      <c r="H126" s="6">
        <v>0</v>
      </c>
      <c r="I126" s="2"/>
      <c r="J126" s="7">
        <f t="shared" si="22"/>
        <v>0</v>
      </c>
      <c r="K126" s="2"/>
      <c r="L126" s="6">
        <f t="shared" si="23"/>
        <v>0</v>
      </c>
      <c r="M126" s="2"/>
      <c r="N126" s="7">
        <f t="shared" si="24"/>
        <v>0</v>
      </c>
      <c r="O126" s="11"/>
      <c r="P126" s="6"/>
      <c r="Q126" s="2"/>
      <c r="R126" s="7">
        <f t="shared" si="25"/>
        <v>0</v>
      </c>
      <c r="S126" s="2"/>
      <c r="T126" s="6">
        <v>0</v>
      </c>
      <c r="U126" s="2"/>
      <c r="V126" s="7">
        <f t="shared" si="26"/>
        <v>0</v>
      </c>
      <c r="W126" s="2"/>
      <c r="X126" s="6">
        <f t="shared" si="27"/>
        <v>0</v>
      </c>
      <c r="Y126" s="2"/>
      <c r="Z126" s="7">
        <f t="shared" si="28"/>
        <v>0</v>
      </c>
    </row>
    <row r="127" spans="1:26" s="28" customFormat="1" outlineLevel="1" collapsed="1" x14ac:dyDescent="0.25">
      <c r="A127" s="27"/>
      <c r="B127" s="14" t="str">
        <f>CONCATENATE("     ","Advertising/Promo                                 ")</f>
        <v xml:space="preserve">     Advertising/Promo                                 </v>
      </c>
      <c r="C127" s="14"/>
      <c r="D127" s="1">
        <f>SUM(OSRRefD22_2x_0)</f>
        <v>391.39</v>
      </c>
      <c r="E127" s="1"/>
      <c r="F127" s="5">
        <f t="shared" ref="F127:F131" si="29">IF(D$12=0,0,D127/D$12)</f>
        <v>1.0602612464856954E-3</v>
      </c>
      <c r="G127" s="1"/>
      <c r="H127" s="1">
        <f>SUM(OSRRefH22_2x_0)</f>
        <v>1030</v>
      </c>
      <c r="I127" s="1"/>
      <c r="J127" s="5">
        <f t="shared" ref="J127:J131" si="30">IF(H$12=0,0,H127/H$12)</f>
        <v>7.9976146920064228E-4</v>
      </c>
      <c r="K127" s="1"/>
      <c r="L127" s="1">
        <f t="shared" ref="L127:L131" si="31">+D127-H127</f>
        <v>-638.61</v>
      </c>
      <c r="M127" s="1"/>
      <c r="N127" s="5">
        <f t="shared" ref="N127:N131" si="32">IF(H127=0,0,L127/H127)</f>
        <v>-0.6200097087378641</v>
      </c>
      <c r="O127" s="14"/>
      <c r="P127" s="1">
        <f>SUM(OSRRefP22_2x_0)</f>
        <v>12393.59</v>
      </c>
      <c r="Q127" s="1"/>
      <c r="R127" s="5">
        <f t="shared" ref="R127:R131" si="33">IF(P$12=0,0,P127/P$12)</f>
        <v>5.6491102837842901E-3</v>
      </c>
      <c r="S127" s="1"/>
      <c r="T127" s="1">
        <f>SUM(OSRRefT22_2x_0)</f>
        <v>3390</v>
      </c>
      <c r="U127" s="1"/>
      <c r="V127" s="5">
        <f t="shared" ref="V127:V131" si="34">IF(T$12=0,0,T127/T$12)</f>
        <v>9.4601227918357186E-4</v>
      </c>
      <c r="W127" s="1"/>
      <c r="X127" s="1">
        <f t="shared" ref="X127:X131" si="35">+P127-T127</f>
        <v>9003.59</v>
      </c>
      <c r="Y127" s="1"/>
      <c r="Z127" s="5">
        <f t="shared" ref="Z127:Z131" si="36">IF(T127=0,0,X127/T127)</f>
        <v>2.6559262536873156</v>
      </c>
    </row>
    <row r="128" spans="1:26" s="24" customFormat="1" hidden="1" outlineLevel="2" x14ac:dyDescent="0.25">
      <c r="A128" s="29"/>
      <c r="B128" s="11" t="str">
        <f>CONCATENATE("          ", "6362", " - ", "ADVERTISING EXPENSE")</f>
        <v xml:space="preserve">          6362 - ADVERTISING EXPENSE</v>
      </c>
      <c r="C128" s="11"/>
      <c r="D128" s="6">
        <v>391.39</v>
      </c>
      <c r="E128" s="2"/>
      <c r="F128" s="7">
        <f t="shared" si="29"/>
        <v>1.0602612464856954E-3</v>
      </c>
      <c r="G128" s="2"/>
      <c r="H128" s="6">
        <v>1030</v>
      </c>
      <c r="I128" s="2"/>
      <c r="J128" s="7">
        <f t="shared" si="30"/>
        <v>7.9976146920064228E-4</v>
      </c>
      <c r="K128" s="2"/>
      <c r="L128" s="6">
        <f t="shared" si="31"/>
        <v>-638.61</v>
      </c>
      <c r="M128" s="2"/>
      <c r="N128" s="7">
        <f t="shared" si="32"/>
        <v>-0.6200097087378641</v>
      </c>
      <c r="O128" s="11"/>
      <c r="P128" s="6">
        <v>12393.59</v>
      </c>
      <c r="Q128" s="2"/>
      <c r="R128" s="7">
        <f t="shared" si="33"/>
        <v>5.6491102837842901E-3</v>
      </c>
      <c r="S128" s="2"/>
      <c r="T128" s="6">
        <v>3390</v>
      </c>
      <c r="U128" s="2"/>
      <c r="V128" s="7">
        <f t="shared" si="34"/>
        <v>9.4601227918357186E-4</v>
      </c>
      <c r="W128" s="2"/>
      <c r="X128" s="6">
        <f t="shared" si="35"/>
        <v>9003.59</v>
      </c>
      <c r="Y128" s="2"/>
      <c r="Z128" s="7">
        <f t="shared" si="36"/>
        <v>2.6559262536873156</v>
      </c>
    </row>
    <row r="129" spans="1:26" s="28" customFormat="1" outlineLevel="1" collapsed="1" x14ac:dyDescent="0.25">
      <c r="A129" s="27"/>
      <c r="B129" s="14" t="str">
        <f>CONCATENATE("     ","Bad Debts/Over/Short                              ")</f>
        <v xml:space="preserve">     Bad Debts/Over/Short                              </v>
      </c>
      <c r="C129" s="14"/>
      <c r="D129" s="1">
        <f>SUM(OSRRefD22_3x_0)</f>
        <v>8.2200000000000006</v>
      </c>
      <c r="E129" s="1"/>
      <c r="F129" s="5">
        <f t="shared" si="29"/>
        <v>2.2267680436680594E-5</v>
      </c>
      <c r="G129" s="1"/>
      <c r="H129" s="1">
        <f>SUM(OSRRefH22_3x_0)</f>
        <v>110</v>
      </c>
      <c r="I129" s="1"/>
      <c r="J129" s="5">
        <f t="shared" si="30"/>
        <v>8.541141904084529E-5</v>
      </c>
      <c r="K129" s="1"/>
      <c r="L129" s="1">
        <f t="shared" si="31"/>
        <v>-101.78</v>
      </c>
      <c r="M129" s="1"/>
      <c r="N129" s="5">
        <f t="shared" si="32"/>
        <v>-0.92527272727272725</v>
      </c>
      <c r="O129" s="14"/>
      <c r="P129" s="1">
        <f>SUM(OSRRefP22_3x_0)</f>
        <v>80.010000000000005</v>
      </c>
      <c r="Q129" s="1"/>
      <c r="R129" s="5">
        <f t="shared" si="33"/>
        <v>3.6469280798023904E-5</v>
      </c>
      <c r="S129" s="1"/>
      <c r="T129" s="1">
        <f>SUM(OSRRefT22_3x_0)</f>
        <v>330</v>
      </c>
      <c r="U129" s="1"/>
      <c r="V129" s="5">
        <f t="shared" si="34"/>
        <v>9.2089690893976028E-5</v>
      </c>
      <c r="W129" s="1"/>
      <c r="X129" s="1">
        <f t="shared" si="35"/>
        <v>-249.99</v>
      </c>
      <c r="Y129" s="1"/>
      <c r="Z129" s="5">
        <f t="shared" si="36"/>
        <v>-0.75754545454545452</v>
      </c>
    </row>
    <row r="130" spans="1:26" s="24" customFormat="1" hidden="1" outlineLevel="2" x14ac:dyDescent="0.25">
      <c r="A130" s="29"/>
      <c r="B130" s="11" t="str">
        <f>CONCATENATE("          ", "6272", " - ", "CASH (OVER/SHORT)")</f>
        <v xml:space="preserve">          6272 - CASH (OVER/SHORT)</v>
      </c>
      <c r="C130" s="11"/>
      <c r="D130" s="6">
        <v>8.2200000000000006</v>
      </c>
      <c r="E130" s="2"/>
      <c r="F130" s="7">
        <f t="shared" si="29"/>
        <v>2.2267680436680594E-5</v>
      </c>
      <c r="G130" s="2"/>
      <c r="H130" s="6">
        <v>60</v>
      </c>
      <c r="I130" s="2"/>
      <c r="J130" s="7">
        <f t="shared" si="30"/>
        <v>4.6588046749551979E-5</v>
      </c>
      <c r="K130" s="2"/>
      <c r="L130" s="6">
        <f t="shared" si="31"/>
        <v>-51.78</v>
      </c>
      <c r="M130" s="2"/>
      <c r="N130" s="7">
        <f t="shared" si="32"/>
        <v>-0.86299999999999999</v>
      </c>
      <c r="O130" s="11"/>
      <c r="P130" s="6">
        <v>80.010000000000005</v>
      </c>
      <c r="Q130" s="2"/>
      <c r="R130" s="7">
        <f t="shared" si="33"/>
        <v>3.6469280798023904E-5</v>
      </c>
      <c r="S130" s="2"/>
      <c r="T130" s="6">
        <v>180</v>
      </c>
      <c r="U130" s="2"/>
      <c r="V130" s="7">
        <f t="shared" si="34"/>
        <v>5.0230740487623284E-5</v>
      </c>
      <c r="W130" s="2"/>
      <c r="X130" s="6">
        <f t="shared" si="35"/>
        <v>-99.99</v>
      </c>
      <c r="Y130" s="2"/>
      <c r="Z130" s="7">
        <f t="shared" si="36"/>
        <v>-0.55549999999999999</v>
      </c>
    </row>
    <row r="131" spans="1:26" s="24" customFormat="1" hidden="1" outlineLevel="2" x14ac:dyDescent="0.25">
      <c r="A131" s="29"/>
      <c r="B131" s="11" t="str">
        <f>CONCATENATE("          ", "6342", " - ", "BAD DEBT")</f>
        <v xml:space="preserve">          6342 - BAD DEBT</v>
      </c>
      <c r="C131" s="11"/>
      <c r="D131" s="6"/>
      <c r="E131" s="2"/>
      <c r="F131" s="7">
        <f t="shared" si="29"/>
        <v>0</v>
      </c>
      <c r="G131" s="2"/>
      <c r="H131" s="6">
        <v>50</v>
      </c>
      <c r="I131" s="2"/>
      <c r="J131" s="7">
        <f t="shared" si="30"/>
        <v>3.8823372291293318E-5</v>
      </c>
      <c r="K131" s="2"/>
      <c r="L131" s="6">
        <f t="shared" si="31"/>
        <v>-50</v>
      </c>
      <c r="M131" s="2"/>
      <c r="N131" s="7">
        <f t="shared" si="32"/>
        <v>-1</v>
      </c>
      <c r="O131" s="11"/>
      <c r="P131" s="6"/>
      <c r="Q131" s="2"/>
      <c r="R131" s="7">
        <f t="shared" si="33"/>
        <v>0</v>
      </c>
      <c r="S131" s="2"/>
      <c r="T131" s="6">
        <v>150</v>
      </c>
      <c r="U131" s="2"/>
      <c r="V131" s="7">
        <f t="shared" si="34"/>
        <v>4.1858950406352737E-5</v>
      </c>
      <c r="W131" s="2"/>
      <c r="X131" s="6">
        <f t="shared" si="35"/>
        <v>-150</v>
      </c>
      <c r="Y131" s="2"/>
      <c r="Z131" s="7">
        <f t="shared" si="36"/>
        <v>-1</v>
      </c>
    </row>
    <row r="132" spans="1:26" s="28" customFormat="1" outlineLevel="1" collapsed="1" x14ac:dyDescent="0.25">
      <c r="A132" s="27"/>
      <c r="B132" s="14" t="str">
        <f>CONCATENATE("     ","Bank/card Fees                                    ")</f>
        <v xml:space="preserve">     Bank/card Fees                                    </v>
      </c>
      <c r="C132" s="14"/>
      <c r="D132" s="1">
        <f>SUM(OSRRefD22_4x_0)</f>
        <v>9050.2199999999993</v>
      </c>
      <c r="E132" s="1"/>
      <c r="F132" s="5">
        <f t="shared" ref="F132:F136" si="37">IF(D$12=0,0,D132/D$12)</f>
        <v>2.451671616078533E-2</v>
      </c>
      <c r="G132" s="1"/>
      <c r="H132" s="1">
        <f>SUM(OSRRefH22_4x_0)</f>
        <v>32471</v>
      </c>
      <c r="I132" s="1"/>
      <c r="J132" s="5">
        <f t="shared" ref="J132:J136" si="38">IF(H$12=0,0,H132/H$12)</f>
        <v>2.5212674433411703E-2</v>
      </c>
      <c r="K132" s="1"/>
      <c r="L132" s="1">
        <f t="shared" ref="L132:L136" si="39">+D132-H132</f>
        <v>-23420.78</v>
      </c>
      <c r="M132" s="1"/>
      <c r="N132" s="5">
        <f t="shared" ref="N132:N136" si="40">IF(H132=0,0,L132/H132)</f>
        <v>-0.72128299097656368</v>
      </c>
      <c r="O132" s="14"/>
      <c r="P132" s="1">
        <f>SUM(OSRRefP22_4x_0)</f>
        <v>34247.769999999997</v>
      </c>
      <c r="Q132" s="1"/>
      <c r="R132" s="5">
        <f t="shared" ref="R132:R136" si="41">IF(P$12=0,0,P132/P$12)</f>
        <v>1.561044295508235E-2</v>
      </c>
      <c r="S132" s="1"/>
      <c r="T132" s="1">
        <f>SUM(OSRRefT22_4x_0)</f>
        <v>70857</v>
      </c>
      <c r="U132" s="1"/>
      <c r="V132" s="5">
        <f t="shared" ref="V132:V136" si="42">IF(T$12=0,0,T132/T$12)</f>
        <v>1.9773330992952906E-2</v>
      </c>
      <c r="W132" s="1"/>
      <c r="X132" s="1">
        <f t="shared" ref="X132:X136" si="43">+P132-T132</f>
        <v>-36609.230000000003</v>
      </c>
      <c r="Y132" s="1"/>
      <c r="Z132" s="5">
        <f t="shared" ref="Z132:Z136" si="44">IF(T132=0,0,X132/T132)</f>
        <v>-0.51666356182169726</v>
      </c>
    </row>
    <row r="133" spans="1:26" s="24" customFormat="1" hidden="1" outlineLevel="2" x14ac:dyDescent="0.25">
      <c r="A133" s="29"/>
      <c r="B133" s="11" t="str">
        <f>CONCATENATE("          ", "6381", " - ", "BANK/CREDIT CARD FEES")</f>
        <v xml:space="preserve">          6381 - BANK/CREDIT CARD FEES</v>
      </c>
      <c r="C133" s="11"/>
      <c r="D133" s="6">
        <v>9050.2199999999993</v>
      </c>
      <c r="E133" s="2"/>
      <c r="F133" s="7">
        <f t="shared" si="37"/>
        <v>2.451671616078533E-2</v>
      </c>
      <c r="G133" s="2"/>
      <c r="H133" s="6">
        <v>32471</v>
      </c>
      <c r="I133" s="2"/>
      <c r="J133" s="7">
        <f t="shared" si="38"/>
        <v>2.5212674433411703E-2</v>
      </c>
      <c r="K133" s="2"/>
      <c r="L133" s="6">
        <f t="shared" si="39"/>
        <v>-23420.78</v>
      </c>
      <c r="M133" s="2"/>
      <c r="N133" s="7">
        <f t="shared" si="40"/>
        <v>-0.72128299097656368</v>
      </c>
      <c r="O133" s="11"/>
      <c r="P133" s="6">
        <v>34247.769999999997</v>
      </c>
      <c r="Q133" s="2"/>
      <c r="R133" s="7">
        <f t="shared" si="41"/>
        <v>1.561044295508235E-2</v>
      </c>
      <c r="S133" s="2"/>
      <c r="T133" s="6">
        <v>70857</v>
      </c>
      <c r="U133" s="2"/>
      <c r="V133" s="7">
        <f t="shared" si="42"/>
        <v>1.9773330992952906E-2</v>
      </c>
      <c r="W133" s="2"/>
      <c r="X133" s="6">
        <f t="shared" si="43"/>
        <v>-36609.230000000003</v>
      </c>
      <c r="Y133" s="2"/>
      <c r="Z133" s="7">
        <f t="shared" si="44"/>
        <v>-0.51666356182169726</v>
      </c>
    </row>
    <row r="134" spans="1:26" s="28" customFormat="1" outlineLevel="1" collapsed="1" x14ac:dyDescent="0.25">
      <c r="A134" s="27"/>
      <c r="B134" s="14" t="str">
        <f>CONCATENATE("     ","Depreciation                                      ")</f>
        <v xml:space="preserve">     Depreciation                                      </v>
      </c>
      <c r="C134" s="14"/>
      <c r="D134" s="1">
        <f>SUM(OSRRefD22_5x_0)</f>
        <v>31066.84</v>
      </c>
      <c r="E134" s="1"/>
      <c r="F134" s="5">
        <f t="shared" si="37"/>
        <v>8.415893738412239E-2</v>
      </c>
      <c r="G134" s="1"/>
      <c r="H134" s="1">
        <f>SUM(OSRRefH22_5x_0)</f>
        <v>30630</v>
      </c>
      <c r="I134" s="1"/>
      <c r="J134" s="5">
        <f t="shared" si="38"/>
        <v>2.3783197865646286E-2</v>
      </c>
      <c r="K134" s="1"/>
      <c r="L134" s="1">
        <f t="shared" si="39"/>
        <v>436.84000000000015</v>
      </c>
      <c r="M134" s="1"/>
      <c r="N134" s="5">
        <f t="shared" si="40"/>
        <v>1.4261834802481232E-2</v>
      </c>
      <c r="O134" s="14"/>
      <c r="P134" s="1">
        <f>SUM(OSRRefP22_5x_0)</f>
        <v>92503.03</v>
      </c>
      <c r="Q134" s="1"/>
      <c r="R134" s="5">
        <f t="shared" si="41"/>
        <v>4.2163716732133844E-2</v>
      </c>
      <c r="S134" s="1"/>
      <c r="T134" s="1">
        <f>SUM(OSRRefT22_5x_0)</f>
        <v>91890</v>
      </c>
      <c r="U134" s="1"/>
      <c r="V134" s="5">
        <f t="shared" si="42"/>
        <v>2.5642793018931687E-2</v>
      </c>
      <c r="W134" s="1"/>
      <c r="X134" s="1">
        <f t="shared" si="43"/>
        <v>613.02999999999884</v>
      </c>
      <c r="Y134" s="1"/>
      <c r="Z134" s="5">
        <f t="shared" si="44"/>
        <v>6.6713461747741742E-3</v>
      </c>
    </row>
    <row r="135" spans="1:26" s="24" customFormat="1" hidden="1" outlineLevel="2" x14ac:dyDescent="0.25">
      <c r="A135" s="29"/>
      <c r="B135" s="11" t="str">
        <f>CONCATENATE("          ", "6321", " - ", "BUILDING DEPRECIATION")</f>
        <v xml:space="preserve">          6321 - BUILDING DEPRECIATION</v>
      </c>
      <c r="C135" s="11"/>
      <c r="D135" s="6">
        <v>16396.52</v>
      </c>
      <c r="E135" s="2"/>
      <c r="F135" s="7">
        <f t="shared" si="37"/>
        <v>4.4417575137912661E-2</v>
      </c>
      <c r="G135" s="2"/>
      <c r="H135" s="6"/>
      <c r="I135" s="2"/>
      <c r="J135" s="7">
        <f t="shared" si="38"/>
        <v>0</v>
      </c>
      <c r="K135" s="2"/>
      <c r="L135" s="6">
        <f t="shared" si="39"/>
        <v>16396.52</v>
      </c>
      <c r="M135" s="2"/>
      <c r="N135" s="7">
        <f t="shared" si="40"/>
        <v>0</v>
      </c>
      <c r="O135" s="11"/>
      <c r="P135" s="6">
        <v>49189.56</v>
      </c>
      <c r="Q135" s="2"/>
      <c r="R135" s="7">
        <f t="shared" si="41"/>
        <v>2.2421045818913191E-2</v>
      </c>
      <c r="S135" s="2"/>
      <c r="T135" s="6"/>
      <c r="U135" s="2"/>
      <c r="V135" s="7">
        <f t="shared" si="42"/>
        <v>0</v>
      </c>
      <c r="W135" s="2"/>
      <c r="X135" s="6">
        <f t="shared" si="43"/>
        <v>49189.56</v>
      </c>
      <c r="Y135" s="2"/>
      <c r="Z135" s="7">
        <f t="shared" si="44"/>
        <v>0</v>
      </c>
    </row>
    <row r="136" spans="1:26" s="24" customFormat="1" hidden="1" outlineLevel="2" x14ac:dyDescent="0.25">
      <c r="A136" s="29"/>
      <c r="B136" s="11" t="str">
        <f>CONCATENATE("          ", "6322", " - ", "EQUIPMENT DEPRECIATION EXPENSE")</f>
        <v xml:space="preserve">          6322 - EQUIPMENT DEPRECIATION EXPENSE</v>
      </c>
      <c r="C136" s="11"/>
      <c r="D136" s="6">
        <v>14670.32</v>
      </c>
      <c r="E136" s="2"/>
      <c r="F136" s="7">
        <f t="shared" si="37"/>
        <v>3.9741362246209735E-2</v>
      </c>
      <c r="G136" s="2"/>
      <c r="H136" s="6">
        <v>30630</v>
      </c>
      <c r="I136" s="2"/>
      <c r="J136" s="7">
        <f t="shared" si="38"/>
        <v>2.3783197865646286E-2</v>
      </c>
      <c r="K136" s="2"/>
      <c r="L136" s="6">
        <f t="shared" si="39"/>
        <v>-15959.68</v>
      </c>
      <c r="M136" s="2"/>
      <c r="N136" s="7">
        <f t="shared" si="40"/>
        <v>-0.52104733920992496</v>
      </c>
      <c r="O136" s="11"/>
      <c r="P136" s="6">
        <v>43313.47</v>
      </c>
      <c r="Q136" s="2"/>
      <c r="R136" s="7">
        <f t="shared" si="41"/>
        <v>1.9742670913220652E-2</v>
      </c>
      <c r="S136" s="2"/>
      <c r="T136" s="6">
        <v>91890</v>
      </c>
      <c r="U136" s="2"/>
      <c r="V136" s="7">
        <f t="shared" si="42"/>
        <v>2.5642793018931687E-2</v>
      </c>
      <c r="W136" s="2"/>
      <c r="X136" s="6">
        <f t="shared" si="43"/>
        <v>-48576.53</v>
      </c>
      <c r="Y136" s="2"/>
      <c r="Z136" s="7">
        <f t="shared" si="44"/>
        <v>-0.52863782783763191</v>
      </c>
    </row>
    <row r="137" spans="1:26" s="28" customFormat="1" outlineLevel="1" collapsed="1" x14ac:dyDescent="0.25">
      <c r="A137" s="27"/>
      <c r="B137" s="14" t="str">
        <f>CONCATENATE("     ","Discounts and Markdowns                           ")</f>
        <v xml:space="preserve">     Discounts and Markdowns                           </v>
      </c>
      <c r="C137" s="14"/>
      <c r="D137" s="1">
        <f>SUM(OSRRefD22_6x_0)</f>
        <v>830.95</v>
      </c>
      <c r="E137" s="1"/>
      <c r="F137" s="5">
        <f t="shared" ref="F137:F141" si="45">IF(D$12=0,0,D137/D$12)</f>
        <v>2.2510132675011849E-3</v>
      </c>
      <c r="G137" s="1"/>
      <c r="H137" s="1">
        <f>SUM(OSRRefH22_6x_0)</f>
        <v>28191</v>
      </c>
      <c r="I137" s="1"/>
      <c r="J137" s="5">
        <f t="shared" ref="J137:J141" si="46">IF(H$12=0,0,H137/H$12)</f>
        <v>2.1889393765276998E-2</v>
      </c>
      <c r="K137" s="1"/>
      <c r="L137" s="1">
        <f t="shared" ref="L137:L141" si="47">+D137-H137</f>
        <v>-27360.05</v>
      </c>
      <c r="M137" s="1"/>
      <c r="N137" s="5">
        <f t="shared" ref="N137:N141" si="48">IF(H137=0,0,L137/H137)</f>
        <v>-0.97052428079883646</v>
      </c>
      <c r="O137" s="14"/>
      <c r="P137" s="1">
        <f>SUM(OSRRefP22_6x_0)</f>
        <v>830.95</v>
      </c>
      <c r="Q137" s="1"/>
      <c r="R137" s="5">
        <f t="shared" ref="R137:R141" si="49">IF(P$12=0,0,P137/P$12)</f>
        <v>3.787545166743902E-4</v>
      </c>
      <c r="S137" s="1"/>
      <c r="T137" s="1">
        <f>SUM(OSRRefT22_6x_0)</f>
        <v>81658</v>
      </c>
      <c r="U137" s="1"/>
      <c r="V137" s="5">
        <f t="shared" ref="V137:V141" si="50">IF(T$12=0,0,T137/T$12)</f>
        <v>2.2787454481879681E-2</v>
      </c>
      <c r="W137" s="1"/>
      <c r="X137" s="1">
        <f t="shared" ref="X137:X141" si="51">+P137-T137</f>
        <v>-80827.05</v>
      </c>
      <c r="Y137" s="1"/>
      <c r="Z137" s="5">
        <f t="shared" ref="Z137:Z141" si="52">IF(T137=0,0,X137/T137)</f>
        <v>-0.98982402214112519</v>
      </c>
    </row>
    <row r="138" spans="1:26" s="24" customFormat="1" hidden="1" outlineLevel="2" x14ac:dyDescent="0.25">
      <c r="A138" s="29"/>
      <c r="B138" s="11" t="str">
        <f>CONCATENATE("          ", "6382", " - ", "DISCOUNTS/MARK DOWNS")</f>
        <v xml:space="preserve">          6382 - DISCOUNTS/MARK DOWNS</v>
      </c>
      <c r="C138" s="11"/>
      <c r="D138" s="6">
        <v>830.95</v>
      </c>
      <c r="E138" s="2"/>
      <c r="F138" s="7">
        <f t="shared" si="45"/>
        <v>2.2510132675011849E-3</v>
      </c>
      <c r="G138" s="2"/>
      <c r="H138" s="6">
        <v>28191</v>
      </c>
      <c r="I138" s="2"/>
      <c r="J138" s="7">
        <f t="shared" si="46"/>
        <v>2.1889393765276998E-2</v>
      </c>
      <c r="K138" s="2"/>
      <c r="L138" s="6">
        <f t="shared" si="47"/>
        <v>-27360.05</v>
      </c>
      <c r="M138" s="2"/>
      <c r="N138" s="7">
        <f t="shared" si="48"/>
        <v>-0.97052428079883646</v>
      </c>
      <c r="O138" s="11"/>
      <c r="P138" s="6">
        <v>830.95</v>
      </c>
      <c r="Q138" s="2"/>
      <c r="R138" s="7">
        <f t="shared" si="49"/>
        <v>3.787545166743902E-4</v>
      </c>
      <c r="S138" s="2"/>
      <c r="T138" s="6">
        <v>81658</v>
      </c>
      <c r="U138" s="2"/>
      <c r="V138" s="7">
        <f t="shared" si="50"/>
        <v>2.2787454481879681E-2</v>
      </c>
      <c r="W138" s="2"/>
      <c r="X138" s="6">
        <f t="shared" si="51"/>
        <v>-80827.05</v>
      </c>
      <c r="Y138" s="2"/>
      <c r="Z138" s="7">
        <f t="shared" si="52"/>
        <v>-0.98982402214112519</v>
      </c>
    </row>
    <row r="139" spans="1:26" s="28" customFormat="1" outlineLevel="1" collapsed="1" x14ac:dyDescent="0.25">
      <c r="A139" s="27"/>
      <c r="B139" s="14" t="str">
        <f>CONCATENATE("     ","Donations                                         ")</f>
        <v xml:space="preserve">     Donations                                         </v>
      </c>
      <c r="C139" s="14"/>
      <c r="D139" s="1">
        <f>SUM(OSRRefD22_7x_0)</f>
        <v>0</v>
      </c>
      <c r="E139" s="1"/>
      <c r="F139" s="5">
        <f t="shared" si="45"/>
        <v>0</v>
      </c>
      <c r="G139" s="1"/>
      <c r="H139" s="1">
        <f>SUM(OSRRefH22_7x_0)</f>
        <v>1000</v>
      </c>
      <c r="I139" s="1"/>
      <c r="J139" s="5">
        <f t="shared" si="46"/>
        <v>7.7646744582586633E-4</v>
      </c>
      <c r="K139" s="1"/>
      <c r="L139" s="1">
        <f t="shared" si="47"/>
        <v>-1000</v>
      </c>
      <c r="M139" s="1"/>
      <c r="N139" s="5">
        <f t="shared" si="48"/>
        <v>-1</v>
      </c>
      <c r="O139" s="14"/>
      <c r="P139" s="1">
        <f>SUM(OSRRefP22_7x_0)</f>
        <v>0</v>
      </c>
      <c r="Q139" s="1"/>
      <c r="R139" s="5">
        <f t="shared" si="49"/>
        <v>0</v>
      </c>
      <c r="S139" s="1"/>
      <c r="T139" s="1">
        <f>SUM(OSRRefT22_7x_0)</f>
        <v>3000</v>
      </c>
      <c r="U139" s="1"/>
      <c r="V139" s="5">
        <f t="shared" si="50"/>
        <v>8.3717900812705476E-4</v>
      </c>
      <c r="W139" s="1"/>
      <c r="X139" s="1">
        <f t="shared" si="51"/>
        <v>-3000</v>
      </c>
      <c r="Y139" s="1"/>
      <c r="Z139" s="5">
        <f t="shared" si="52"/>
        <v>-1</v>
      </c>
    </row>
    <row r="140" spans="1:26" s="24" customFormat="1" hidden="1" outlineLevel="2" x14ac:dyDescent="0.25">
      <c r="A140" s="29"/>
      <c r="B140" s="11" t="str">
        <f>CONCATENATE("          ", "6395", " - ", "DONATION-OFF CAMPUS")</f>
        <v xml:space="preserve">          6395 - DONATION-OFF CAMPUS</v>
      </c>
      <c r="C140" s="11"/>
      <c r="D140" s="6"/>
      <c r="E140" s="2"/>
      <c r="F140" s="7">
        <f t="shared" si="45"/>
        <v>0</v>
      </c>
      <c r="G140" s="2"/>
      <c r="H140" s="6"/>
      <c r="I140" s="2"/>
      <c r="J140" s="7">
        <f t="shared" si="46"/>
        <v>0</v>
      </c>
      <c r="K140" s="2"/>
      <c r="L140" s="6">
        <f t="shared" si="47"/>
        <v>0</v>
      </c>
      <c r="M140" s="2"/>
      <c r="N140" s="7">
        <f t="shared" si="48"/>
        <v>0</v>
      </c>
      <c r="O140" s="11"/>
      <c r="P140" s="6"/>
      <c r="Q140" s="2"/>
      <c r="R140" s="7">
        <f t="shared" si="49"/>
        <v>0</v>
      </c>
      <c r="S140" s="2"/>
      <c r="T140" s="6">
        <v>0</v>
      </c>
      <c r="U140" s="2"/>
      <c r="V140" s="7">
        <f t="shared" si="50"/>
        <v>0</v>
      </c>
      <c r="W140" s="2"/>
      <c r="X140" s="6">
        <f t="shared" si="51"/>
        <v>0</v>
      </c>
      <c r="Y140" s="2"/>
      <c r="Z140" s="7">
        <f t="shared" si="52"/>
        <v>0</v>
      </c>
    </row>
    <row r="141" spans="1:26" s="24" customFormat="1" hidden="1" outlineLevel="2" x14ac:dyDescent="0.25">
      <c r="A141" s="29"/>
      <c r="B141" s="11" t="str">
        <f>CONCATENATE("          ", "6399", " - ", "DONATION-ON CAMPUS")</f>
        <v xml:space="preserve">          6399 - DONATION-ON CAMPUS</v>
      </c>
      <c r="C141" s="11"/>
      <c r="D141" s="6"/>
      <c r="E141" s="2"/>
      <c r="F141" s="7">
        <f t="shared" si="45"/>
        <v>0</v>
      </c>
      <c r="G141" s="2"/>
      <c r="H141" s="6">
        <v>1000</v>
      </c>
      <c r="I141" s="2"/>
      <c r="J141" s="7">
        <f t="shared" si="46"/>
        <v>7.7646744582586633E-4</v>
      </c>
      <c r="K141" s="2"/>
      <c r="L141" s="6">
        <f t="shared" si="47"/>
        <v>-1000</v>
      </c>
      <c r="M141" s="2"/>
      <c r="N141" s="7">
        <f t="shared" si="48"/>
        <v>-1</v>
      </c>
      <c r="O141" s="11"/>
      <c r="P141" s="6"/>
      <c r="Q141" s="2"/>
      <c r="R141" s="7">
        <f t="shared" si="49"/>
        <v>0</v>
      </c>
      <c r="S141" s="2"/>
      <c r="T141" s="6">
        <v>3000</v>
      </c>
      <c r="U141" s="2"/>
      <c r="V141" s="7">
        <f t="shared" si="50"/>
        <v>8.3717900812705476E-4</v>
      </c>
      <c r="W141" s="2"/>
      <c r="X141" s="6">
        <f t="shared" si="51"/>
        <v>-3000</v>
      </c>
      <c r="Y141" s="2"/>
      <c r="Z141" s="7">
        <f t="shared" si="52"/>
        <v>-1</v>
      </c>
    </row>
    <row r="142" spans="1:26" s="28" customFormat="1" outlineLevel="1" collapsed="1" x14ac:dyDescent="0.25">
      <c r="A142" s="27"/>
      <c r="B142" s="14" t="str">
        <f>CONCATENATE("     ","Employees' Appreciation                           ")</f>
        <v xml:space="preserve">     Employees' Appreciation                           </v>
      </c>
      <c r="C142" s="14"/>
      <c r="D142" s="1">
        <f>SUM(OSRRefD22_8x_0)</f>
        <v>0</v>
      </c>
      <c r="E142" s="1"/>
      <c r="F142" s="5">
        <f t="shared" ref="F142:F148" si="53">IF(D$12=0,0,D142/D$12)</f>
        <v>0</v>
      </c>
      <c r="G142" s="1"/>
      <c r="H142" s="1">
        <f>SUM(OSRRefH22_8x_0)</f>
        <v>400</v>
      </c>
      <c r="I142" s="1"/>
      <c r="J142" s="5">
        <f t="shared" ref="J142:J148" si="54">IF(H$12=0,0,H142/H$12)</f>
        <v>3.1058697833034654E-4</v>
      </c>
      <c r="K142" s="1"/>
      <c r="L142" s="1">
        <f t="shared" ref="L142:L148" si="55">+D142-H142</f>
        <v>-400</v>
      </c>
      <c r="M142" s="1"/>
      <c r="N142" s="5">
        <f t="shared" ref="N142:N148" si="56">IF(H142=0,0,L142/H142)</f>
        <v>-1</v>
      </c>
      <c r="O142" s="14"/>
      <c r="P142" s="1">
        <f>SUM(OSRRefP22_8x_0)</f>
        <v>107.7</v>
      </c>
      <c r="Q142" s="1"/>
      <c r="R142" s="5">
        <f t="shared" ref="R142:R148" si="57">IF(P$12=0,0,P142/P$12)</f>
        <v>4.9090632945221523E-5</v>
      </c>
      <c r="S142" s="1"/>
      <c r="T142" s="1">
        <f>SUM(OSRRefT22_8x_0)</f>
        <v>1250</v>
      </c>
      <c r="U142" s="1"/>
      <c r="V142" s="5">
        <f t="shared" ref="V142:V148" si="58">IF(T$12=0,0,T142/T$12)</f>
        <v>3.4882458671960613E-4</v>
      </c>
      <c r="W142" s="1"/>
      <c r="X142" s="1">
        <f t="shared" ref="X142:X148" si="59">+P142-T142</f>
        <v>-1142.3</v>
      </c>
      <c r="Y142" s="1"/>
      <c r="Z142" s="5">
        <f t="shared" ref="Z142:Z148" si="60">IF(T142=0,0,X142/T142)</f>
        <v>-0.91383999999999999</v>
      </c>
    </row>
    <row r="143" spans="1:26" s="24" customFormat="1" hidden="1" outlineLevel="2" x14ac:dyDescent="0.25">
      <c r="A143" s="29"/>
      <c r="B143" s="11" t="str">
        <f>CONCATENATE("          ", "6277", " - ", "EMPLOYEE APPRECIATION")</f>
        <v xml:space="preserve">          6277 - EMPLOYEE APPRECIATION</v>
      </c>
      <c r="C143" s="11"/>
      <c r="D143" s="6"/>
      <c r="E143" s="2"/>
      <c r="F143" s="7">
        <f t="shared" si="53"/>
        <v>0</v>
      </c>
      <c r="G143" s="2"/>
      <c r="H143" s="6">
        <v>400</v>
      </c>
      <c r="I143" s="2"/>
      <c r="J143" s="7">
        <f t="shared" si="54"/>
        <v>3.1058697833034654E-4</v>
      </c>
      <c r="K143" s="2"/>
      <c r="L143" s="6">
        <f t="shared" si="55"/>
        <v>-400</v>
      </c>
      <c r="M143" s="2"/>
      <c r="N143" s="7">
        <f t="shared" si="56"/>
        <v>-1</v>
      </c>
      <c r="O143" s="11"/>
      <c r="P143" s="6">
        <v>107.7</v>
      </c>
      <c r="Q143" s="2"/>
      <c r="R143" s="7">
        <f t="shared" si="57"/>
        <v>4.9090632945221523E-5</v>
      </c>
      <c r="S143" s="2"/>
      <c r="T143" s="6">
        <v>1250</v>
      </c>
      <c r="U143" s="2"/>
      <c r="V143" s="7">
        <f t="shared" si="58"/>
        <v>3.4882458671960613E-4</v>
      </c>
      <c r="W143" s="2"/>
      <c r="X143" s="6">
        <f t="shared" si="59"/>
        <v>-1142.3</v>
      </c>
      <c r="Y143" s="2"/>
      <c r="Z143" s="7">
        <f t="shared" si="60"/>
        <v>-0.91383999999999999</v>
      </c>
    </row>
    <row r="144" spans="1:26" s="28" customFormat="1" outlineLevel="1" collapsed="1" x14ac:dyDescent="0.25">
      <c r="A144" s="27"/>
      <c r="B144" s="14" t="str">
        <f>CONCATENATE("     ","Equipment Rental                                  ")</f>
        <v xml:space="preserve">     Equipment Rental                                  </v>
      </c>
      <c r="C144" s="14"/>
      <c r="D144" s="1">
        <f>SUM(OSRRefD22_9x_0)</f>
        <v>1712.05</v>
      </c>
      <c r="E144" s="1"/>
      <c r="F144" s="5">
        <f t="shared" si="53"/>
        <v>4.6378810573745747E-3</v>
      </c>
      <c r="G144" s="1"/>
      <c r="H144" s="1">
        <f>SUM(OSRRefH22_9x_0)</f>
        <v>3006</v>
      </c>
      <c r="I144" s="1"/>
      <c r="J144" s="5">
        <f t="shared" si="54"/>
        <v>2.3340611421525542E-3</v>
      </c>
      <c r="K144" s="1"/>
      <c r="L144" s="1">
        <f t="shared" si="55"/>
        <v>-1293.95</v>
      </c>
      <c r="M144" s="1"/>
      <c r="N144" s="5">
        <f t="shared" si="56"/>
        <v>-0.43045575515635398</v>
      </c>
      <c r="O144" s="14"/>
      <c r="P144" s="1">
        <f>SUM(OSRRefP22_9x_0)</f>
        <v>4488.37</v>
      </c>
      <c r="Q144" s="1"/>
      <c r="R144" s="5">
        <f t="shared" si="57"/>
        <v>2.0458395932436762E-3</v>
      </c>
      <c r="S144" s="1"/>
      <c r="T144" s="1">
        <f>SUM(OSRRefT22_9x_0)</f>
        <v>9018</v>
      </c>
      <c r="U144" s="1"/>
      <c r="V144" s="5">
        <f t="shared" si="58"/>
        <v>2.5165600984299267E-3</v>
      </c>
      <c r="W144" s="1"/>
      <c r="X144" s="1">
        <f t="shared" si="59"/>
        <v>-4529.63</v>
      </c>
      <c r="Y144" s="1"/>
      <c r="Z144" s="5">
        <f t="shared" si="60"/>
        <v>-0.50228764692836547</v>
      </c>
    </row>
    <row r="145" spans="1:26" s="24" customFormat="1" hidden="1" outlineLevel="2" x14ac:dyDescent="0.25">
      <c r="A145" s="29"/>
      <c r="B145" s="11" t="str">
        <f>CONCATENATE("          ", "6351", " - ", "EQUIPMENT RENTAL")</f>
        <v xml:space="preserve">          6351 - EQUIPMENT RENTAL</v>
      </c>
      <c r="C145" s="11"/>
      <c r="D145" s="6">
        <v>1712.05</v>
      </c>
      <c r="E145" s="2"/>
      <c r="F145" s="7">
        <f t="shared" si="53"/>
        <v>4.6378810573745747E-3</v>
      </c>
      <c r="G145" s="2"/>
      <c r="H145" s="6">
        <v>3006</v>
      </c>
      <c r="I145" s="2"/>
      <c r="J145" s="7">
        <f t="shared" si="54"/>
        <v>2.3340611421525542E-3</v>
      </c>
      <c r="K145" s="2"/>
      <c r="L145" s="6">
        <f t="shared" si="55"/>
        <v>-1293.95</v>
      </c>
      <c r="M145" s="2"/>
      <c r="N145" s="7">
        <f t="shared" si="56"/>
        <v>-0.43045575515635398</v>
      </c>
      <c r="O145" s="11"/>
      <c r="P145" s="6">
        <v>4488.37</v>
      </c>
      <c r="Q145" s="2"/>
      <c r="R145" s="7">
        <f t="shared" si="57"/>
        <v>2.0458395932436762E-3</v>
      </c>
      <c r="S145" s="2"/>
      <c r="T145" s="6">
        <v>9018</v>
      </c>
      <c r="U145" s="2"/>
      <c r="V145" s="7">
        <f t="shared" si="58"/>
        <v>2.5165600984299267E-3</v>
      </c>
      <c r="W145" s="2"/>
      <c r="X145" s="6">
        <f t="shared" si="59"/>
        <v>-4529.63</v>
      </c>
      <c r="Y145" s="2"/>
      <c r="Z145" s="7">
        <f t="shared" si="60"/>
        <v>-0.50228764692836547</v>
      </c>
    </row>
    <row r="146" spans="1:26" s="28" customFormat="1" outlineLevel="1" collapsed="1" x14ac:dyDescent="0.25">
      <c r="A146" s="27"/>
      <c r="B146" s="14" t="str">
        <f>CONCATENATE("     ","Freight out/Postage                               ")</f>
        <v xml:space="preserve">     Freight out/Postage                               </v>
      </c>
      <c r="C146" s="14"/>
      <c r="D146" s="1">
        <f>SUM(OSRRefD22_10x_0)</f>
        <v>-5939.64</v>
      </c>
      <c r="E146" s="1"/>
      <c r="F146" s="5">
        <f t="shared" si="53"/>
        <v>-1.6090268300355901E-2</v>
      </c>
      <c r="G146" s="1"/>
      <c r="H146" s="1">
        <f>SUM(OSRRefH22_10x_0)</f>
        <v>10803</v>
      </c>
      <c r="I146" s="1"/>
      <c r="J146" s="5">
        <f t="shared" si="54"/>
        <v>8.3881778172568335E-3</v>
      </c>
      <c r="K146" s="1"/>
      <c r="L146" s="1">
        <f t="shared" si="55"/>
        <v>-16742.64</v>
      </c>
      <c r="M146" s="1"/>
      <c r="N146" s="5">
        <f t="shared" si="56"/>
        <v>-1.5498139405720632</v>
      </c>
      <c r="O146" s="14"/>
      <c r="P146" s="1">
        <f>SUM(OSRRefP22_10x_0)</f>
        <v>-80751.510000000009</v>
      </c>
      <c r="Q146" s="1"/>
      <c r="R146" s="5">
        <f t="shared" si="57"/>
        <v>-3.6807267754711104E-2</v>
      </c>
      <c r="S146" s="1"/>
      <c r="T146" s="1">
        <f>SUM(OSRRefT22_10x_0)</f>
        <v>26958</v>
      </c>
      <c r="U146" s="1"/>
      <c r="V146" s="5">
        <f t="shared" si="58"/>
        <v>7.5228905670297139E-3</v>
      </c>
      <c r="W146" s="1"/>
      <c r="X146" s="1">
        <f t="shared" si="59"/>
        <v>-107709.51000000001</v>
      </c>
      <c r="Y146" s="1"/>
      <c r="Z146" s="5">
        <f t="shared" si="60"/>
        <v>-3.9954562653015806</v>
      </c>
    </row>
    <row r="147" spans="1:26" s="24" customFormat="1" hidden="1" outlineLevel="2" x14ac:dyDescent="0.25">
      <c r="A147" s="29"/>
      <c r="B147" s="11" t="str">
        <f>CONCATENATE("          ", "6305", " - ", "FREIGHT OUT")</f>
        <v xml:space="preserve">          6305 - FREIGHT OUT</v>
      </c>
      <c r="C147" s="11"/>
      <c r="D147" s="6">
        <v>5328.45</v>
      </c>
      <c r="E147" s="2"/>
      <c r="F147" s="7">
        <f t="shared" si="53"/>
        <v>1.4434576864091326E-2</v>
      </c>
      <c r="G147" s="2"/>
      <c r="H147" s="6">
        <v>9533</v>
      </c>
      <c r="I147" s="2"/>
      <c r="J147" s="7">
        <f t="shared" si="54"/>
        <v>7.4020641610579837E-3</v>
      </c>
      <c r="K147" s="2"/>
      <c r="L147" s="6">
        <f t="shared" si="55"/>
        <v>-4204.55</v>
      </c>
      <c r="M147" s="2"/>
      <c r="N147" s="7">
        <f t="shared" si="56"/>
        <v>-0.44105213469002413</v>
      </c>
      <c r="O147" s="11"/>
      <c r="P147" s="6">
        <v>25658.06</v>
      </c>
      <c r="Q147" s="2"/>
      <c r="R147" s="7">
        <f t="shared" si="57"/>
        <v>1.1695175538964445E-2</v>
      </c>
      <c r="S147" s="2"/>
      <c r="T147" s="6">
        <v>14648</v>
      </c>
      <c r="U147" s="2"/>
      <c r="V147" s="7">
        <f t="shared" si="58"/>
        <v>4.0876660370150327E-3</v>
      </c>
      <c r="W147" s="2"/>
      <c r="X147" s="6">
        <f t="shared" si="59"/>
        <v>11010.060000000001</v>
      </c>
      <c r="Y147" s="2"/>
      <c r="Z147" s="7">
        <f t="shared" si="60"/>
        <v>0.75164254505734585</v>
      </c>
    </row>
    <row r="148" spans="1:26" s="24" customFormat="1" hidden="1" outlineLevel="2" x14ac:dyDescent="0.25">
      <c r="A148" s="29"/>
      <c r="B148" s="11" t="str">
        <f>CONCATENATE("          ", "6307", " - ", "POSTAGE")</f>
        <v xml:space="preserve">          6307 - POSTAGE</v>
      </c>
      <c r="C148" s="11"/>
      <c r="D148" s="6">
        <v>-11268.09</v>
      </c>
      <c r="E148" s="2"/>
      <c r="F148" s="7">
        <f t="shared" si="53"/>
        <v>-3.0524845164447229E-2</v>
      </c>
      <c r="G148" s="2"/>
      <c r="H148" s="6">
        <v>1270</v>
      </c>
      <c r="I148" s="2"/>
      <c r="J148" s="7">
        <f t="shared" si="54"/>
        <v>9.861136561988503E-4</v>
      </c>
      <c r="K148" s="2"/>
      <c r="L148" s="6">
        <f t="shared" si="55"/>
        <v>-12538.09</v>
      </c>
      <c r="M148" s="2"/>
      <c r="N148" s="7">
        <f t="shared" si="56"/>
        <v>-9.8725118110236227</v>
      </c>
      <c r="O148" s="11"/>
      <c r="P148" s="6">
        <v>-106409.57</v>
      </c>
      <c r="Q148" s="2"/>
      <c r="R148" s="7">
        <f t="shared" si="57"/>
        <v>-4.8502443293675548E-2</v>
      </c>
      <c r="S148" s="2"/>
      <c r="T148" s="6">
        <v>12310</v>
      </c>
      <c r="U148" s="2"/>
      <c r="V148" s="7">
        <f t="shared" si="58"/>
        <v>3.4352245300146812E-3</v>
      </c>
      <c r="W148" s="2"/>
      <c r="X148" s="6">
        <f t="shared" si="59"/>
        <v>-118719.57</v>
      </c>
      <c r="Y148" s="2"/>
      <c r="Z148" s="7">
        <f t="shared" si="60"/>
        <v>-9.6441567831031687</v>
      </c>
    </row>
    <row r="149" spans="1:26" s="28" customFormat="1" outlineLevel="1" collapsed="1" x14ac:dyDescent="0.25">
      <c r="A149" s="27"/>
      <c r="B149" s="14" t="str">
        <f>CONCATENATE("     ","General                                           ")</f>
        <v xml:space="preserve">     General                                           </v>
      </c>
      <c r="C149" s="14"/>
      <c r="D149" s="1">
        <f>SUM(OSRRefD22_11x_0)</f>
        <v>0</v>
      </c>
      <c r="E149" s="1"/>
      <c r="F149" s="5">
        <f t="shared" ref="F149:F152" si="61">IF(D$12=0,0,D149/D$12)</f>
        <v>0</v>
      </c>
      <c r="G149" s="1"/>
      <c r="H149" s="1">
        <f>SUM(OSRRefH22_11x_0)</f>
        <v>500</v>
      </c>
      <c r="I149" s="1"/>
      <c r="J149" s="5">
        <f t="shared" ref="J149:J152" si="62">IF(H$12=0,0,H149/H$12)</f>
        <v>3.8823372291293316E-4</v>
      </c>
      <c r="K149" s="1"/>
      <c r="L149" s="1">
        <f t="shared" ref="L149:L152" si="63">+D149-H149</f>
        <v>-500</v>
      </c>
      <c r="M149" s="1"/>
      <c r="N149" s="5">
        <f t="shared" ref="N149:N152" si="64">IF(H149=0,0,L149/H149)</f>
        <v>-1</v>
      </c>
      <c r="O149" s="14"/>
      <c r="P149" s="1">
        <f>SUM(OSRRefP22_11x_0)</f>
        <v>-3206.83</v>
      </c>
      <c r="Q149" s="1"/>
      <c r="R149" s="5">
        <f t="shared" ref="R149:R152" si="65">IF(P$12=0,0,P149/P$12)</f>
        <v>-1.4617020840085862E-3</v>
      </c>
      <c r="S149" s="1"/>
      <c r="T149" s="1">
        <f>SUM(OSRRefT22_11x_0)</f>
        <v>2775</v>
      </c>
      <c r="U149" s="1"/>
      <c r="V149" s="5">
        <f t="shared" ref="V149:V152" si="66">IF(T$12=0,0,T149/T$12)</f>
        <v>7.7439058251752566E-4</v>
      </c>
      <c r="W149" s="1"/>
      <c r="X149" s="1">
        <f t="shared" ref="X149:X152" si="67">+P149-T149</f>
        <v>-5981.83</v>
      </c>
      <c r="Y149" s="1"/>
      <c r="Z149" s="5">
        <f t="shared" ref="Z149:Z152" si="68">IF(T149=0,0,X149/T149)</f>
        <v>-2.1556144144144143</v>
      </c>
    </row>
    <row r="150" spans="1:26" s="24" customFormat="1" hidden="1" outlineLevel="2" x14ac:dyDescent="0.25">
      <c r="A150" s="29"/>
      <c r="B150" s="11" t="str">
        <f>CONCATENATE("          ", "6269", " - ", "ENTERTAINMENT")</f>
        <v xml:space="preserve">          6269 - ENTERTAINMENT</v>
      </c>
      <c r="C150" s="11"/>
      <c r="D150" s="6"/>
      <c r="E150" s="2"/>
      <c r="F150" s="7">
        <f t="shared" si="61"/>
        <v>0</v>
      </c>
      <c r="G150" s="2"/>
      <c r="H150" s="6">
        <v>0</v>
      </c>
      <c r="I150" s="2"/>
      <c r="J150" s="7">
        <f t="shared" si="62"/>
        <v>0</v>
      </c>
      <c r="K150" s="2"/>
      <c r="L150" s="6">
        <f t="shared" si="63"/>
        <v>0</v>
      </c>
      <c r="M150" s="2"/>
      <c r="N150" s="7">
        <f t="shared" si="64"/>
        <v>0</v>
      </c>
      <c r="O150" s="11"/>
      <c r="P150" s="6"/>
      <c r="Q150" s="2"/>
      <c r="R150" s="7">
        <f t="shared" si="65"/>
        <v>0</v>
      </c>
      <c r="S150" s="2"/>
      <c r="T150" s="6">
        <v>125</v>
      </c>
      <c r="U150" s="2"/>
      <c r="V150" s="7">
        <f t="shared" si="66"/>
        <v>3.4882458671960617E-5</v>
      </c>
      <c r="W150" s="2"/>
      <c r="X150" s="6">
        <f t="shared" si="67"/>
        <v>-125</v>
      </c>
      <c r="Y150" s="2"/>
      <c r="Z150" s="7">
        <f t="shared" si="68"/>
        <v>-1</v>
      </c>
    </row>
    <row r="151" spans="1:26" s="24" customFormat="1" hidden="1" outlineLevel="2" x14ac:dyDescent="0.25">
      <c r="A151" s="29"/>
      <c r="B151" s="11" t="str">
        <f>CONCATENATE("          ", "6276", " - ", "PROPERTY TAX")</f>
        <v xml:space="preserve">          6276 - PROPERTY TAX</v>
      </c>
      <c r="C151" s="11"/>
      <c r="D151" s="6"/>
      <c r="E151" s="2"/>
      <c r="F151" s="7">
        <f t="shared" si="61"/>
        <v>0</v>
      </c>
      <c r="G151" s="2"/>
      <c r="H151" s="6"/>
      <c r="I151" s="2"/>
      <c r="J151" s="7">
        <f t="shared" si="62"/>
        <v>0</v>
      </c>
      <c r="K151" s="2"/>
      <c r="L151" s="6">
        <f t="shared" si="63"/>
        <v>0</v>
      </c>
      <c r="M151" s="2"/>
      <c r="N151" s="7">
        <f t="shared" si="64"/>
        <v>0</v>
      </c>
      <c r="O151" s="11"/>
      <c r="P151" s="6"/>
      <c r="Q151" s="2"/>
      <c r="R151" s="7">
        <f t="shared" si="65"/>
        <v>0</v>
      </c>
      <c r="S151" s="2"/>
      <c r="T151" s="6">
        <v>150</v>
      </c>
      <c r="U151" s="2"/>
      <c r="V151" s="7">
        <f t="shared" si="66"/>
        <v>4.1858950406352737E-5</v>
      </c>
      <c r="W151" s="2"/>
      <c r="X151" s="6">
        <f t="shared" si="67"/>
        <v>-150</v>
      </c>
      <c r="Y151" s="2"/>
      <c r="Z151" s="7">
        <f t="shared" si="68"/>
        <v>-1</v>
      </c>
    </row>
    <row r="152" spans="1:26" s="24" customFormat="1" hidden="1" outlineLevel="2" x14ac:dyDescent="0.25">
      <c r="A152" s="29"/>
      <c r="B152" s="11" t="str">
        <f>CONCATENATE("          ", "6279", " - ", "GENERAL EXPENSE")</f>
        <v xml:space="preserve">          6279 - GENERAL EXPENSE</v>
      </c>
      <c r="C152" s="11"/>
      <c r="D152" s="6"/>
      <c r="E152" s="2"/>
      <c r="F152" s="7">
        <f t="shared" si="61"/>
        <v>0</v>
      </c>
      <c r="G152" s="2"/>
      <c r="H152" s="6">
        <v>500</v>
      </c>
      <c r="I152" s="2"/>
      <c r="J152" s="7">
        <f t="shared" si="62"/>
        <v>3.8823372291293316E-4</v>
      </c>
      <c r="K152" s="2"/>
      <c r="L152" s="6">
        <f t="shared" si="63"/>
        <v>-500</v>
      </c>
      <c r="M152" s="2"/>
      <c r="N152" s="7">
        <f t="shared" si="64"/>
        <v>-1</v>
      </c>
      <c r="O152" s="11"/>
      <c r="P152" s="6">
        <v>-3206.83</v>
      </c>
      <c r="Q152" s="2"/>
      <c r="R152" s="7">
        <f t="shared" si="65"/>
        <v>-1.4617020840085862E-3</v>
      </c>
      <c r="S152" s="2"/>
      <c r="T152" s="6">
        <v>2500</v>
      </c>
      <c r="U152" s="2"/>
      <c r="V152" s="7">
        <f t="shared" si="66"/>
        <v>6.9764917343921227E-4</v>
      </c>
      <c r="W152" s="2"/>
      <c r="X152" s="6">
        <f t="shared" si="67"/>
        <v>-5706.83</v>
      </c>
      <c r="Y152" s="2"/>
      <c r="Z152" s="7">
        <f t="shared" si="68"/>
        <v>-2.2827319999999998</v>
      </c>
    </row>
    <row r="153" spans="1:26" s="28" customFormat="1" outlineLevel="1" collapsed="1" x14ac:dyDescent="0.25">
      <c r="A153" s="27"/>
      <c r="B153" s="14" t="str">
        <f>CONCATENATE("     ","Insurance                                         ")</f>
        <v xml:space="preserve">     Insurance                                         </v>
      </c>
      <c r="C153" s="14"/>
      <c r="D153" s="1">
        <f>SUM(OSRRefD22_12x_0)</f>
        <v>4044.74</v>
      </c>
      <c r="E153" s="1"/>
      <c r="F153" s="5">
        <f t="shared" ref="F153:F165" si="69">IF(D$12=0,0,D153/D$12)</f>
        <v>1.0957053256625238E-2</v>
      </c>
      <c r="G153" s="1"/>
      <c r="H153" s="1">
        <f>SUM(OSRRefH22_12x_0)</f>
        <v>4446</v>
      </c>
      <c r="I153" s="1"/>
      <c r="J153" s="5">
        <f t="shared" ref="J153:J165" si="70">IF(H$12=0,0,H153/H$12)</f>
        <v>3.4521742641418014E-3</v>
      </c>
      <c r="K153" s="1"/>
      <c r="L153" s="1">
        <f t="shared" ref="L153:L165" si="71">+D153-H153</f>
        <v>-401.26000000000022</v>
      </c>
      <c r="M153" s="1"/>
      <c r="N153" s="5">
        <f t="shared" ref="N153:N165" si="72">IF(H153=0,0,L153/H153)</f>
        <v>-9.0251911830859247E-2</v>
      </c>
      <c r="O153" s="14"/>
      <c r="P153" s="1">
        <f>SUM(OSRRefP22_12x_0)</f>
        <v>12134.22</v>
      </c>
      <c r="Q153" s="1"/>
      <c r="R153" s="5">
        <f t="shared" ref="R153:R165" si="73">IF(P$12=0,0,P153/P$12)</f>
        <v>5.5308870946756353E-3</v>
      </c>
      <c r="S153" s="1"/>
      <c r="T153" s="1">
        <f>SUM(OSRRefT22_12x_0)</f>
        <v>13338</v>
      </c>
      <c r="U153" s="1"/>
      <c r="V153" s="5">
        <f t="shared" ref="V153:V165" si="74">IF(T$12=0,0,T153/T$12)</f>
        <v>3.7220978701328856E-3</v>
      </c>
      <c r="W153" s="1"/>
      <c r="X153" s="1">
        <f t="shared" ref="X153:X165" si="75">+P153-T153</f>
        <v>-1203.7800000000007</v>
      </c>
      <c r="Y153" s="1"/>
      <c r="Z153" s="5">
        <f t="shared" ref="Z153:Z165" si="76">IF(T153=0,0,X153/T153)</f>
        <v>-9.0251911830859247E-2</v>
      </c>
    </row>
    <row r="154" spans="1:26" s="24" customFormat="1" hidden="1" outlineLevel="2" x14ac:dyDescent="0.25">
      <c r="A154" s="29"/>
      <c r="B154" s="11" t="str">
        <f>CONCATENATE("          ", "6314", " - ", "LIABILITY INSURANCE")</f>
        <v xml:space="preserve">          6314 - LIABILITY INSURANCE</v>
      </c>
      <c r="C154" s="11"/>
      <c r="D154" s="6">
        <v>4044.74</v>
      </c>
      <c r="E154" s="2"/>
      <c r="F154" s="7">
        <f t="shared" si="69"/>
        <v>1.0957053256625238E-2</v>
      </c>
      <c r="G154" s="2"/>
      <c r="H154" s="6">
        <v>4446</v>
      </c>
      <c r="I154" s="2"/>
      <c r="J154" s="7">
        <f t="shared" si="70"/>
        <v>3.4521742641418014E-3</v>
      </c>
      <c r="K154" s="2"/>
      <c r="L154" s="6">
        <f t="shared" si="71"/>
        <v>-401.26000000000022</v>
      </c>
      <c r="M154" s="2"/>
      <c r="N154" s="7">
        <f t="shared" si="72"/>
        <v>-9.0251911830859247E-2</v>
      </c>
      <c r="O154" s="11"/>
      <c r="P154" s="6">
        <v>12134.22</v>
      </c>
      <c r="Q154" s="2"/>
      <c r="R154" s="7">
        <f t="shared" si="73"/>
        <v>5.5308870946756353E-3</v>
      </c>
      <c r="S154" s="2"/>
      <c r="T154" s="6">
        <v>13338</v>
      </c>
      <c r="U154" s="2"/>
      <c r="V154" s="7">
        <f t="shared" si="74"/>
        <v>3.7220978701328856E-3</v>
      </c>
      <c r="W154" s="2"/>
      <c r="X154" s="6">
        <f t="shared" si="75"/>
        <v>-1203.7800000000007</v>
      </c>
      <c r="Y154" s="2"/>
      <c r="Z154" s="7">
        <f t="shared" si="76"/>
        <v>-9.0251911830859247E-2</v>
      </c>
    </row>
    <row r="155" spans="1:26" s="28" customFormat="1" outlineLevel="1" collapsed="1" x14ac:dyDescent="0.25">
      <c r="A155" s="27"/>
      <c r="B155" s="14" t="str">
        <f>CONCATENATE("     ","Inventory Adjustment                              ")</f>
        <v xml:space="preserve">     Inventory Adjustment                              </v>
      </c>
      <c r="C155" s="14"/>
      <c r="D155" s="1">
        <f>SUM(OSRRefD22_13x_0)</f>
        <v>2100</v>
      </c>
      <c r="E155" s="1"/>
      <c r="F155" s="5">
        <f t="shared" si="69"/>
        <v>5.6888234692249687E-3</v>
      </c>
      <c r="G155" s="1"/>
      <c r="H155" s="1">
        <f>SUM(OSRRefH22_13x_0)</f>
        <v>3100</v>
      </c>
      <c r="I155" s="1"/>
      <c r="J155" s="5">
        <f t="shared" si="70"/>
        <v>2.4070490820601856E-3</v>
      </c>
      <c r="K155" s="1"/>
      <c r="L155" s="1">
        <f t="shared" si="71"/>
        <v>-1000</v>
      </c>
      <c r="M155" s="1"/>
      <c r="N155" s="5">
        <f t="shared" si="72"/>
        <v>-0.32258064516129031</v>
      </c>
      <c r="O155" s="14"/>
      <c r="P155" s="1">
        <f>SUM(OSRRefP22_13x_0)</f>
        <v>6300</v>
      </c>
      <c r="Q155" s="1"/>
      <c r="R155" s="5">
        <f t="shared" si="73"/>
        <v>2.8715969132302285E-3</v>
      </c>
      <c r="S155" s="1"/>
      <c r="T155" s="1">
        <f>SUM(OSRRefT22_13x_0)</f>
        <v>9300</v>
      </c>
      <c r="U155" s="1"/>
      <c r="V155" s="5">
        <f t="shared" si="74"/>
        <v>2.5952549251938698E-3</v>
      </c>
      <c r="W155" s="1"/>
      <c r="X155" s="1">
        <f t="shared" si="75"/>
        <v>-3000</v>
      </c>
      <c r="Y155" s="1"/>
      <c r="Z155" s="5">
        <f t="shared" si="76"/>
        <v>-0.32258064516129031</v>
      </c>
    </row>
    <row r="156" spans="1:26" s="24" customFormat="1" hidden="1" outlineLevel="2" x14ac:dyDescent="0.25">
      <c r="A156" s="29"/>
      <c r="B156" s="11" t="str">
        <f>CONCATENATE("          ", "6408", " - ", "INVENTORY ADJUSTMENT")</f>
        <v xml:space="preserve">          6408 - INVENTORY ADJUSTMENT</v>
      </c>
      <c r="C156" s="11"/>
      <c r="D156" s="6">
        <v>2100</v>
      </c>
      <c r="E156" s="2"/>
      <c r="F156" s="7">
        <f t="shared" si="69"/>
        <v>5.6888234692249687E-3</v>
      </c>
      <c r="G156" s="2"/>
      <c r="H156" s="6">
        <v>3100</v>
      </c>
      <c r="I156" s="2"/>
      <c r="J156" s="7">
        <f t="shared" si="70"/>
        <v>2.4070490820601856E-3</v>
      </c>
      <c r="K156" s="2"/>
      <c r="L156" s="6">
        <f t="shared" si="71"/>
        <v>-1000</v>
      </c>
      <c r="M156" s="2"/>
      <c r="N156" s="7">
        <f t="shared" si="72"/>
        <v>-0.32258064516129031</v>
      </c>
      <c r="O156" s="11"/>
      <c r="P156" s="6">
        <v>6300</v>
      </c>
      <c r="Q156" s="2"/>
      <c r="R156" s="7">
        <f t="shared" si="73"/>
        <v>2.8715969132302285E-3</v>
      </c>
      <c r="S156" s="2"/>
      <c r="T156" s="6">
        <v>9300</v>
      </c>
      <c r="U156" s="2"/>
      <c r="V156" s="7">
        <f t="shared" si="74"/>
        <v>2.5952549251938698E-3</v>
      </c>
      <c r="W156" s="2"/>
      <c r="X156" s="6">
        <f t="shared" si="75"/>
        <v>-3000</v>
      </c>
      <c r="Y156" s="2"/>
      <c r="Z156" s="7">
        <f t="shared" si="76"/>
        <v>-0.32258064516129031</v>
      </c>
    </row>
    <row r="157" spans="1:26" s="28" customFormat="1" outlineLevel="1" collapsed="1" x14ac:dyDescent="0.25">
      <c r="A157" s="27"/>
      <c r="B157" s="14" t="str">
        <f>CONCATENATE("     ","Professional Services                             ")</f>
        <v xml:space="preserve">     Professional Services                             </v>
      </c>
      <c r="C157" s="14"/>
      <c r="D157" s="1">
        <f>SUM(OSRRefD22_14x_0)</f>
        <v>0</v>
      </c>
      <c r="E157" s="1"/>
      <c r="F157" s="5">
        <f t="shared" si="69"/>
        <v>0</v>
      </c>
      <c r="G157" s="1"/>
      <c r="H157" s="1">
        <f>SUM(OSRRefH22_14x_0)</f>
        <v>0</v>
      </c>
      <c r="I157" s="1"/>
      <c r="J157" s="5">
        <f t="shared" si="70"/>
        <v>0</v>
      </c>
      <c r="K157" s="1"/>
      <c r="L157" s="1">
        <f t="shared" si="71"/>
        <v>0</v>
      </c>
      <c r="M157" s="1"/>
      <c r="N157" s="5">
        <f t="shared" si="72"/>
        <v>0</v>
      </c>
      <c r="O157" s="14"/>
      <c r="P157" s="1">
        <f>SUM(OSRRefP22_14x_0)</f>
        <v>0</v>
      </c>
      <c r="Q157" s="1"/>
      <c r="R157" s="5">
        <f t="shared" si="73"/>
        <v>0</v>
      </c>
      <c r="S157" s="1"/>
      <c r="T157" s="1">
        <f>SUM(OSRRefT22_14x_0)</f>
        <v>6550</v>
      </c>
      <c r="U157" s="1"/>
      <c r="V157" s="5">
        <f t="shared" si="74"/>
        <v>1.8278408344107361E-3</v>
      </c>
      <c r="W157" s="1"/>
      <c r="X157" s="1">
        <f t="shared" si="75"/>
        <v>-6550</v>
      </c>
      <c r="Y157" s="1"/>
      <c r="Z157" s="5">
        <f t="shared" si="76"/>
        <v>-1</v>
      </c>
    </row>
    <row r="158" spans="1:26" s="24" customFormat="1" hidden="1" outlineLevel="2" x14ac:dyDescent="0.25">
      <c r="A158" s="29"/>
      <c r="B158" s="11" t="str">
        <f>CONCATENATE("          ", "6336", " - ", "PROFESSIONAL SERVICES")</f>
        <v xml:space="preserve">          6336 - PROFESSIONAL SERVICES</v>
      </c>
      <c r="C158" s="11"/>
      <c r="D158" s="6"/>
      <c r="E158" s="2"/>
      <c r="F158" s="7">
        <f t="shared" si="69"/>
        <v>0</v>
      </c>
      <c r="G158" s="2"/>
      <c r="H158" s="6">
        <v>0</v>
      </c>
      <c r="I158" s="2"/>
      <c r="J158" s="7">
        <f t="shared" si="70"/>
        <v>0</v>
      </c>
      <c r="K158" s="2"/>
      <c r="L158" s="6">
        <f t="shared" si="71"/>
        <v>0</v>
      </c>
      <c r="M158" s="2"/>
      <c r="N158" s="7">
        <f t="shared" si="72"/>
        <v>0</v>
      </c>
      <c r="O158" s="11"/>
      <c r="P158" s="6"/>
      <c r="Q158" s="2"/>
      <c r="R158" s="7">
        <f t="shared" si="73"/>
        <v>0</v>
      </c>
      <c r="S158" s="2"/>
      <c r="T158" s="6">
        <v>6550</v>
      </c>
      <c r="U158" s="2"/>
      <c r="V158" s="7">
        <f t="shared" si="74"/>
        <v>1.8278408344107361E-3</v>
      </c>
      <c r="W158" s="2"/>
      <c r="X158" s="6">
        <f t="shared" si="75"/>
        <v>-6550</v>
      </c>
      <c r="Y158" s="2"/>
      <c r="Z158" s="7">
        <f t="shared" si="76"/>
        <v>-1</v>
      </c>
    </row>
    <row r="159" spans="1:26" s="28" customFormat="1" outlineLevel="1" collapsed="1" x14ac:dyDescent="0.25">
      <c r="A159" s="27"/>
      <c r="B159" s="14" t="str">
        <f>CONCATENATE("     ","Rent                                              ")</f>
        <v xml:space="preserve">     Rent                                              </v>
      </c>
      <c r="C159" s="14"/>
      <c r="D159" s="1">
        <f>SUM(OSRRefD22_15x_0)</f>
        <v>6100</v>
      </c>
      <c r="E159" s="1"/>
      <c r="F159" s="5">
        <f t="shared" si="69"/>
        <v>1.6524677696320145E-2</v>
      </c>
      <c r="G159" s="1"/>
      <c r="H159" s="1">
        <f>SUM(OSRRefH22_15x_0)</f>
        <v>6101</v>
      </c>
      <c r="I159" s="1"/>
      <c r="J159" s="5">
        <f t="shared" si="70"/>
        <v>4.7372278869836099E-3</v>
      </c>
      <c r="K159" s="1"/>
      <c r="L159" s="1">
        <f t="shared" si="71"/>
        <v>-1</v>
      </c>
      <c r="M159" s="1"/>
      <c r="N159" s="5">
        <f t="shared" si="72"/>
        <v>-1.6390755613833797E-4</v>
      </c>
      <c r="O159" s="14"/>
      <c r="P159" s="1">
        <f>SUM(OSRRefP22_15x_0)</f>
        <v>18300</v>
      </c>
      <c r="Q159" s="1"/>
      <c r="R159" s="5">
        <f t="shared" si="73"/>
        <v>8.3413053193830446E-3</v>
      </c>
      <c r="S159" s="1"/>
      <c r="T159" s="1">
        <f>SUM(OSRRefT22_15x_0)</f>
        <v>18301</v>
      </c>
      <c r="U159" s="1"/>
      <c r="V159" s="5">
        <f t="shared" si="74"/>
        <v>5.1070710092444094E-3</v>
      </c>
      <c r="W159" s="1"/>
      <c r="X159" s="1">
        <f t="shared" si="75"/>
        <v>-1</v>
      </c>
      <c r="Y159" s="1"/>
      <c r="Z159" s="5">
        <f t="shared" si="76"/>
        <v>-5.4641822851210313E-5</v>
      </c>
    </row>
    <row r="160" spans="1:26" s="24" customFormat="1" hidden="1" outlineLevel="2" x14ac:dyDescent="0.25">
      <c r="A160" s="29"/>
      <c r="B160" s="11" t="str">
        <f>CONCATENATE("          ", "6273", " - ", "RENT")</f>
        <v xml:space="preserve">          6273 - RENT</v>
      </c>
      <c r="C160" s="11"/>
      <c r="D160" s="6">
        <v>6100</v>
      </c>
      <c r="E160" s="2"/>
      <c r="F160" s="7">
        <f t="shared" si="69"/>
        <v>1.6524677696320145E-2</v>
      </c>
      <c r="G160" s="2"/>
      <c r="H160" s="6">
        <v>6101</v>
      </c>
      <c r="I160" s="2"/>
      <c r="J160" s="7">
        <f t="shared" si="70"/>
        <v>4.7372278869836099E-3</v>
      </c>
      <c r="K160" s="2"/>
      <c r="L160" s="6">
        <f t="shared" si="71"/>
        <v>-1</v>
      </c>
      <c r="M160" s="2"/>
      <c r="N160" s="7">
        <f t="shared" si="72"/>
        <v>-1.6390755613833797E-4</v>
      </c>
      <c r="O160" s="11"/>
      <c r="P160" s="6">
        <v>18300</v>
      </c>
      <c r="Q160" s="2"/>
      <c r="R160" s="7">
        <f t="shared" si="73"/>
        <v>8.3413053193830446E-3</v>
      </c>
      <c r="S160" s="2"/>
      <c r="T160" s="6">
        <v>18301</v>
      </c>
      <c r="U160" s="2"/>
      <c r="V160" s="7">
        <f t="shared" si="74"/>
        <v>5.1070710092444094E-3</v>
      </c>
      <c r="W160" s="2"/>
      <c r="X160" s="6">
        <f t="shared" si="75"/>
        <v>-1</v>
      </c>
      <c r="Y160" s="2"/>
      <c r="Z160" s="7">
        <f t="shared" si="76"/>
        <v>-5.4641822851210313E-5</v>
      </c>
    </row>
    <row r="161" spans="1:26" s="28" customFormat="1" outlineLevel="1" collapsed="1" x14ac:dyDescent="0.25">
      <c r="A161" s="27"/>
      <c r="B161" s="14" t="str">
        <f>CONCATENATE("     ","Repair and Maintenance                            ")</f>
        <v xml:space="preserve">     Repair and Maintenance                            </v>
      </c>
      <c r="C161" s="14"/>
      <c r="D161" s="1">
        <f>SUM(OSRRefD22_16x_0)</f>
        <v>13339.48</v>
      </c>
      <c r="E161" s="1"/>
      <c r="F161" s="5">
        <f t="shared" si="69"/>
        <v>3.6136165186312894E-2</v>
      </c>
      <c r="G161" s="1"/>
      <c r="H161" s="1">
        <f>SUM(OSRRefH22_16x_0)</f>
        <v>15390</v>
      </c>
      <c r="I161" s="1"/>
      <c r="J161" s="5">
        <f t="shared" si="70"/>
        <v>1.1949833991260083E-2</v>
      </c>
      <c r="K161" s="1"/>
      <c r="L161" s="1">
        <f t="shared" si="71"/>
        <v>-2050.5200000000004</v>
      </c>
      <c r="M161" s="1"/>
      <c r="N161" s="5">
        <f t="shared" si="72"/>
        <v>-0.133237166991553</v>
      </c>
      <c r="O161" s="14"/>
      <c r="P161" s="1">
        <f>SUM(OSRRefP22_16x_0)</f>
        <v>86392.27</v>
      </c>
      <c r="Q161" s="1"/>
      <c r="R161" s="5">
        <f t="shared" si="73"/>
        <v>3.9378377120468648E-2</v>
      </c>
      <c r="S161" s="1"/>
      <c r="T161" s="1">
        <f>SUM(OSRRefT22_16x_0)</f>
        <v>84720</v>
      </c>
      <c r="U161" s="1"/>
      <c r="V161" s="5">
        <f t="shared" si="74"/>
        <v>2.3641935189508027E-2</v>
      </c>
      <c r="W161" s="1"/>
      <c r="X161" s="1">
        <f t="shared" si="75"/>
        <v>1672.2700000000041</v>
      </c>
      <c r="Y161" s="1"/>
      <c r="Z161" s="5">
        <f t="shared" si="76"/>
        <v>1.9738786591123748E-2</v>
      </c>
    </row>
    <row r="162" spans="1:26" s="24" customFormat="1" hidden="1" outlineLevel="2" x14ac:dyDescent="0.25">
      <c r="A162" s="29"/>
      <c r="B162" s="11" t="str">
        <f>CONCATENATE("          ", "6371", " - ", "COMPUTER SOFTWARE MAINTENANCE")</f>
        <v xml:space="preserve">          6371 - COMPUTER SOFTWARE MAINTENANCE</v>
      </c>
      <c r="C162" s="11"/>
      <c r="D162" s="6"/>
      <c r="E162" s="2"/>
      <c r="F162" s="7">
        <f t="shared" si="69"/>
        <v>0</v>
      </c>
      <c r="G162" s="2"/>
      <c r="H162" s="6"/>
      <c r="I162" s="2"/>
      <c r="J162" s="7">
        <f t="shared" si="70"/>
        <v>0</v>
      </c>
      <c r="K162" s="2"/>
      <c r="L162" s="6">
        <f t="shared" si="71"/>
        <v>0</v>
      </c>
      <c r="M162" s="2"/>
      <c r="N162" s="7">
        <f t="shared" si="72"/>
        <v>0</v>
      </c>
      <c r="O162" s="11"/>
      <c r="P162" s="6">
        <v>58428.780000000006</v>
      </c>
      <c r="Q162" s="2"/>
      <c r="R162" s="7">
        <f t="shared" si="73"/>
        <v>2.6632365760604463E-2</v>
      </c>
      <c r="S162" s="2"/>
      <c r="T162" s="6">
        <v>45000</v>
      </c>
      <c r="U162" s="2"/>
      <c r="V162" s="7">
        <f t="shared" si="74"/>
        <v>1.2557685121905821E-2</v>
      </c>
      <c r="W162" s="2"/>
      <c r="X162" s="6">
        <f t="shared" si="75"/>
        <v>13428.780000000006</v>
      </c>
      <c r="Y162" s="2"/>
      <c r="Z162" s="7">
        <f t="shared" si="76"/>
        <v>0.29841733333333348</v>
      </c>
    </row>
    <row r="163" spans="1:26" s="24" customFormat="1" hidden="1" outlineLevel="2" x14ac:dyDescent="0.25">
      <c r="A163" s="29"/>
      <c r="B163" s="11" t="str">
        <f>CONCATENATE("          ", "6372", " - ", "COMPUTER HARDWARE MAINTENANCE")</f>
        <v xml:space="preserve">          6372 - COMPUTER HARDWARE MAINTENANCE</v>
      </c>
      <c r="C163" s="11"/>
      <c r="D163" s="6">
        <v>-9.09</v>
      </c>
      <c r="E163" s="2"/>
      <c r="F163" s="7">
        <f t="shared" si="69"/>
        <v>-2.4624478731073792E-5</v>
      </c>
      <c r="G163" s="2"/>
      <c r="H163" s="6"/>
      <c r="I163" s="2"/>
      <c r="J163" s="7">
        <f t="shared" si="70"/>
        <v>0</v>
      </c>
      <c r="K163" s="2"/>
      <c r="L163" s="6">
        <f t="shared" si="71"/>
        <v>-9.09</v>
      </c>
      <c r="M163" s="2"/>
      <c r="N163" s="7">
        <f t="shared" si="72"/>
        <v>0</v>
      </c>
      <c r="O163" s="11"/>
      <c r="P163" s="6">
        <v>-8.11</v>
      </c>
      <c r="Q163" s="2"/>
      <c r="R163" s="7">
        <f t="shared" si="73"/>
        <v>-3.6966112644916112E-6</v>
      </c>
      <c r="S163" s="2"/>
      <c r="T163" s="6"/>
      <c r="U163" s="2"/>
      <c r="V163" s="7">
        <f t="shared" si="74"/>
        <v>0</v>
      </c>
      <c r="W163" s="2"/>
      <c r="X163" s="6">
        <f t="shared" si="75"/>
        <v>-8.11</v>
      </c>
      <c r="Y163" s="2"/>
      <c r="Z163" s="7">
        <f t="shared" si="76"/>
        <v>0</v>
      </c>
    </row>
    <row r="164" spans="1:26" s="24" customFormat="1" hidden="1" outlineLevel="2" x14ac:dyDescent="0.25">
      <c r="A164" s="29"/>
      <c r="B164" s="11" t="str">
        <f>CONCATENATE("          ", "6373", " - ", "MAINTENANCE CONTRACTS")</f>
        <v xml:space="preserve">          6373 - MAINTENANCE CONTRACTS</v>
      </c>
      <c r="C164" s="11"/>
      <c r="D164" s="6">
        <v>12402.82</v>
      </c>
      <c r="E164" s="2"/>
      <c r="F164" s="7">
        <f t="shared" si="69"/>
        <v>3.3598787381225154E-2</v>
      </c>
      <c r="G164" s="2"/>
      <c r="H164" s="6">
        <v>7040</v>
      </c>
      <c r="I164" s="2"/>
      <c r="J164" s="7">
        <f t="shared" si="70"/>
        <v>5.4663308186140985E-3</v>
      </c>
      <c r="K164" s="2"/>
      <c r="L164" s="6">
        <f t="shared" si="71"/>
        <v>5362.82</v>
      </c>
      <c r="M164" s="2"/>
      <c r="N164" s="7">
        <f t="shared" si="72"/>
        <v>0.76176420454545446</v>
      </c>
      <c r="O164" s="11"/>
      <c r="P164" s="6">
        <v>25189.05</v>
      </c>
      <c r="Q164" s="2"/>
      <c r="R164" s="7">
        <f t="shared" si="73"/>
        <v>1.1481396544000299E-2</v>
      </c>
      <c r="S164" s="2"/>
      <c r="T164" s="6">
        <v>14420</v>
      </c>
      <c r="U164" s="2"/>
      <c r="V164" s="7">
        <f t="shared" si="74"/>
        <v>4.0240404323973761E-3</v>
      </c>
      <c r="W164" s="2"/>
      <c r="X164" s="6">
        <f t="shared" si="75"/>
        <v>10769.05</v>
      </c>
      <c r="Y164" s="2"/>
      <c r="Z164" s="7">
        <f t="shared" si="76"/>
        <v>0.74681345353675443</v>
      </c>
    </row>
    <row r="165" spans="1:26" s="24" customFormat="1" hidden="1" outlineLevel="2" x14ac:dyDescent="0.25">
      <c r="A165" s="29"/>
      <c r="B165" s="11" t="str">
        <f>CONCATENATE("          ", "6375", " - ", "OUTSIDE REPAIRS &amp; MAINTENANCE")</f>
        <v xml:space="preserve">          6375 - OUTSIDE REPAIRS &amp; MAINTENANCE</v>
      </c>
      <c r="C165" s="11"/>
      <c r="D165" s="6">
        <v>945.75</v>
      </c>
      <c r="E165" s="2"/>
      <c r="F165" s="7">
        <f t="shared" si="69"/>
        <v>2.5620022838188164E-3</v>
      </c>
      <c r="G165" s="2"/>
      <c r="H165" s="6">
        <v>8350</v>
      </c>
      <c r="I165" s="2"/>
      <c r="J165" s="7">
        <f t="shared" si="70"/>
        <v>6.4835031726459833E-3</v>
      </c>
      <c r="K165" s="2"/>
      <c r="L165" s="6">
        <f t="shared" si="71"/>
        <v>-7404.25</v>
      </c>
      <c r="M165" s="2"/>
      <c r="N165" s="7">
        <f t="shared" si="72"/>
        <v>-0.88673652694610783</v>
      </c>
      <c r="O165" s="11"/>
      <c r="P165" s="6">
        <v>2782.55</v>
      </c>
      <c r="Q165" s="2"/>
      <c r="R165" s="7">
        <f t="shared" si="73"/>
        <v>1.2683114271283766E-3</v>
      </c>
      <c r="S165" s="2"/>
      <c r="T165" s="6">
        <v>25300</v>
      </c>
      <c r="U165" s="2"/>
      <c r="V165" s="7">
        <f t="shared" si="74"/>
        <v>7.0602096352048284E-3</v>
      </c>
      <c r="W165" s="2"/>
      <c r="X165" s="6">
        <f t="shared" si="75"/>
        <v>-22517.45</v>
      </c>
      <c r="Y165" s="2"/>
      <c r="Z165" s="7">
        <f t="shared" si="76"/>
        <v>-0.89001778656126485</v>
      </c>
    </row>
    <row r="166" spans="1:26" s="28" customFormat="1" outlineLevel="1" collapsed="1" x14ac:dyDescent="0.25">
      <c r="A166" s="27"/>
      <c r="B166" s="14" t="str">
        <f>CONCATENATE("     ","Royalty &amp; Commissions                             ")</f>
        <v xml:space="preserve">     Royalty &amp; Commissions                             </v>
      </c>
      <c r="C166" s="14"/>
      <c r="D166" s="1">
        <f>SUM(OSRRefD22_17x_0)</f>
        <v>62.6</v>
      </c>
      <c r="E166" s="1"/>
      <c r="F166" s="5">
        <f t="shared" ref="F166:F170" si="77">IF(D$12=0,0,D166/D$12)</f>
        <v>1.6958111865403953E-4</v>
      </c>
      <c r="G166" s="1"/>
      <c r="H166" s="1">
        <f>SUM(OSRRefH22_17x_0)</f>
        <v>7171</v>
      </c>
      <c r="I166" s="1"/>
      <c r="J166" s="5">
        <f t="shared" ref="J166:J170" si="78">IF(H$12=0,0,H166/H$12)</f>
        <v>5.5680480540172871E-3</v>
      </c>
      <c r="K166" s="1"/>
      <c r="L166" s="1">
        <f t="shared" ref="L166:L170" si="79">+D166-H166</f>
        <v>-7108.4</v>
      </c>
      <c r="M166" s="1"/>
      <c r="N166" s="5">
        <f t="shared" ref="N166:N170" si="80">IF(H166=0,0,L166/H166)</f>
        <v>-0.99127039464509825</v>
      </c>
      <c r="O166" s="14"/>
      <c r="P166" s="1">
        <f>SUM(OSRRefP22_17x_0)</f>
        <v>13307</v>
      </c>
      <c r="Q166" s="1"/>
      <c r="R166" s="5">
        <f t="shared" ref="R166:R170" si="81">IF(P$12=0,0,P166/P$12)</f>
        <v>6.0654508133896265E-3</v>
      </c>
      <c r="S166" s="1"/>
      <c r="T166" s="1">
        <f>SUM(OSRRefT22_17x_0)</f>
        <v>20463</v>
      </c>
      <c r="U166" s="1"/>
      <c r="V166" s="5">
        <f t="shared" ref="V166:V170" si="82">IF(T$12=0,0,T166/T$12)</f>
        <v>5.7103980144346403E-3</v>
      </c>
      <c r="W166" s="1"/>
      <c r="X166" s="1">
        <f t="shared" ref="X166:X170" si="83">+P166-T166</f>
        <v>-7156</v>
      </c>
      <c r="Y166" s="1"/>
      <c r="Z166" s="5">
        <f t="shared" ref="Z166:Z170" si="84">IF(T166=0,0,X166/T166)</f>
        <v>-0.34970434442652593</v>
      </c>
    </row>
    <row r="167" spans="1:26" s="24" customFormat="1" hidden="1" outlineLevel="2" x14ac:dyDescent="0.25">
      <c r="A167" s="29"/>
      <c r="B167" s="11" t="str">
        <f>CONCATENATE("          ", "6252", " - ", "ROYALTY DUE CSTV")</f>
        <v xml:space="preserve">          6252 - ROYALTY DUE CSTV</v>
      </c>
      <c r="C167" s="11"/>
      <c r="D167" s="6"/>
      <c r="E167" s="2"/>
      <c r="F167" s="7">
        <f t="shared" si="77"/>
        <v>0</v>
      </c>
      <c r="G167" s="2"/>
      <c r="H167" s="6">
        <v>1085</v>
      </c>
      <c r="I167" s="2"/>
      <c r="J167" s="7">
        <f t="shared" si="78"/>
        <v>8.4246717872106492E-4</v>
      </c>
      <c r="K167" s="2"/>
      <c r="L167" s="6">
        <f t="shared" si="79"/>
        <v>-1085</v>
      </c>
      <c r="M167" s="2"/>
      <c r="N167" s="7">
        <f t="shared" si="80"/>
        <v>-1</v>
      </c>
      <c r="O167" s="11"/>
      <c r="P167" s="6"/>
      <c r="Q167" s="2"/>
      <c r="R167" s="7">
        <f t="shared" si="81"/>
        <v>0</v>
      </c>
      <c r="S167" s="2"/>
      <c r="T167" s="6">
        <v>3255</v>
      </c>
      <c r="U167" s="2"/>
      <c r="V167" s="7">
        <f t="shared" si="82"/>
        <v>9.0833922381785442E-4</v>
      </c>
      <c r="W167" s="2"/>
      <c r="X167" s="6">
        <f t="shared" si="83"/>
        <v>-3255</v>
      </c>
      <c r="Y167" s="2"/>
      <c r="Z167" s="7">
        <f t="shared" si="84"/>
        <v>-1</v>
      </c>
    </row>
    <row r="168" spans="1:26" s="24" customFormat="1" hidden="1" outlineLevel="2" x14ac:dyDescent="0.25">
      <c r="A168" s="29"/>
      <c r="B168" s="11" t="str">
        <f>CONCATENATE("          ", "6253", " - ", "ROYALTY DUE ATHLETICS-LRG")</f>
        <v xml:space="preserve">          6253 - ROYALTY DUE ATHLETICS-LRG</v>
      </c>
      <c r="C168" s="11"/>
      <c r="D168" s="6"/>
      <c r="E168" s="2"/>
      <c r="F168" s="7">
        <f t="shared" si="77"/>
        <v>0</v>
      </c>
      <c r="G168" s="2"/>
      <c r="H168" s="6">
        <v>4037</v>
      </c>
      <c r="I168" s="2"/>
      <c r="J168" s="7">
        <f t="shared" si="78"/>
        <v>3.1345990787990221E-3</v>
      </c>
      <c r="K168" s="2"/>
      <c r="L168" s="6">
        <f t="shared" si="79"/>
        <v>-4037</v>
      </c>
      <c r="M168" s="2"/>
      <c r="N168" s="7">
        <f t="shared" si="80"/>
        <v>-1</v>
      </c>
      <c r="O168" s="11"/>
      <c r="P168" s="6">
        <v>7922.2</v>
      </c>
      <c r="Q168" s="2"/>
      <c r="R168" s="7">
        <f t="shared" si="81"/>
        <v>3.61101032793532E-3</v>
      </c>
      <c r="S168" s="2"/>
      <c r="T168" s="6">
        <v>12111</v>
      </c>
      <c r="U168" s="2"/>
      <c r="V168" s="7">
        <f t="shared" si="82"/>
        <v>3.37969165580892E-3</v>
      </c>
      <c r="W168" s="2"/>
      <c r="X168" s="6">
        <f t="shared" si="83"/>
        <v>-4188.8</v>
      </c>
      <c r="Y168" s="2"/>
      <c r="Z168" s="7">
        <f t="shared" si="84"/>
        <v>-0.34586739327883742</v>
      </c>
    </row>
    <row r="169" spans="1:26" s="24" customFormat="1" hidden="1" outlineLevel="2" x14ac:dyDescent="0.25">
      <c r="A169" s="29"/>
      <c r="B169" s="11" t="str">
        <f>CONCATENATE("          ", "6254", " - ", "ROYALTY &amp; COMMISSIONS")</f>
        <v xml:space="preserve">          6254 - ROYALTY &amp; COMMISSIONS</v>
      </c>
      <c r="C169" s="11"/>
      <c r="D169" s="6"/>
      <c r="E169" s="2"/>
      <c r="F169" s="7">
        <f t="shared" si="77"/>
        <v>0</v>
      </c>
      <c r="G169" s="2"/>
      <c r="H169" s="6">
        <v>1149</v>
      </c>
      <c r="I169" s="2"/>
      <c r="J169" s="7">
        <f t="shared" si="78"/>
        <v>8.9216109525392035E-4</v>
      </c>
      <c r="K169" s="2"/>
      <c r="L169" s="6">
        <f t="shared" si="79"/>
        <v>-1149</v>
      </c>
      <c r="M169" s="2"/>
      <c r="N169" s="7">
        <f t="shared" si="80"/>
        <v>-1</v>
      </c>
      <c r="O169" s="11"/>
      <c r="P169" s="6"/>
      <c r="Q169" s="2"/>
      <c r="R169" s="7">
        <f t="shared" si="81"/>
        <v>0</v>
      </c>
      <c r="S169" s="2"/>
      <c r="T169" s="6">
        <v>3447</v>
      </c>
      <c r="U169" s="2"/>
      <c r="V169" s="7">
        <f t="shared" si="82"/>
        <v>9.619186803379859E-4</v>
      </c>
      <c r="W169" s="2"/>
      <c r="X169" s="6">
        <f t="shared" si="83"/>
        <v>-3447</v>
      </c>
      <c r="Y169" s="2"/>
      <c r="Z169" s="7">
        <f t="shared" si="84"/>
        <v>-1</v>
      </c>
    </row>
    <row r="170" spans="1:26" s="24" customFormat="1" hidden="1" outlineLevel="2" x14ac:dyDescent="0.25">
      <c r="A170" s="29"/>
      <c r="B170" s="11" t="str">
        <f>CONCATENATE("          ", "6259", " - ", "ROYALTY &amp; COMMISSIONS")</f>
        <v xml:space="preserve">          6259 - ROYALTY &amp; COMMISSIONS</v>
      </c>
      <c r="C170" s="11"/>
      <c r="D170" s="6">
        <v>62.6</v>
      </c>
      <c r="E170" s="2"/>
      <c r="F170" s="7">
        <f t="shared" si="77"/>
        <v>1.6958111865403953E-4</v>
      </c>
      <c r="G170" s="2"/>
      <c r="H170" s="6">
        <v>900</v>
      </c>
      <c r="I170" s="2"/>
      <c r="J170" s="7">
        <f t="shared" si="78"/>
        <v>6.9882070124327965E-4</v>
      </c>
      <c r="K170" s="2"/>
      <c r="L170" s="6">
        <f t="shared" si="79"/>
        <v>-837.4</v>
      </c>
      <c r="M170" s="2"/>
      <c r="N170" s="7">
        <f t="shared" si="80"/>
        <v>-0.93044444444444441</v>
      </c>
      <c r="O170" s="11"/>
      <c r="P170" s="6">
        <v>5384.8</v>
      </c>
      <c r="Q170" s="2"/>
      <c r="R170" s="7">
        <f t="shared" si="81"/>
        <v>2.454440485454307E-3</v>
      </c>
      <c r="S170" s="2"/>
      <c r="T170" s="6">
        <v>1650</v>
      </c>
      <c r="U170" s="2"/>
      <c r="V170" s="7">
        <f t="shared" si="82"/>
        <v>4.604484544698801E-4</v>
      </c>
      <c r="W170" s="2"/>
      <c r="X170" s="6">
        <f t="shared" si="83"/>
        <v>3734.8</v>
      </c>
      <c r="Y170" s="2"/>
      <c r="Z170" s="7">
        <f t="shared" si="84"/>
        <v>2.2635151515151515</v>
      </c>
    </row>
    <row r="171" spans="1:26" s="28" customFormat="1" outlineLevel="1" collapsed="1" x14ac:dyDescent="0.25">
      <c r="A171" s="27"/>
      <c r="B171" s="14" t="str">
        <f>CONCATENATE("     ","Services                                          ")</f>
        <v xml:space="preserve">     Services                                          </v>
      </c>
      <c r="C171" s="14"/>
      <c r="D171" s="1">
        <f>SUM(OSRRefD22_18x_0)</f>
        <v>4517.25</v>
      </c>
      <c r="E171" s="1"/>
      <c r="F171" s="5">
        <f t="shared" ref="F171:F175" si="85">IF(D$12=0,0,D171/D$12)</f>
        <v>1.2237065626836423E-2</v>
      </c>
      <c r="G171" s="1"/>
      <c r="H171" s="1">
        <f>SUM(OSRRefH22_18x_0)</f>
        <v>4784</v>
      </c>
      <c r="I171" s="1"/>
      <c r="J171" s="5">
        <f t="shared" ref="J171:J175" si="86">IF(H$12=0,0,H171/H$12)</f>
        <v>3.7146202608309446E-3</v>
      </c>
      <c r="K171" s="1"/>
      <c r="L171" s="1">
        <f t="shared" ref="L171:L175" si="87">+D171-H171</f>
        <v>-266.75</v>
      </c>
      <c r="M171" s="1"/>
      <c r="N171" s="5">
        <f t="shared" ref="N171:N175" si="88">IF(H171=0,0,L171/H171)</f>
        <v>-5.5758779264214048E-2</v>
      </c>
      <c r="O171" s="14"/>
      <c r="P171" s="1">
        <f>SUM(OSRRefP22_18x_0)</f>
        <v>8822.77</v>
      </c>
      <c r="Q171" s="1"/>
      <c r="R171" s="5">
        <f t="shared" ref="R171:R175" si="89">IF(P$12=0,0,P171/P$12)</f>
        <v>4.0214982695460739E-3</v>
      </c>
      <c r="S171" s="1"/>
      <c r="T171" s="1">
        <f>SUM(OSRRefT22_18x_0)</f>
        <v>13968</v>
      </c>
      <c r="U171" s="1"/>
      <c r="V171" s="5">
        <f t="shared" ref="V171:V175" si="90">IF(T$12=0,0,T171/T$12)</f>
        <v>3.8979054618395667E-3</v>
      </c>
      <c r="W171" s="1"/>
      <c r="X171" s="1">
        <f t="shared" ref="X171:X175" si="91">+P171-T171</f>
        <v>-5145.2299999999996</v>
      </c>
      <c r="Y171" s="1"/>
      <c r="Z171" s="5">
        <f t="shared" ref="Z171:Z175" si="92">IF(T171=0,0,X171/T171)</f>
        <v>-0.3683583906071019</v>
      </c>
    </row>
    <row r="172" spans="1:26" s="24" customFormat="1" hidden="1" outlineLevel="2" x14ac:dyDescent="0.25">
      <c r="A172" s="29"/>
      <c r="B172" s="11" t="str">
        <f>CONCATENATE("          ", "6282", " - ", "JANITORIAL/EXTERMINATOR EXPENS")</f>
        <v xml:space="preserve">          6282 - JANITORIAL/EXTERMINATOR EXPENS</v>
      </c>
      <c r="C172" s="11"/>
      <c r="D172" s="6">
        <v>266.5</v>
      </c>
      <c r="E172" s="2"/>
      <c r="F172" s="7">
        <f t="shared" si="85"/>
        <v>7.2193878788021624E-4</v>
      </c>
      <c r="G172" s="2"/>
      <c r="H172" s="6">
        <v>4000</v>
      </c>
      <c r="I172" s="2"/>
      <c r="J172" s="7">
        <f t="shared" si="86"/>
        <v>3.1058697833034653E-3</v>
      </c>
      <c r="K172" s="2"/>
      <c r="L172" s="6">
        <f t="shared" si="87"/>
        <v>-3733.5</v>
      </c>
      <c r="M172" s="2"/>
      <c r="N172" s="7">
        <f t="shared" si="88"/>
        <v>-0.93337499999999995</v>
      </c>
      <c r="O172" s="11"/>
      <c r="P172" s="6">
        <v>742.94</v>
      </c>
      <c r="Q172" s="2"/>
      <c r="R172" s="7">
        <f t="shared" si="89"/>
        <v>3.386387636055978E-4</v>
      </c>
      <c r="S172" s="2"/>
      <c r="T172" s="6">
        <v>12000</v>
      </c>
      <c r="U172" s="2"/>
      <c r="V172" s="7">
        <f t="shared" si="90"/>
        <v>3.3487160325082191E-3</v>
      </c>
      <c r="W172" s="2"/>
      <c r="X172" s="6">
        <f t="shared" si="91"/>
        <v>-11257.06</v>
      </c>
      <c r="Y172" s="2"/>
      <c r="Z172" s="7">
        <f t="shared" si="92"/>
        <v>-0.9380883333333333</v>
      </c>
    </row>
    <row r="173" spans="1:26" s="24" customFormat="1" hidden="1" outlineLevel="2" x14ac:dyDescent="0.25">
      <c r="A173" s="29"/>
      <c r="B173" s="11" t="str">
        <f>CONCATENATE("          ", "6283", " - ", "PLANT SERVICE")</f>
        <v xml:space="preserve">          6283 - PLANT SERVICE</v>
      </c>
      <c r="C173" s="11"/>
      <c r="D173" s="6"/>
      <c r="E173" s="2"/>
      <c r="F173" s="7">
        <f t="shared" si="85"/>
        <v>0</v>
      </c>
      <c r="G173" s="2"/>
      <c r="H173" s="6">
        <v>0</v>
      </c>
      <c r="I173" s="2"/>
      <c r="J173" s="7">
        <f t="shared" si="86"/>
        <v>0</v>
      </c>
      <c r="K173" s="2"/>
      <c r="L173" s="6">
        <f t="shared" si="87"/>
        <v>0</v>
      </c>
      <c r="M173" s="2"/>
      <c r="N173" s="7">
        <f t="shared" si="88"/>
        <v>0</v>
      </c>
      <c r="O173" s="11"/>
      <c r="P173" s="6">
        <v>130</v>
      </c>
      <c r="Q173" s="2"/>
      <c r="R173" s="7">
        <f t="shared" si="89"/>
        <v>5.9255174399988843E-5</v>
      </c>
      <c r="S173" s="2"/>
      <c r="T173" s="6">
        <v>0</v>
      </c>
      <c r="U173" s="2"/>
      <c r="V173" s="7">
        <f t="shared" si="90"/>
        <v>0</v>
      </c>
      <c r="W173" s="2"/>
      <c r="X173" s="6">
        <f t="shared" si="91"/>
        <v>130</v>
      </c>
      <c r="Y173" s="2"/>
      <c r="Z173" s="7">
        <f t="shared" si="92"/>
        <v>0</v>
      </c>
    </row>
    <row r="174" spans="1:26" s="24" customFormat="1" hidden="1" outlineLevel="2" x14ac:dyDescent="0.25">
      <c r="A174" s="29"/>
      <c r="B174" s="11" t="str">
        <f>CONCATENATE("          ", "6284", " - ", "TRASH REMOVAL EXPENSE")</f>
        <v xml:space="preserve">          6284 - TRASH REMOVAL EXPENSE</v>
      </c>
      <c r="C174" s="11"/>
      <c r="D174" s="6">
        <v>142.57</v>
      </c>
      <c r="E174" s="2"/>
      <c r="F174" s="7">
        <f t="shared" si="85"/>
        <v>3.8621693428923988E-4</v>
      </c>
      <c r="G174" s="2"/>
      <c r="H174" s="6">
        <v>110</v>
      </c>
      <c r="I174" s="2"/>
      <c r="J174" s="7">
        <f t="shared" si="86"/>
        <v>8.541141904084529E-5</v>
      </c>
      <c r="K174" s="2"/>
      <c r="L174" s="6">
        <f t="shared" si="87"/>
        <v>32.569999999999993</v>
      </c>
      <c r="M174" s="2"/>
      <c r="N174" s="7">
        <f t="shared" si="88"/>
        <v>0.29609090909090902</v>
      </c>
      <c r="O174" s="11"/>
      <c r="P174" s="6">
        <v>427.71</v>
      </c>
      <c r="Q174" s="2"/>
      <c r="R174" s="7">
        <f t="shared" si="89"/>
        <v>1.9495408186630175E-4</v>
      </c>
      <c r="S174" s="2"/>
      <c r="T174" s="6">
        <v>220</v>
      </c>
      <c r="U174" s="2"/>
      <c r="V174" s="7">
        <f t="shared" si="90"/>
        <v>6.1393127262650681E-5</v>
      </c>
      <c r="W174" s="2"/>
      <c r="X174" s="6">
        <f t="shared" si="91"/>
        <v>207.70999999999998</v>
      </c>
      <c r="Y174" s="2"/>
      <c r="Z174" s="7">
        <f t="shared" si="92"/>
        <v>0.94413636363636355</v>
      </c>
    </row>
    <row r="175" spans="1:26" s="24" customFormat="1" hidden="1" outlineLevel="2" x14ac:dyDescent="0.25">
      <c r="A175" s="29"/>
      <c r="B175" s="11" t="str">
        <f>CONCATENATE("          ", "6285", " - ", "JANITORIAL SERVICES")</f>
        <v xml:space="preserve">          6285 - JANITORIAL SERVICES</v>
      </c>
      <c r="C175" s="11"/>
      <c r="D175" s="6">
        <v>4108.18</v>
      </c>
      <c r="E175" s="2"/>
      <c r="F175" s="7">
        <f t="shared" si="85"/>
        <v>1.1128909904666967E-2</v>
      </c>
      <c r="G175" s="2"/>
      <c r="H175" s="6">
        <v>674</v>
      </c>
      <c r="I175" s="2"/>
      <c r="J175" s="7">
        <f t="shared" si="86"/>
        <v>5.2333905848663388E-4</v>
      </c>
      <c r="K175" s="2"/>
      <c r="L175" s="6">
        <f t="shared" si="87"/>
        <v>3434.1800000000003</v>
      </c>
      <c r="M175" s="2"/>
      <c r="N175" s="7">
        <f t="shared" si="88"/>
        <v>5.0952225519287841</v>
      </c>
      <c r="O175" s="11"/>
      <c r="P175" s="6">
        <v>7522.12</v>
      </c>
      <c r="Q175" s="2"/>
      <c r="R175" s="7">
        <f t="shared" si="89"/>
        <v>3.4286502496741851E-3</v>
      </c>
      <c r="S175" s="2"/>
      <c r="T175" s="6">
        <v>1748</v>
      </c>
      <c r="U175" s="2"/>
      <c r="V175" s="7">
        <f t="shared" si="90"/>
        <v>4.8779630206869723E-4</v>
      </c>
      <c r="W175" s="2"/>
      <c r="X175" s="6">
        <f t="shared" si="91"/>
        <v>5774.12</v>
      </c>
      <c r="Y175" s="2"/>
      <c r="Z175" s="7">
        <f t="shared" si="92"/>
        <v>3.3032723112128144</v>
      </c>
    </row>
    <row r="176" spans="1:26" s="28" customFormat="1" outlineLevel="1" collapsed="1" x14ac:dyDescent="0.25">
      <c r="A176" s="27"/>
      <c r="B176" s="14" t="str">
        <f>CONCATENATE("     ","Subscriptions &amp; Dues                              ")</f>
        <v xml:space="preserve">     Subscriptions &amp; Dues                              </v>
      </c>
      <c r="C176" s="14"/>
      <c r="D176" s="1">
        <f>SUM(OSRRefD22_19x_0)</f>
        <v>148.77000000000001</v>
      </c>
      <c r="E176" s="1"/>
      <c r="F176" s="5">
        <f t="shared" ref="F176:F178" si="93">IF(D$12=0,0,D176/D$12)</f>
        <v>4.0301250834123744E-4</v>
      </c>
      <c r="G176" s="1"/>
      <c r="H176" s="1">
        <f>SUM(OSRRefH22_19x_0)</f>
        <v>1100</v>
      </c>
      <c r="I176" s="1"/>
      <c r="J176" s="5">
        <f t="shared" ref="J176:J178" si="94">IF(H$12=0,0,H176/H$12)</f>
        <v>8.541141904084529E-4</v>
      </c>
      <c r="K176" s="1"/>
      <c r="L176" s="1">
        <f t="shared" ref="L176:L178" si="95">+D176-H176</f>
        <v>-951.23</v>
      </c>
      <c r="M176" s="1"/>
      <c r="N176" s="5">
        <f t="shared" ref="N176:N178" si="96">IF(H176=0,0,L176/H176)</f>
        <v>-0.86475454545454544</v>
      </c>
      <c r="O176" s="14"/>
      <c r="P176" s="1">
        <f>SUM(OSRRefP22_19x_0)</f>
        <v>783.77</v>
      </c>
      <c r="Q176" s="1"/>
      <c r="R176" s="5">
        <f t="shared" ref="R176:R178" si="97">IF(P$12=0,0,P176/P$12)</f>
        <v>3.5724944645753269E-4</v>
      </c>
      <c r="S176" s="1"/>
      <c r="T176" s="1">
        <f>SUM(OSRRefT22_19x_0)</f>
        <v>4695</v>
      </c>
      <c r="U176" s="1"/>
      <c r="V176" s="5">
        <f t="shared" ref="V176:V178" si="98">IF(T$12=0,0,T176/T$12)</f>
        <v>1.3101851477188406E-3</v>
      </c>
      <c r="W176" s="1"/>
      <c r="X176" s="1">
        <f t="shared" ref="X176:X178" si="99">+P176-T176</f>
        <v>-3911.23</v>
      </c>
      <c r="Y176" s="1"/>
      <c r="Z176" s="5">
        <f t="shared" ref="Z176:Z178" si="100">IF(T176=0,0,X176/T176)</f>
        <v>-0.83306283280085203</v>
      </c>
    </row>
    <row r="177" spans="1:26" s="24" customFormat="1" hidden="1" outlineLevel="2" x14ac:dyDescent="0.25">
      <c r="A177" s="29"/>
      <c r="B177" s="11" t="str">
        <f>CONCATENATE("          ", "6258", " - ", "MEMBERSHIP DUES")</f>
        <v xml:space="preserve">          6258 - MEMBERSHIP DUES</v>
      </c>
      <c r="C177" s="11"/>
      <c r="D177" s="6">
        <v>73.040000000000006</v>
      </c>
      <c r="E177" s="2"/>
      <c r="F177" s="7">
        <f t="shared" si="93"/>
        <v>1.9786269818675798E-4</v>
      </c>
      <c r="G177" s="2"/>
      <c r="H177" s="6">
        <v>1100</v>
      </c>
      <c r="I177" s="2"/>
      <c r="J177" s="7">
        <f t="shared" si="94"/>
        <v>8.541141904084529E-4</v>
      </c>
      <c r="K177" s="2"/>
      <c r="L177" s="6">
        <f t="shared" si="95"/>
        <v>-1026.96</v>
      </c>
      <c r="M177" s="2"/>
      <c r="N177" s="7">
        <f t="shared" si="96"/>
        <v>-0.93359999999999999</v>
      </c>
      <c r="O177" s="11"/>
      <c r="P177" s="6">
        <v>633.04</v>
      </c>
      <c r="Q177" s="2"/>
      <c r="R177" s="7">
        <f t="shared" si="97"/>
        <v>2.8854535078591488E-4</v>
      </c>
      <c r="S177" s="2"/>
      <c r="T177" s="6">
        <v>4695</v>
      </c>
      <c r="U177" s="2"/>
      <c r="V177" s="7">
        <f t="shared" si="98"/>
        <v>1.3101851477188406E-3</v>
      </c>
      <c r="W177" s="2"/>
      <c r="X177" s="6">
        <f t="shared" si="99"/>
        <v>-4061.96</v>
      </c>
      <c r="Y177" s="2"/>
      <c r="Z177" s="7">
        <f t="shared" si="100"/>
        <v>-0.86516719914802986</v>
      </c>
    </row>
    <row r="178" spans="1:26" s="24" customFormat="1" hidden="1" outlineLevel="2" x14ac:dyDescent="0.25">
      <c r="A178" s="29"/>
      <c r="B178" s="11" t="str">
        <f>CONCATENATE("          ", "6275", " - ", "SUBSCRIPTIONS")</f>
        <v xml:space="preserve">          6275 - SUBSCRIPTIONS</v>
      </c>
      <c r="C178" s="11"/>
      <c r="D178" s="6">
        <v>75.73</v>
      </c>
      <c r="E178" s="2"/>
      <c r="F178" s="7">
        <f t="shared" si="93"/>
        <v>2.0514981015447948E-4</v>
      </c>
      <c r="G178" s="2"/>
      <c r="H178" s="6">
        <v>0</v>
      </c>
      <c r="I178" s="2"/>
      <c r="J178" s="7">
        <f t="shared" si="94"/>
        <v>0</v>
      </c>
      <c r="K178" s="2"/>
      <c r="L178" s="6">
        <f t="shared" si="95"/>
        <v>75.73</v>
      </c>
      <c r="M178" s="2"/>
      <c r="N178" s="7">
        <f t="shared" si="96"/>
        <v>0</v>
      </c>
      <c r="O178" s="11"/>
      <c r="P178" s="6">
        <v>150.72999999999999</v>
      </c>
      <c r="Q178" s="2"/>
      <c r="R178" s="7">
        <f t="shared" si="97"/>
        <v>6.8704095671617829E-5</v>
      </c>
      <c r="S178" s="2"/>
      <c r="T178" s="6">
        <v>0</v>
      </c>
      <c r="U178" s="2"/>
      <c r="V178" s="7">
        <f t="shared" si="98"/>
        <v>0</v>
      </c>
      <c r="W178" s="2"/>
      <c r="X178" s="6">
        <f t="shared" si="99"/>
        <v>150.72999999999999</v>
      </c>
      <c r="Y178" s="2"/>
      <c r="Z178" s="7">
        <f t="shared" si="100"/>
        <v>0</v>
      </c>
    </row>
    <row r="179" spans="1:26" s="28" customFormat="1" outlineLevel="1" collapsed="1" x14ac:dyDescent="0.25">
      <c r="A179" s="27"/>
      <c r="B179" s="14" t="str">
        <f>CONCATENATE("     ","Supplies                                          ")</f>
        <v xml:space="preserve">     Supplies                                          </v>
      </c>
      <c r="C179" s="14"/>
      <c r="D179" s="1">
        <f>SUM(OSRRefD22_20x_0)</f>
        <v>13852.2</v>
      </c>
      <c r="E179" s="1"/>
      <c r="F179" s="5">
        <f t="shared" ref="F179:F188" si="101">IF(D$12=0,0,D179/D$12)</f>
        <v>3.7525104981141956E-2</v>
      </c>
      <c r="G179" s="1"/>
      <c r="H179" s="1">
        <f>SUM(OSRRefH22_20x_0)</f>
        <v>36950</v>
      </c>
      <c r="I179" s="1"/>
      <c r="J179" s="5">
        <f t="shared" ref="J179:J188" si="102">IF(H$12=0,0,H179/H$12)</f>
        <v>2.869047212326576E-2</v>
      </c>
      <c r="K179" s="1"/>
      <c r="L179" s="1">
        <f t="shared" ref="L179:L188" si="103">+D179-H179</f>
        <v>-23097.8</v>
      </c>
      <c r="M179" s="1"/>
      <c r="N179" s="5">
        <f t="shared" ref="N179:N188" si="104">IF(H179=0,0,L179/H179)</f>
        <v>-0.62510960757780787</v>
      </c>
      <c r="O179" s="14"/>
      <c r="P179" s="1">
        <f>SUM(OSRRefP22_20x_0)</f>
        <v>33390.14</v>
      </c>
      <c r="Q179" s="1"/>
      <c r="R179" s="5">
        <f t="shared" ref="R179:R188" si="105">IF(P$12=0,0,P179/P$12)</f>
        <v>1.5219527453384949E-2</v>
      </c>
      <c r="S179" s="1"/>
      <c r="T179" s="1">
        <f>SUM(OSRRefT22_20x_0)</f>
        <v>81745</v>
      </c>
      <c r="U179" s="1"/>
      <c r="V179" s="5">
        <f t="shared" ref="V179:V188" si="106">IF(T$12=0,0,T179/T$12)</f>
        <v>2.2811732673115363E-2</v>
      </c>
      <c r="W179" s="1"/>
      <c r="X179" s="1">
        <f t="shared" ref="X179:X188" si="107">+P179-T179</f>
        <v>-48354.86</v>
      </c>
      <c r="Y179" s="1"/>
      <c r="Z179" s="5">
        <f t="shared" ref="Z179:Z188" si="108">IF(T179=0,0,X179/T179)</f>
        <v>-0.59153293779436056</v>
      </c>
    </row>
    <row r="180" spans="1:26" s="24" customFormat="1" hidden="1" outlineLevel="2" x14ac:dyDescent="0.25">
      <c r="A180" s="29"/>
      <c r="B180" s="11" t="str">
        <f>CONCATENATE("          ", "6234", " - ", "EXPENDABLE SUPPLIES &amp; EQUIPMEN")</f>
        <v xml:space="preserve">          6234 - EXPENDABLE SUPPLIES &amp; EQUIPMEN</v>
      </c>
      <c r="C180" s="11"/>
      <c r="D180" s="6"/>
      <c r="E180" s="2"/>
      <c r="F180" s="7">
        <f t="shared" si="101"/>
        <v>0</v>
      </c>
      <c r="G180" s="2"/>
      <c r="H180" s="6">
        <v>150</v>
      </c>
      <c r="I180" s="2"/>
      <c r="J180" s="7">
        <f t="shared" si="102"/>
        <v>1.1647011687387995E-4</v>
      </c>
      <c r="K180" s="2"/>
      <c r="L180" s="6">
        <f t="shared" si="103"/>
        <v>-150</v>
      </c>
      <c r="M180" s="2"/>
      <c r="N180" s="7">
        <f t="shared" si="104"/>
        <v>-1</v>
      </c>
      <c r="O180" s="11"/>
      <c r="P180" s="6"/>
      <c r="Q180" s="2"/>
      <c r="R180" s="7">
        <f t="shared" si="105"/>
        <v>0</v>
      </c>
      <c r="S180" s="2"/>
      <c r="T180" s="6">
        <v>450</v>
      </c>
      <c r="U180" s="2"/>
      <c r="V180" s="7">
        <f t="shared" si="106"/>
        <v>1.255768512190582E-4</v>
      </c>
      <c r="W180" s="2"/>
      <c r="X180" s="6">
        <f t="shared" si="107"/>
        <v>-450</v>
      </c>
      <c r="Y180" s="2"/>
      <c r="Z180" s="7">
        <f t="shared" si="108"/>
        <v>-1</v>
      </c>
    </row>
    <row r="181" spans="1:26" s="24" customFormat="1" hidden="1" outlineLevel="2" x14ac:dyDescent="0.25">
      <c r="A181" s="29"/>
      <c r="B181" s="11" t="str">
        <f>CONCATENATE("          ", "6235", " - ", "COVID-19 EXPENSES")</f>
        <v xml:space="preserve">          6235 - COVID-19 EXPENSES</v>
      </c>
      <c r="C181" s="11"/>
      <c r="D181" s="6">
        <v>2460.7800000000002</v>
      </c>
      <c r="E181" s="2"/>
      <c r="F181" s="7">
        <f t="shared" si="101"/>
        <v>6.6661633412378185E-3</v>
      </c>
      <c r="G181" s="2"/>
      <c r="H181" s="6">
        <v>30400</v>
      </c>
      <c r="I181" s="2"/>
      <c r="J181" s="7">
        <f t="shared" si="102"/>
        <v>2.3604610353106334E-2</v>
      </c>
      <c r="K181" s="2"/>
      <c r="L181" s="6">
        <f t="shared" si="103"/>
        <v>-27939.22</v>
      </c>
      <c r="M181" s="2"/>
      <c r="N181" s="7">
        <f t="shared" si="104"/>
        <v>-0.91905328947368425</v>
      </c>
      <c r="O181" s="11"/>
      <c r="P181" s="6">
        <v>9094.67</v>
      </c>
      <c r="Q181" s="2"/>
      <c r="R181" s="7">
        <f t="shared" si="105"/>
        <v>4.1454327458488194E-3</v>
      </c>
      <c r="S181" s="2"/>
      <c r="T181" s="6">
        <v>61100</v>
      </c>
      <c r="U181" s="2"/>
      <c r="V181" s="7">
        <f t="shared" si="106"/>
        <v>1.7050545798854348E-2</v>
      </c>
      <c r="W181" s="2"/>
      <c r="X181" s="6">
        <f t="shared" si="107"/>
        <v>-52005.33</v>
      </c>
      <c r="Y181" s="2"/>
      <c r="Z181" s="7">
        <f t="shared" si="108"/>
        <v>-0.85115106382978722</v>
      </c>
    </row>
    <row r="182" spans="1:26" s="24" customFormat="1" hidden="1" outlineLevel="2" x14ac:dyDescent="0.25">
      <c r="A182" s="29"/>
      <c r="B182" s="11" t="str">
        <f>CONCATENATE("          ", "6237", " - ", "JANITORIAL SUPPLIES")</f>
        <v xml:space="preserve">          6237 - JANITORIAL SUPPLIES</v>
      </c>
      <c r="C182" s="11"/>
      <c r="D182" s="6"/>
      <c r="E182" s="2"/>
      <c r="F182" s="7">
        <f t="shared" si="101"/>
        <v>0</v>
      </c>
      <c r="G182" s="2"/>
      <c r="H182" s="6">
        <v>300</v>
      </c>
      <c r="I182" s="2"/>
      <c r="J182" s="7">
        <f t="shared" si="102"/>
        <v>2.3294023374775989E-4</v>
      </c>
      <c r="K182" s="2"/>
      <c r="L182" s="6">
        <f t="shared" si="103"/>
        <v>-300</v>
      </c>
      <c r="M182" s="2"/>
      <c r="N182" s="7">
        <f t="shared" si="104"/>
        <v>-1</v>
      </c>
      <c r="O182" s="11"/>
      <c r="P182" s="6">
        <v>139.31</v>
      </c>
      <c r="Q182" s="2"/>
      <c r="R182" s="7">
        <f t="shared" si="105"/>
        <v>6.349875650509573E-5</v>
      </c>
      <c r="S182" s="2"/>
      <c r="T182" s="6">
        <v>820</v>
      </c>
      <c r="U182" s="2"/>
      <c r="V182" s="7">
        <f t="shared" si="106"/>
        <v>2.2882892888806164E-4</v>
      </c>
      <c r="W182" s="2"/>
      <c r="X182" s="6">
        <f t="shared" si="107"/>
        <v>-680.69</v>
      </c>
      <c r="Y182" s="2"/>
      <c r="Z182" s="7">
        <f t="shared" si="108"/>
        <v>-0.83010975609756099</v>
      </c>
    </row>
    <row r="183" spans="1:26" s="24" customFormat="1" hidden="1" outlineLevel="2" x14ac:dyDescent="0.25">
      <c r="A183" s="29"/>
      <c r="B183" s="11" t="str">
        <f>CONCATENATE("          ", "6241", " - ", "OFFICE EXPENSE")</f>
        <v xml:space="preserve">          6241 - OFFICE EXPENSE</v>
      </c>
      <c r="C183" s="11"/>
      <c r="D183" s="6">
        <v>4755.57</v>
      </c>
      <c r="E183" s="2"/>
      <c r="F183" s="7">
        <f t="shared" si="101"/>
        <v>1.2882665821686753E-2</v>
      </c>
      <c r="G183" s="2"/>
      <c r="H183" s="6">
        <v>425</v>
      </c>
      <c r="I183" s="2"/>
      <c r="J183" s="7">
        <f t="shared" si="102"/>
        <v>3.2999866447599318E-4</v>
      </c>
      <c r="K183" s="2"/>
      <c r="L183" s="6">
        <f t="shared" si="103"/>
        <v>4330.57</v>
      </c>
      <c r="M183" s="2"/>
      <c r="N183" s="7">
        <f t="shared" si="104"/>
        <v>10.189576470588234</v>
      </c>
      <c r="O183" s="11"/>
      <c r="P183" s="6">
        <v>7479.49</v>
      </c>
      <c r="Q183" s="2"/>
      <c r="R183" s="7">
        <f t="shared" si="105"/>
        <v>3.4092191105613272E-3</v>
      </c>
      <c r="S183" s="2"/>
      <c r="T183" s="6">
        <v>1575</v>
      </c>
      <c r="U183" s="2"/>
      <c r="V183" s="7">
        <f t="shared" si="106"/>
        <v>4.3951897926670377E-4</v>
      </c>
      <c r="W183" s="2"/>
      <c r="X183" s="6">
        <f t="shared" si="107"/>
        <v>5904.49</v>
      </c>
      <c r="Y183" s="2"/>
      <c r="Z183" s="7">
        <f t="shared" si="108"/>
        <v>3.7488825396825396</v>
      </c>
    </row>
    <row r="184" spans="1:26" s="24" customFormat="1" hidden="1" outlineLevel="2" x14ac:dyDescent="0.25">
      <c r="A184" s="29"/>
      <c r="B184" s="11" t="str">
        <f>CONCATENATE("          ", "6243", " - ", "PAPER SUPPLIES")</f>
        <v xml:space="preserve">          6243 - PAPER SUPPLIES</v>
      </c>
      <c r="C184" s="11"/>
      <c r="D184" s="6"/>
      <c r="E184" s="2"/>
      <c r="F184" s="7">
        <f t="shared" si="101"/>
        <v>0</v>
      </c>
      <c r="G184" s="2"/>
      <c r="H184" s="6">
        <v>550</v>
      </c>
      <c r="I184" s="2"/>
      <c r="J184" s="7">
        <f t="shared" si="102"/>
        <v>4.2705709520422645E-4</v>
      </c>
      <c r="K184" s="2"/>
      <c r="L184" s="6">
        <f t="shared" si="103"/>
        <v>-550</v>
      </c>
      <c r="M184" s="2"/>
      <c r="N184" s="7">
        <f t="shared" si="104"/>
        <v>-1</v>
      </c>
      <c r="O184" s="11"/>
      <c r="P184" s="6">
        <v>3124.69</v>
      </c>
      <c r="Q184" s="2"/>
      <c r="R184" s="7">
        <f t="shared" si="105"/>
        <v>1.4242619299684703E-3</v>
      </c>
      <c r="S184" s="2"/>
      <c r="T184" s="6">
        <v>2850</v>
      </c>
      <c r="U184" s="2"/>
      <c r="V184" s="7">
        <f t="shared" si="106"/>
        <v>7.9532005772070199E-4</v>
      </c>
      <c r="W184" s="2"/>
      <c r="X184" s="6">
        <f t="shared" si="107"/>
        <v>274.69000000000005</v>
      </c>
      <c r="Y184" s="2"/>
      <c r="Z184" s="7">
        <f t="shared" si="108"/>
        <v>9.6382456140350903E-2</v>
      </c>
    </row>
    <row r="185" spans="1:26" s="24" customFormat="1" hidden="1" outlineLevel="2" x14ac:dyDescent="0.25">
      <c r="A185" s="29"/>
      <c r="B185" s="11" t="str">
        <f>CONCATENATE("          ", "6244", " - ", "SAFETY SUPPLY EXPENSE")</f>
        <v xml:space="preserve">          6244 - SAFETY SUPPLY EXPENSE</v>
      </c>
      <c r="C185" s="11"/>
      <c r="D185" s="6"/>
      <c r="E185" s="2"/>
      <c r="F185" s="7">
        <f t="shared" si="101"/>
        <v>0</v>
      </c>
      <c r="G185" s="2"/>
      <c r="H185" s="6">
        <v>0</v>
      </c>
      <c r="I185" s="2"/>
      <c r="J185" s="7">
        <f t="shared" si="102"/>
        <v>0</v>
      </c>
      <c r="K185" s="2"/>
      <c r="L185" s="6">
        <f t="shared" si="103"/>
        <v>0</v>
      </c>
      <c r="M185" s="2"/>
      <c r="N185" s="7">
        <f t="shared" si="104"/>
        <v>0</v>
      </c>
      <c r="O185" s="11"/>
      <c r="P185" s="6"/>
      <c r="Q185" s="2"/>
      <c r="R185" s="7">
        <f t="shared" si="105"/>
        <v>0</v>
      </c>
      <c r="S185" s="2"/>
      <c r="T185" s="6">
        <v>25</v>
      </c>
      <c r="U185" s="2"/>
      <c r="V185" s="7">
        <f t="shared" si="106"/>
        <v>6.9764917343921228E-6</v>
      </c>
      <c r="W185" s="2"/>
      <c r="X185" s="6">
        <f t="shared" si="107"/>
        <v>-25</v>
      </c>
      <c r="Y185" s="2"/>
      <c r="Z185" s="7">
        <f t="shared" si="108"/>
        <v>-1</v>
      </c>
    </row>
    <row r="186" spans="1:26" s="24" customFormat="1" hidden="1" outlineLevel="2" x14ac:dyDescent="0.25">
      <c r="A186" s="29"/>
      <c r="B186" s="11" t="str">
        <f>CONCATENATE("          ", "6245", " - ", "PRINTING")</f>
        <v xml:space="preserve">          6245 - PRINTING</v>
      </c>
      <c r="C186" s="11"/>
      <c r="D186" s="6">
        <v>356.96</v>
      </c>
      <c r="E186" s="2"/>
      <c r="F186" s="7">
        <f t="shared" si="101"/>
        <v>9.6699163122597367E-4</v>
      </c>
      <c r="G186" s="2"/>
      <c r="H186" s="6">
        <v>350</v>
      </c>
      <c r="I186" s="2"/>
      <c r="J186" s="7">
        <f t="shared" si="102"/>
        <v>2.717636060390532E-4</v>
      </c>
      <c r="K186" s="2"/>
      <c r="L186" s="6">
        <f t="shared" si="103"/>
        <v>6.9599999999999795</v>
      </c>
      <c r="M186" s="2"/>
      <c r="N186" s="7">
        <f t="shared" si="104"/>
        <v>1.9885714285714229E-2</v>
      </c>
      <c r="O186" s="11"/>
      <c r="P186" s="6">
        <v>61.46</v>
      </c>
      <c r="Q186" s="2"/>
      <c r="R186" s="7">
        <f t="shared" si="105"/>
        <v>2.8014023220179339E-5</v>
      </c>
      <c r="S186" s="2"/>
      <c r="T186" s="6">
        <v>1450</v>
      </c>
      <c r="U186" s="2"/>
      <c r="V186" s="7">
        <f t="shared" si="106"/>
        <v>4.0463652059474314E-4</v>
      </c>
      <c r="W186" s="2"/>
      <c r="X186" s="6">
        <f t="shared" si="107"/>
        <v>-1388.54</v>
      </c>
      <c r="Y186" s="2"/>
      <c r="Z186" s="7">
        <f t="shared" si="108"/>
        <v>-0.9576137931034483</v>
      </c>
    </row>
    <row r="187" spans="1:26" s="24" customFormat="1" hidden="1" outlineLevel="2" x14ac:dyDescent="0.25">
      <c r="A187" s="29"/>
      <c r="B187" s="11" t="str">
        <f>CONCATENATE("          ", "6247", " - ", "STORE SUPPLIES")</f>
        <v xml:space="preserve">          6247 - STORE SUPPLIES</v>
      </c>
      <c r="C187" s="11"/>
      <c r="D187" s="6">
        <v>6278.89</v>
      </c>
      <c r="E187" s="2"/>
      <c r="F187" s="7">
        <f t="shared" si="101"/>
        <v>1.7009284186991411E-2</v>
      </c>
      <c r="G187" s="2"/>
      <c r="H187" s="6">
        <v>3275</v>
      </c>
      <c r="I187" s="2"/>
      <c r="J187" s="7">
        <f t="shared" si="102"/>
        <v>2.5429308850797123E-3</v>
      </c>
      <c r="K187" s="2"/>
      <c r="L187" s="6">
        <f t="shared" si="103"/>
        <v>3003.8900000000003</v>
      </c>
      <c r="M187" s="2"/>
      <c r="N187" s="7">
        <f t="shared" si="104"/>
        <v>0.91721832061068709</v>
      </c>
      <c r="O187" s="11"/>
      <c r="P187" s="6">
        <v>13490.52</v>
      </c>
      <c r="Q187" s="2"/>
      <c r="R187" s="7">
        <f t="shared" si="105"/>
        <v>6.1491008872810579E-3</v>
      </c>
      <c r="S187" s="2"/>
      <c r="T187" s="6">
        <v>8875</v>
      </c>
      <c r="U187" s="2"/>
      <c r="V187" s="7">
        <f t="shared" si="106"/>
        <v>2.4766545657092034E-3</v>
      </c>
      <c r="W187" s="2"/>
      <c r="X187" s="6">
        <f t="shared" si="107"/>
        <v>4615.5200000000004</v>
      </c>
      <c r="Y187" s="2"/>
      <c r="Z187" s="7">
        <f t="shared" si="108"/>
        <v>0.52005859154929579</v>
      </c>
    </row>
    <row r="188" spans="1:26" s="24" customFormat="1" hidden="1" outlineLevel="2" x14ac:dyDescent="0.25">
      <c r="A188" s="29"/>
      <c r="B188" s="11" t="str">
        <f>CONCATENATE("          ", "6248", " - ", "UNIFORMS")</f>
        <v xml:space="preserve">          6248 - UNIFORMS</v>
      </c>
      <c r="C188" s="11"/>
      <c r="D188" s="6"/>
      <c r="E188" s="2"/>
      <c r="F188" s="7">
        <f t="shared" si="101"/>
        <v>0</v>
      </c>
      <c r="G188" s="2"/>
      <c r="H188" s="6">
        <v>1500</v>
      </c>
      <c r="I188" s="2"/>
      <c r="J188" s="7">
        <f t="shared" si="102"/>
        <v>1.1647011687387994E-3</v>
      </c>
      <c r="K188" s="2"/>
      <c r="L188" s="6">
        <f t="shared" si="103"/>
        <v>-1500</v>
      </c>
      <c r="M188" s="2"/>
      <c r="N188" s="7">
        <f t="shared" si="104"/>
        <v>-1</v>
      </c>
      <c r="O188" s="11"/>
      <c r="P188" s="6"/>
      <c r="Q188" s="2"/>
      <c r="R188" s="7">
        <f t="shared" si="105"/>
        <v>0</v>
      </c>
      <c r="S188" s="2"/>
      <c r="T188" s="6">
        <v>4600</v>
      </c>
      <c r="U188" s="2"/>
      <c r="V188" s="7">
        <f t="shared" si="106"/>
        <v>1.2836744791281506E-3</v>
      </c>
      <c r="W188" s="2"/>
      <c r="X188" s="6">
        <f t="shared" si="107"/>
        <v>-4600</v>
      </c>
      <c r="Y188" s="2"/>
      <c r="Z188" s="7">
        <f t="shared" si="108"/>
        <v>-1</v>
      </c>
    </row>
    <row r="189" spans="1:26" s="28" customFormat="1" outlineLevel="1" collapsed="1" x14ac:dyDescent="0.25">
      <c r="A189" s="27"/>
      <c r="B189" s="14" t="str">
        <f>CONCATENATE("     ","Telephone/Data Lines                              ")</f>
        <v xml:space="preserve">     Telephone/Data Lines                              </v>
      </c>
      <c r="C189" s="14"/>
      <c r="D189" s="1">
        <f>SUM(OSRRefD22_21x_0)</f>
        <v>5060.54</v>
      </c>
      <c r="E189" s="1"/>
      <c r="F189" s="5">
        <f t="shared" ref="F189:F191" si="109">IF(D$12=0,0,D189/D$12)</f>
        <v>1.3708818437596058E-2</v>
      </c>
      <c r="G189" s="1"/>
      <c r="H189" s="1">
        <f>SUM(OSRRefH22_21x_0)</f>
        <v>3395</v>
      </c>
      <c r="I189" s="1"/>
      <c r="J189" s="5">
        <f t="shared" ref="J189:J191" si="110">IF(H$12=0,0,H189/H$12)</f>
        <v>2.6361069785788161E-3</v>
      </c>
      <c r="K189" s="1"/>
      <c r="L189" s="1">
        <f t="shared" ref="L189:L191" si="111">+D189-H189</f>
        <v>1665.54</v>
      </c>
      <c r="M189" s="1"/>
      <c r="N189" s="5">
        <f t="shared" ref="N189:N191" si="112">IF(H189=0,0,L189/H189)</f>
        <v>0.49058615611192929</v>
      </c>
      <c r="O189" s="14"/>
      <c r="P189" s="1">
        <f>SUM(OSRRefP22_21x_0)</f>
        <v>9530.7900000000009</v>
      </c>
      <c r="Q189" s="1"/>
      <c r="R189" s="5">
        <f t="shared" ref="R189:R191" si="113">IF(P$12=0,0,P189/P$12)</f>
        <v>4.3442201816897667E-3</v>
      </c>
      <c r="S189" s="1"/>
      <c r="T189" s="1">
        <f>SUM(OSRRefT22_21x_0)</f>
        <v>8385</v>
      </c>
      <c r="U189" s="1"/>
      <c r="V189" s="5">
        <f t="shared" ref="V189:V191" si="114">IF(T$12=0,0,T189/T$12)</f>
        <v>2.3399153277151182E-3</v>
      </c>
      <c r="W189" s="1"/>
      <c r="X189" s="1">
        <f t="shared" ref="X189:X191" si="115">+P189-T189</f>
        <v>1145.7900000000009</v>
      </c>
      <c r="Y189" s="1"/>
      <c r="Z189" s="5">
        <f t="shared" ref="Z189:Z191" si="116">IF(T189=0,0,X189/T189)</f>
        <v>0.13664758497316648</v>
      </c>
    </row>
    <row r="190" spans="1:26" s="24" customFormat="1" hidden="1" outlineLevel="2" x14ac:dyDescent="0.25">
      <c r="A190" s="29"/>
      <c r="B190" s="11" t="str">
        <f>CONCATENATE("          ", "6303", " - ", "DATA PHONE LINES")</f>
        <v xml:space="preserve">          6303 - DATA PHONE LINES</v>
      </c>
      <c r="C190" s="11"/>
      <c r="D190" s="6">
        <v>885</v>
      </c>
      <c r="E190" s="2"/>
      <c r="F190" s="7">
        <f t="shared" si="109"/>
        <v>2.397432747744808E-3</v>
      </c>
      <c r="G190" s="2"/>
      <c r="H190" s="6">
        <v>630</v>
      </c>
      <c r="I190" s="2"/>
      <c r="J190" s="7">
        <f t="shared" si="110"/>
        <v>4.8917449087029579E-4</v>
      </c>
      <c r="K190" s="2"/>
      <c r="L190" s="6">
        <f t="shared" si="111"/>
        <v>255</v>
      </c>
      <c r="M190" s="2"/>
      <c r="N190" s="7">
        <f t="shared" si="112"/>
        <v>0.40476190476190477</v>
      </c>
      <c r="O190" s="11"/>
      <c r="P190" s="6">
        <v>1180</v>
      </c>
      <c r="Q190" s="2"/>
      <c r="R190" s="7">
        <f t="shared" si="113"/>
        <v>5.3785465993836019E-4</v>
      </c>
      <c r="S190" s="2"/>
      <c r="T190" s="6">
        <v>1890</v>
      </c>
      <c r="U190" s="2"/>
      <c r="V190" s="7">
        <f t="shared" si="114"/>
        <v>5.2742277512004448E-4</v>
      </c>
      <c r="W190" s="2"/>
      <c r="X190" s="6">
        <f t="shared" si="115"/>
        <v>-710</v>
      </c>
      <c r="Y190" s="2"/>
      <c r="Z190" s="7">
        <f t="shared" si="116"/>
        <v>-0.37566137566137564</v>
      </c>
    </row>
    <row r="191" spans="1:26" s="24" customFormat="1" hidden="1" outlineLevel="2" x14ac:dyDescent="0.25">
      <c r="A191" s="29"/>
      <c r="B191" s="11" t="str">
        <f>CONCATENATE("          ", "6309", " - ", "TELEPHONE")</f>
        <v xml:space="preserve">          6309 - TELEPHONE</v>
      </c>
      <c r="C191" s="11"/>
      <c r="D191" s="6">
        <v>4175.54</v>
      </c>
      <c r="E191" s="2"/>
      <c r="F191" s="7">
        <f t="shared" si="109"/>
        <v>1.1311385689851249E-2</v>
      </c>
      <c r="G191" s="2"/>
      <c r="H191" s="6">
        <v>2765</v>
      </c>
      <c r="I191" s="2"/>
      <c r="J191" s="7">
        <f t="shared" si="110"/>
        <v>2.1469324877085205E-3</v>
      </c>
      <c r="K191" s="2"/>
      <c r="L191" s="6">
        <f t="shared" si="111"/>
        <v>1410.54</v>
      </c>
      <c r="M191" s="2"/>
      <c r="N191" s="7">
        <f t="shared" si="112"/>
        <v>0.5101410488245931</v>
      </c>
      <c r="O191" s="11"/>
      <c r="P191" s="6">
        <v>8350.7900000000009</v>
      </c>
      <c r="Q191" s="2"/>
      <c r="R191" s="7">
        <f t="shared" si="113"/>
        <v>3.8063655217514068E-3</v>
      </c>
      <c r="S191" s="2"/>
      <c r="T191" s="6">
        <v>6495</v>
      </c>
      <c r="U191" s="2"/>
      <c r="V191" s="7">
        <f t="shared" si="114"/>
        <v>1.8124925525950736E-3</v>
      </c>
      <c r="W191" s="2"/>
      <c r="X191" s="6">
        <f t="shared" si="115"/>
        <v>1855.7900000000009</v>
      </c>
      <c r="Y191" s="2"/>
      <c r="Z191" s="7">
        <f t="shared" si="116"/>
        <v>0.2857259430331025</v>
      </c>
    </row>
    <row r="192" spans="1:26" s="28" customFormat="1" outlineLevel="1" collapsed="1" x14ac:dyDescent="0.25">
      <c r="A192" s="27"/>
      <c r="B192" s="14" t="str">
        <f>CONCATENATE("     ","Training                                          ")</f>
        <v xml:space="preserve">     Training                                          </v>
      </c>
      <c r="C192" s="14"/>
      <c r="D192" s="1">
        <f>SUM(OSRRefD22_22x_0)</f>
        <v>0</v>
      </c>
      <c r="E192" s="1"/>
      <c r="F192" s="5">
        <f t="shared" ref="F192:F197" si="117">IF(D$12=0,0,D192/D$12)</f>
        <v>0</v>
      </c>
      <c r="G192" s="1"/>
      <c r="H192" s="1">
        <f>SUM(OSRRefH22_22x_0)</f>
        <v>0</v>
      </c>
      <c r="I192" s="1"/>
      <c r="J192" s="5">
        <f t="shared" ref="J192:J197" si="118">IF(H$12=0,0,H192/H$12)</f>
        <v>0</v>
      </c>
      <c r="K192" s="1"/>
      <c r="L192" s="1">
        <f t="shared" ref="L192:L197" si="119">+D192-H192</f>
        <v>0</v>
      </c>
      <c r="M192" s="1"/>
      <c r="N192" s="5">
        <f t="shared" ref="N192:N197" si="120">IF(H192=0,0,L192/H192)</f>
        <v>0</v>
      </c>
      <c r="O192" s="14"/>
      <c r="P192" s="1">
        <f>SUM(OSRRefP22_22x_0)</f>
        <v>131.63</v>
      </c>
      <c r="Q192" s="1"/>
      <c r="R192" s="5">
        <f t="shared" ref="R192:R197" si="121">IF(P$12=0,0,P192/P$12)</f>
        <v>5.9998143125157929E-5</v>
      </c>
      <c r="S192" s="1"/>
      <c r="T192" s="1">
        <f>SUM(OSRRefT22_22x_0)</f>
        <v>60</v>
      </c>
      <c r="U192" s="1"/>
      <c r="V192" s="5">
        <f t="shared" ref="V192:V197" si="122">IF(T$12=0,0,T192/T$12)</f>
        <v>1.6743580162541095E-5</v>
      </c>
      <c r="W192" s="1"/>
      <c r="X192" s="1">
        <f t="shared" ref="X192:X197" si="123">+P192-T192</f>
        <v>71.63</v>
      </c>
      <c r="Y192" s="1"/>
      <c r="Z192" s="5">
        <f t="shared" ref="Z192:Z197" si="124">IF(T192=0,0,X192/T192)</f>
        <v>1.1938333333333333</v>
      </c>
    </row>
    <row r="193" spans="1:26" s="24" customFormat="1" hidden="1" outlineLevel="2" x14ac:dyDescent="0.25">
      <c r="A193" s="29"/>
      <c r="B193" s="11" t="str">
        <f>CONCATENATE("          ", "6376", " - ", "TRAINING")</f>
        <v xml:space="preserve">          6376 - TRAINING</v>
      </c>
      <c r="C193" s="11"/>
      <c r="D193" s="6"/>
      <c r="E193" s="2"/>
      <c r="F193" s="7">
        <f t="shared" si="117"/>
        <v>0</v>
      </c>
      <c r="G193" s="2"/>
      <c r="H193" s="6">
        <v>0</v>
      </c>
      <c r="I193" s="2"/>
      <c r="J193" s="7">
        <f t="shared" si="118"/>
        <v>0</v>
      </c>
      <c r="K193" s="2"/>
      <c r="L193" s="6">
        <f t="shared" si="119"/>
        <v>0</v>
      </c>
      <c r="M193" s="2"/>
      <c r="N193" s="7">
        <f t="shared" si="120"/>
        <v>0</v>
      </c>
      <c r="O193" s="11"/>
      <c r="P193" s="6">
        <v>131.63</v>
      </c>
      <c r="Q193" s="2"/>
      <c r="R193" s="7">
        <f t="shared" si="121"/>
        <v>5.9998143125157929E-5</v>
      </c>
      <c r="S193" s="2"/>
      <c r="T193" s="6">
        <v>60</v>
      </c>
      <c r="U193" s="2"/>
      <c r="V193" s="7">
        <f t="shared" si="122"/>
        <v>1.6743580162541095E-5</v>
      </c>
      <c r="W193" s="2"/>
      <c r="X193" s="6">
        <f t="shared" si="123"/>
        <v>71.63</v>
      </c>
      <c r="Y193" s="2"/>
      <c r="Z193" s="7">
        <f t="shared" si="124"/>
        <v>1.1938333333333333</v>
      </c>
    </row>
    <row r="194" spans="1:26" s="28" customFormat="1" outlineLevel="1" collapsed="1" x14ac:dyDescent="0.25">
      <c r="A194" s="27"/>
      <c r="B194" s="14" t="str">
        <f>CONCATENATE("     ","Travel                                            ")</f>
        <v xml:space="preserve">     Travel                                            </v>
      </c>
      <c r="C194" s="14"/>
      <c r="D194" s="1">
        <f>SUM(OSRRefD22_23x_0)</f>
        <v>0</v>
      </c>
      <c r="E194" s="1"/>
      <c r="F194" s="5">
        <f t="shared" si="117"/>
        <v>0</v>
      </c>
      <c r="G194" s="1"/>
      <c r="H194" s="1">
        <f>SUM(OSRRefH22_23x_0)</f>
        <v>50</v>
      </c>
      <c r="I194" s="1"/>
      <c r="J194" s="5">
        <f t="shared" si="118"/>
        <v>3.8823372291293318E-5</v>
      </c>
      <c r="K194" s="1"/>
      <c r="L194" s="1">
        <f t="shared" si="119"/>
        <v>-50</v>
      </c>
      <c r="M194" s="1"/>
      <c r="N194" s="5">
        <f t="shared" si="120"/>
        <v>-1</v>
      </c>
      <c r="O194" s="14"/>
      <c r="P194" s="1">
        <f>SUM(OSRRefP22_23x_0)</f>
        <v>300.96999999999997</v>
      </c>
      <c r="Q194" s="1"/>
      <c r="R194" s="5">
        <f t="shared" si="121"/>
        <v>1.3718484491665107E-4</v>
      </c>
      <c r="S194" s="1"/>
      <c r="T194" s="1">
        <f>SUM(OSRRefT22_23x_0)</f>
        <v>150</v>
      </c>
      <c r="U194" s="1"/>
      <c r="V194" s="5">
        <f t="shared" si="122"/>
        <v>4.1858950406352737E-5</v>
      </c>
      <c r="W194" s="1"/>
      <c r="X194" s="1">
        <f t="shared" si="123"/>
        <v>150.96999999999997</v>
      </c>
      <c r="Y194" s="1"/>
      <c r="Z194" s="5">
        <f t="shared" si="124"/>
        <v>1.0064666666666664</v>
      </c>
    </row>
    <row r="195" spans="1:26" s="24" customFormat="1" hidden="1" outlineLevel="2" x14ac:dyDescent="0.25">
      <c r="A195" s="29"/>
      <c r="B195" s="11" t="str">
        <f>CONCATENATE("          ", "6292", " - ", "TRAVEL/CONFERENCE")</f>
        <v xml:space="preserve">          6292 - TRAVEL/CONFERENCE</v>
      </c>
      <c r="C195" s="11"/>
      <c r="D195" s="6"/>
      <c r="E195" s="2"/>
      <c r="F195" s="7">
        <f t="shared" si="117"/>
        <v>0</v>
      </c>
      <c r="G195" s="2"/>
      <c r="H195" s="6"/>
      <c r="I195" s="2"/>
      <c r="J195" s="7">
        <f t="shared" si="118"/>
        <v>0</v>
      </c>
      <c r="K195" s="2"/>
      <c r="L195" s="6">
        <f t="shared" si="119"/>
        <v>0</v>
      </c>
      <c r="M195" s="2"/>
      <c r="N195" s="7">
        <f t="shared" si="120"/>
        <v>0</v>
      </c>
      <c r="O195" s="11"/>
      <c r="P195" s="6">
        <v>0.16</v>
      </c>
      <c r="Q195" s="2"/>
      <c r="R195" s="7">
        <f t="shared" si="121"/>
        <v>7.2929445415370879E-8</v>
      </c>
      <c r="S195" s="2"/>
      <c r="T195" s="6"/>
      <c r="U195" s="2"/>
      <c r="V195" s="7">
        <f t="shared" si="122"/>
        <v>0</v>
      </c>
      <c r="W195" s="2"/>
      <c r="X195" s="6">
        <f t="shared" si="123"/>
        <v>0.16</v>
      </c>
      <c r="Y195" s="2"/>
      <c r="Z195" s="7">
        <f t="shared" si="124"/>
        <v>0</v>
      </c>
    </row>
    <row r="196" spans="1:26" s="24" customFormat="1" hidden="1" outlineLevel="2" x14ac:dyDescent="0.25">
      <c r="A196" s="29"/>
      <c r="B196" s="11" t="str">
        <f>CONCATENATE("          ", "6294", " - ", "TRAVEL OPERATIONAL")</f>
        <v xml:space="preserve">          6294 - TRAVEL OPERATIONAL</v>
      </c>
      <c r="C196" s="11"/>
      <c r="D196" s="6"/>
      <c r="E196" s="2"/>
      <c r="F196" s="7">
        <f t="shared" si="117"/>
        <v>0</v>
      </c>
      <c r="G196" s="2"/>
      <c r="H196" s="6">
        <v>25</v>
      </c>
      <c r="I196" s="2"/>
      <c r="J196" s="7">
        <f t="shared" si="118"/>
        <v>1.9411686145646659E-5</v>
      </c>
      <c r="K196" s="2"/>
      <c r="L196" s="6">
        <f t="shared" si="119"/>
        <v>-25</v>
      </c>
      <c r="M196" s="2"/>
      <c r="N196" s="7">
        <f t="shared" si="120"/>
        <v>-1</v>
      </c>
      <c r="O196" s="11"/>
      <c r="P196" s="6">
        <v>240.92</v>
      </c>
      <c r="Q196" s="2"/>
      <c r="R196" s="7">
        <f t="shared" si="121"/>
        <v>1.098135124341947E-4</v>
      </c>
      <c r="S196" s="2"/>
      <c r="T196" s="6">
        <v>75</v>
      </c>
      <c r="U196" s="2"/>
      <c r="V196" s="7">
        <f t="shared" si="122"/>
        <v>2.0929475203176368E-5</v>
      </c>
      <c r="W196" s="2"/>
      <c r="X196" s="6">
        <f t="shared" si="123"/>
        <v>165.92</v>
      </c>
      <c r="Y196" s="2"/>
      <c r="Z196" s="7">
        <f t="shared" si="124"/>
        <v>2.2122666666666664</v>
      </c>
    </row>
    <row r="197" spans="1:26" s="24" customFormat="1" hidden="1" outlineLevel="2" x14ac:dyDescent="0.25">
      <c r="A197" s="29"/>
      <c r="B197" s="11" t="str">
        <f>CONCATENATE("          ", "6298", " - ", "VEHICLE MILEAGE")</f>
        <v xml:space="preserve">          6298 - VEHICLE MILEAGE</v>
      </c>
      <c r="C197" s="11"/>
      <c r="D197" s="6"/>
      <c r="E197" s="2"/>
      <c r="F197" s="7">
        <f t="shared" si="117"/>
        <v>0</v>
      </c>
      <c r="G197" s="2"/>
      <c r="H197" s="6">
        <v>25</v>
      </c>
      <c r="I197" s="2"/>
      <c r="J197" s="7">
        <f t="shared" si="118"/>
        <v>1.9411686145646659E-5</v>
      </c>
      <c r="K197" s="2"/>
      <c r="L197" s="6">
        <f t="shared" si="119"/>
        <v>-25</v>
      </c>
      <c r="M197" s="2"/>
      <c r="N197" s="7">
        <f t="shared" si="120"/>
        <v>-1</v>
      </c>
      <c r="O197" s="11"/>
      <c r="P197" s="6">
        <v>59.89</v>
      </c>
      <c r="Q197" s="2"/>
      <c r="R197" s="7">
        <f t="shared" si="121"/>
        <v>2.7298403037041013E-5</v>
      </c>
      <c r="S197" s="2"/>
      <c r="T197" s="6">
        <v>75</v>
      </c>
      <c r="U197" s="2"/>
      <c r="V197" s="7">
        <f t="shared" si="122"/>
        <v>2.0929475203176368E-5</v>
      </c>
      <c r="W197" s="2"/>
      <c r="X197" s="6">
        <f t="shared" si="123"/>
        <v>-15.11</v>
      </c>
      <c r="Y197" s="2"/>
      <c r="Z197" s="7">
        <f t="shared" si="124"/>
        <v>-0.20146666666666666</v>
      </c>
    </row>
    <row r="198" spans="1:26" s="28" customFormat="1" outlineLevel="1" collapsed="1" x14ac:dyDescent="0.25">
      <c r="A198" s="27"/>
      <c r="B198" s="14" t="str">
        <f>CONCATENATE("     ","Utilities                                         ")</f>
        <v xml:space="preserve">     Utilities                                         </v>
      </c>
      <c r="C198" s="14"/>
      <c r="D198" s="1">
        <f>SUM(OSRRefD22_24x_0)</f>
        <v>6161.01</v>
      </c>
      <c r="E198" s="1"/>
      <c r="F198" s="5">
        <f t="shared" ref="F198:F199" si="125">IF(D$12=0,0,D198/D$12)</f>
        <v>1.6689951562918918E-2</v>
      </c>
      <c r="G198" s="1"/>
      <c r="H198" s="1">
        <f>SUM(OSRRefH22_24x_0)</f>
        <v>6105</v>
      </c>
      <c r="I198" s="1"/>
      <c r="J198" s="5">
        <f t="shared" ref="J198:J199" si="126">IF(H$12=0,0,H198/H$12)</f>
        <v>4.7403337567669141E-3</v>
      </c>
      <c r="K198" s="1"/>
      <c r="L198" s="1">
        <f t="shared" ref="L198:L199" si="127">+D198-H198</f>
        <v>56.010000000000218</v>
      </c>
      <c r="M198" s="1"/>
      <c r="N198" s="5">
        <f t="shared" ref="N198:N199" si="128">IF(H198=0,0,L198/H198)</f>
        <v>9.1744471744472107E-3</v>
      </c>
      <c r="O198" s="14"/>
      <c r="P198" s="1">
        <f>SUM(OSRRefP22_24x_0)</f>
        <v>18482.38</v>
      </c>
      <c r="Q198" s="1"/>
      <c r="R198" s="5">
        <f t="shared" ref="R198:R199" si="129">IF(P$12=0,0,P198/P$12)</f>
        <v>8.42443577097589E-3</v>
      </c>
      <c r="S198" s="1"/>
      <c r="T198" s="1">
        <f>SUM(OSRRefT22_24x_0)</f>
        <v>18315</v>
      </c>
      <c r="U198" s="1"/>
      <c r="V198" s="5">
        <f t="shared" ref="V198:V199" si="130">IF(T$12=0,0,T198/T$12)</f>
        <v>5.1109778446156691E-3</v>
      </c>
      <c r="W198" s="1"/>
      <c r="X198" s="1">
        <f t="shared" ref="X198:X199" si="131">+P198-T198</f>
        <v>167.38000000000102</v>
      </c>
      <c r="Y198" s="1"/>
      <c r="Z198" s="5">
        <f t="shared" ref="Z198:Z199" si="132">IF(T198=0,0,X198/T198)</f>
        <v>9.1389571389571943E-3</v>
      </c>
    </row>
    <row r="199" spans="1:26" s="24" customFormat="1" hidden="1" outlineLevel="2" x14ac:dyDescent="0.25">
      <c r="A199" s="29"/>
      <c r="B199" s="11" t="str">
        <f>CONCATENATE("          ", "6274", " - ", "UTILITIES")</f>
        <v xml:space="preserve">          6274 - UTILITIES</v>
      </c>
      <c r="C199" s="11"/>
      <c r="D199" s="6">
        <v>6161.01</v>
      </c>
      <c r="E199" s="2"/>
      <c r="F199" s="7">
        <f t="shared" si="125"/>
        <v>1.6689951562918918E-2</v>
      </c>
      <c r="G199" s="2"/>
      <c r="H199" s="6">
        <v>6105</v>
      </c>
      <c r="I199" s="2"/>
      <c r="J199" s="7">
        <f t="shared" si="126"/>
        <v>4.7403337567669141E-3</v>
      </c>
      <c r="K199" s="2"/>
      <c r="L199" s="6">
        <f t="shared" si="127"/>
        <v>56.010000000000218</v>
      </c>
      <c r="M199" s="2"/>
      <c r="N199" s="7">
        <f t="shared" si="128"/>
        <v>9.1744471744472107E-3</v>
      </c>
      <c r="O199" s="11"/>
      <c r="P199" s="6">
        <v>18482.38</v>
      </c>
      <c r="Q199" s="2"/>
      <c r="R199" s="7">
        <f t="shared" si="129"/>
        <v>8.42443577097589E-3</v>
      </c>
      <c r="S199" s="2"/>
      <c r="T199" s="6">
        <v>18315</v>
      </c>
      <c r="U199" s="2"/>
      <c r="V199" s="7">
        <f t="shared" si="130"/>
        <v>5.1109778446156691E-3</v>
      </c>
      <c r="W199" s="2"/>
      <c r="X199" s="6">
        <f t="shared" si="131"/>
        <v>167.38000000000102</v>
      </c>
      <c r="Y199" s="2"/>
      <c r="Z199" s="7">
        <f t="shared" si="132"/>
        <v>9.1389571389571943E-3</v>
      </c>
    </row>
    <row r="200" spans="1:26" s="61" customFormat="1" x14ac:dyDescent="0.25">
      <c r="A200" s="36"/>
      <c r="B200" s="36"/>
      <c r="C200" s="36"/>
      <c r="D200" s="1"/>
      <c r="E200" s="1"/>
      <c r="F200" s="5"/>
      <c r="G200" s="1"/>
      <c r="H200" s="1"/>
      <c r="I200" s="1"/>
      <c r="J200" s="5"/>
      <c r="K200" s="1"/>
      <c r="L200" s="1"/>
      <c r="M200" s="1"/>
      <c r="N200" s="5"/>
      <c r="O200" s="36"/>
      <c r="P200" s="1"/>
      <c r="Q200" s="1"/>
      <c r="R200" s="5"/>
      <c r="S200" s="1"/>
      <c r="T200" s="1"/>
      <c r="U200" s="1"/>
      <c r="V200" s="5"/>
      <c r="W200" s="1"/>
      <c r="X200" s="1"/>
      <c r="Y200" s="1"/>
      <c r="Z200" s="5"/>
    </row>
    <row r="201" spans="1:26" s="23" customFormat="1" collapsed="1" x14ac:dyDescent="0.25">
      <c r="A201" s="10"/>
      <c r="B201" s="25" t="s">
        <v>0</v>
      </c>
      <c r="C201" s="10"/>
      <c r="D201" s="4">
        <f>SUM(OSRRefD25x_0)</f>
        <v>166664.99</v>
      </c>
      <c r="E201" s="4"/>
      <c r="F201" s="12">
        <f t="shared" ref="F201:F205" si="133">IF(D$12=0,0,D201/D$12)</f>
        <v>0.45148938410006889</v>
      </c>
      <c r="G201" s="4"/>
      <c r="H201" s="4">
        <f>SUM(OSRRefH25x_0)</f>
        <v>127884</v>
      </c>
      <c r="I201" s="4"/>
      <c r="J201" s="12">
        <f t="shared" ref="J201:J205" si="134">IF(H$12=0,0,H201/H$12)</f>
        <v>9.9297762841995083E-2</v>
      </c>
      <c r="K201" s="4"/>
      <c r="L201" s="4">
        <f t="shared" ref="L201:L205" si="135">+D201-H201</f>
        <v>38780.989999999991</v>
      </c>
      <c r="M201" s="4"/>
      <c r="N201" s="12">
        <f t="shared" ref="N201:N205" si="136">IF(H201=0,0,L201/H201)</f>
        <v>0.30325130587094545</v>
      </c>
      <c r="O201" s="10"/>
      <c r="P201" s="4">
        <f>SUM(OSRRefP25x_0)</f>
        <v>421405.64</v>
      </c>
      <c r="Q201" s="4"/>
      <c r="R201" s="12">
        <f t="shared" ref="R201:R205" si="137">IF(P$12=0,0,P201/P$12)</f>
        <v>0.19208049762568397</v>
      </c>
      <c r="S201" s="4"/>
      <c r="T201" s="4">
        <f>SUM(OSRRefT25x_0)</f>
        <v>198034</v>
      </c>
      <c r="U201" s="4"/>
      <c r="V201" s="12">
        <f t="shared" ref="V201:V205" si="138">IF(T$12=0,0,T201/T$12)</f>
        <v>5.526330256514439E-2</v>
      </c>
      <c r="W201" s="4"/>
      <c r="X201" s="4">
        <f t="shared" ref="X201:X205" si="139">+P201-T201</f>
        <v>223371.64</v>
      </c>
      <c r="Y201" s="4"/>
      <c r="Z201" s="12">
        <f t="shared" ref="Z201:Z205" si="140">IF(T201=0,0,X201/T201)</f>
        <v>1.1279459082783765</v>
      </c>
    </row>
    <row r="202" spans="1:26" s="24" customFormat="1" hidden="1" outlineLevel="1" x14ac:dyDescent="0.25">
      <c r="A202" s="51"/>
      <c r="B202" s="11" t="str">
        <f>CONCATENATE("          ", "9150", " - ", "MISC. INCOME")</f>
        <v xml:space="preserve">          9150 - MISC. INCOME</v>
      </c>
      <c r="C202" s="11"/>
      <c r="D202" s="2">
        <f>--18837.05</f>
        <v>18837.05</v>
      </c>
      <c r="E202" s="2"/>
      <c r="F202" s="22">
        <f t="shared" si="133"/>
        <v>5.1028881967125808E-2</v>
      </c>
      <c r="G202" s="2"/>
      <c r="H202" s="2">
        <v>20650</v>
      </c>
      <c r="I202" s="2"/>
      <c r="J202" s="22">
        <f t="shared" si="134"/>
        <v>1.6034052756304141E-2</v>
      </c>
      <c r="K202" s="2"/>
      <c r="L202" s="2">
        <f t="shared" si="135"/>
        <v>-1812.9500000000007</v>
      </c>
      <c r="M202" s="2"/>
      <c r="N202" s="22">
        <f t="shared" si="136"/>
        <v>-8.7794188861985506E-2</v>
      </c>
      <c r="O202" s="11"/>
      <c r="P202" s="2">
        <f>--111367.41</f>
        <v>111367.41</v>
      </c>
      <c r="Q202" s="2"/>
      <c r="R202" s="22">
        <f t="shared" si="137"/>
        <v>5.076227155403893E-2</v>
      </c>
      <c r="S202" s="2"/>
      <c r="T202" s="2">
        <v>60250</v>
      </c>
      <c r="U202" s="2"/>
      <c r="V202" s="22">
        <f t="shared" si="138"/>
        <v>1.6813345079885016E-2</v>
      </c>
      <c r="W202" s="2"/>
      <c r="X202" s="2">
        <f t="shared" si="139"/>
        <v>51117.41</v>
      </c>
      <c r="Y202" s="2"/>
      <c r="Z202" s="22">
        <f t="shared" si="140"/>
        <v>0.84842174273858928</v>
      </c>
    </row>
    <row r="203" spans="1:26" s="24" customFormat="1" hidden="1" outlineLevel="1" x14ac:dyDescent="0.25">
      <c r="A203" s="51"/>
      <c r="B203" s="11" t="str">
        <f>CONCATENATE("          ", "9151", " - ", "MISC. INCOME")</f>
        <v xml:space="preserve">          9151 - MISC. INCOME</v>
      </c>
      <c r="C203" s="11"/>
      <c r="D203" s="2">
        <f>--147285.39</f>
        <v>147285.39000000001</v>
      </c>
      <c r="E203" s="2"/>
      <c r="F203" s="22">
        <f t="shared" si="133"/>
        <v>0.39899075395521549</v>
      </c>
      <c r="G203" s="2"/>
      <c r="H203" s="2">
        <v>107234</v>
      </c>
      <c r="I203" s="2"/>
      <c r="J203" s="22">
        <f t="shared" si="134"/>
        <v>8.3263710085690945E-2</v>
      </c>
      <c r="K203" s="2"/>
      <c r="L203" s="2">
        <f t="shared" si="135"/>
        <v>40051.390000000014</v>
      </c>
      <c r="M203" s="2"/>
      <c r="N203" s="22">
        <f t="shared" si="136"/>
        <v>0.37349525337113243</v>
      </c>
      <c r="O203" s="11"/>
      <c r="P203" s="2">
        <f>--147285.39</f>
        <v>147285.39000000001</v>
      </c>
      <c r="Q203" s="2"/>
      <c r="R203" s="22">
        <f t="shared" si="137"/>
        <v>6.7134011315541336E-2</v>
      </c>
      <c r="S203" s="2"/>
      <c r="T203" s="2">
        <v>137784</v>
      </c>
      <c r="U203" s="2"/>
      <c r="V203" s="22">
        <f t="shared" si="138"/>
        <v>3.8449957485259367E-2</v>
      </c>
      <c r="W203" s="2"/>
      <c r="X203" s="2">
        <f t="shared" si="139"/>
        <v>9501.390000000014</v>
      </c>
      <c r="Y203" s="2"/>
      <c r="Z203" s="22">
        <f t="shared" si="140"/>
        <v>6.8958587354119597E-2</v>
      </c>
    </row>
    <row r="204" spans="1:26" s="24" customFormat="1" hidden="1" outlineLevel="1" x14ac:dyDescent="0.25">
      <c r="A204" s="51"/>
      <c r="B204" s="11" t="str">
        <f>CONCATENATE("          ", "9152", " - ", "MISC. INCOME")</f>
        <v xml:space="preserve">          9152 - MISC. INCOME</v>
      </c>
      <c r="C204" s="11"/>
      <c r="D204" s="2">
        <f>--542.55</f>
        <v>542.54999999999995</v>
      </c>
      <c r="E204" s="2"/>
      <c r="F204" s="22">
        <f t="shared" si="133"/>
        <v>1.4697481777276222E-3</v>
      </c>
      <c r="G204" s="2"/>
      <c r="H204" s="2"/>
      <c r="I204" s="2"/>
      <c r="J204" s="22">
        <f t="shared" si="134"/>
        <v>0</v>
      </c>
      <c r="K204" s="2"/>
      <c r="L204" s="2">
        <f t="shared" si="135"/>
        <v>542.54999999999995</v>
      </c>
      <c r="M204" s="2"/>
      <c r="N204" s="22">
        <f t="shared" si="136"/>
        <v>0</v>
      </c>
      <c r="O204" s="11"/>
      <c r="P204" s="2">
        <f>--2088.94</f>
        <v>2088.94</v>
      </c>
      <c r="Q204" s="2"/>
      <c r="R204" s="22">
        <f t="shared" si="137"/>
        <v>9.5215772316240531E-4</v>
      </c>
      <c r="S204" s="2"/>
      <c r="T204" s="2"/>
      <c r="U204" s="2"/>
      <c r="V204" s="22">
        <f t="shared" si="138"/>
        <v>0</v>
      </c>
      <c r="W204" s="2"/>
      <c r="X204" s="2">
        <f t="shared" si="139"/>
        <v>2088.94</v>
      </c>
      <c r="Y204" s="2"/>
      <c r="Z204" s="22">
        <f t="shared" si="140"/>
        <v>0</v>
      </c>
    </row>
    <row r="205" spans="1:26" s="24" customFormat="1" hidden="1" outlineLevel="1" x14ac:dyDescent="0.25">
      <c r="A205" s="51"/>
      <c r="B205" s="11" t="str">
        <f>CONCATENATE("          ", "9163", " - ", "MISC. INCOME")</f>
        <v xml:space="preserve">          9163 - MISC. INCOME</v>
      </c>
      <c r="C205" s="11"/>
      <c r="D205" s="2">
        <f>0</f>
        <v>0</v>
      </c>
      <c r="E205" s="2"/>
      <c r="F205" s="22">
        <f t="shared" si="133"/>
        <v>0</v>
      </c>
      <c r="G205" s="2"/>
      <c r="H205" s="2"/>
      <c r="I205" s="2"/>
      <c r="J205" s="22">
        <f t="shared" si="134"/>
        <v>0</v>
      </c>
      <c r="K205" s="2"/>
      <c r="L205" s="2">
        <f t="shared" si="135"/>
        <v>0</v>
      </c>
      <c r="M205" s="2"/>
      <c r="N205" s="22">
        <f t="shared" si="136"/>
        <v>0</v>
      </c>
      <c r="O205" s="11"/>
      <c r="P205" s="2">
        <f>--160663.9</f>
        <v>160663.9</v>
      </c>
      <c r="Q205" s="2"/>
      <c r="R205" s="22">
        <f t="shared" si="137"/>
        <v>7.3232057032941278E-2</v>
      </c>
      <c r="S205" s="2"/>
      <c r="T205" s="2"/>
      <c r="U205" s="2"/>
      <c r="V205" s="22">
        <f t="shared" si="138"/>
        <v>0</v>
      </c>
      <c r="W205" s="2"/>
      <c r="X205" s="2">
        <f t="shared" si="139"/>
        <v>160663.9</v>
      </c>
      <c r="Y205" s="2"/>
      <c r="Z205" s="22">
        <f t="shared" si="140"/>
        <v>0</v>
      </c>
    </row>
    <row r="206" spans="1:26" x14ac:dyDescent="0.25">
      <c r="A206" s="9"/>
      <c r="B206" s="10"/>
      <c r="C206" s="10"/>
      <c r="D206" s="3"/>
      <c r="E206" s="3"/>
      <c r="F206" s="8"/>
      <c r="G206" s="3"/>
      <c r="H206" s="3"/>
      <c r="I206" s="3"/>
      <c r="J206" s="8"/>
      <c r="K206" s="3"/>
      <c r="L206" s="3"/>
      <c r="M206" s="3"/>
      <c r="N206" s="8"/>
      <c r="O206" s="10"/>
      <c r="P206" s="3"/>
      <c r="Q206" s="3"/>
      <c r="R206" s="8"/>
      <c r="S206" s="3"/>
      <c r="T206" s="3"/>
      <c r="U206" s="3"/>
      <c r="V206" s="8"/>
      <c r="W206" s="3"/>
      <c r="X206" s="3"/>
      <c r="Y206" s="3"/>
      <c r="Z206" s="8"/>
    </row>
    <row r="207" spans="1:26" s="23" customFormat="1" x14ac:dyDescent="0.25">
      <c r="A207" s="10"/>
      <c r="B207" s="26" t="s">
        <v>3</v>
      </c>
      <c r="C207" s="26"/>
      <c r="D207" s="20">
        <f>+D102-D104+D201</f>
        <v>44869.320000000007</v>
      </c>
      <c r="E207" s="13"/>
      <c r="F207" s="21">
        <f>IF(D$12=0,0,D207/D$12)</f>
        <v>0.12154935269722157</v>
      </c>
      <c r="G207" s="13"/>
      <c r="H207" s="20">
        <f>+H102-H104+H201</f>
        <v>185806.51938788459</v>
      </c>
      <c r="I207" s="13"/>
      <c r="J207" s="21">
        <f>IF(H$12=0,0,H207/H$12)</f>
        <v>0.14427271352690504</v>
      </c>
      <c r="K207" s="16"/>
      <c r="L207" s="20">
        <f>+D207-H207</f>
        <v>-140937.19938788458</v>
      </c>
      <c r="M207" s="16"/>
      <c r="N207" s="21">
        <f>IF(H207=0,0,L207/H207)</f>
        <v>-0.75851590058402607</v>
      </c>
      <c r="O207" s="25"/>
      <c r="P207" s="20">
        <f>+P102-P104+P201</f>
        <v>359059.29999999958</v>
      </c>
      <c r="Q207" s="13"/>
      <c r="R207" s="21">
        <f>IF(P$12=0,0,P207/P$12)</f>
        <v>0.16366247262644529</v>
      </c>
      <c r="S207" s="13"/>
      <c r="T207" s="20">
        <f>+T102-T104+T201</f>
        <v>268098.86567662493</v>
      </c>
      <c r="U207" s="13"/>
      <c r="V207" s="21">
        <f>IF(T$12=0,0,T207/T$12)</f>
        <v>7.4815580815715113E-2</v>
      </c>
      <c r="W207" s="16"/>
      <c r="X207" s="20">
        <f>+P207-T207</f>
        <v>90960.434323374648</v>
      </c>
      <c r="Y207" s="16"/>
      <c r="Z207" s="21">
        <f>IF(T207=0,0,X207/T207)</f>
        <v>0.33927944489362055</v>
      </c>
    </row>
    <row r="208" spans="1:26" x14ac:dyDescent="0.25">
      <c r="A208" s="9"/>
      <c r="B208" s="10"/>
      <c r="C208" s="9"/>
      <c r="D208" s="3"/>
      <c r="E208" s="3"/>
      <c r="F208" s="8"/>
      <c r="G208" s="3"/>
      <c r="H208" s="3"/>
      <c r="I208" s="3"/>
      <c r="J208" s="8"/>
      <c r="K208" s="3"/>
      <c r="L208" s="3"/>
      <c r="M208" s="3"/>
      <c r="N208" s="8"/>
      <c r="P208" s="3"/>
      <c r="Q208" s="3"/>
      <c r="R208" s="8"/>
      <c r="S208" s="3"/>
      <c r="T208" s="3"/>
      <c r="U208" s="3"/>
      <c r="V208" s="8"/>
      <c r="W208" s="3"/>
      <c r="X208" s="3"/>
      <c r="Y208" s="3"/>
      <c r="Z208" s="8"/>
    </row>
    <row r="209" spans="1:26" s="23" customFormat="1" x14ac:dyDescent="0.25">
      <c r="A209" s="52"/>
      <c r="B209" s="10" t="s">
        <v>14</v>
      </c>
      <c r="C209" s="10"/>
      <c r="D209" s="4">
        <v>98345.279999999999</v>
      </c>
      <c r="E209" s="4"/>
      <c r="F209" s="12">
        <f>IF(D$12=0,0,D209/D$12)</f>
        <v>0.26641377950071471</v>
      </c>
      <c r="G209" s="4"/>
      <c r="H209" s="4">
        <v>142923</v>
      </c>
      <c r="I209" s="4"/>
      <c r="J209" s="12">
        <f>IF(H$12=0,0,H209/H$12)</f>
        <v>0.11097505675977029</v>
      </c>
      <c r="K209" s="4"/>
      <c r="L209" s="4">
        <f>+D209-H209</f>
        <v>-44577.72</v>
      </c>
      <c r="M209" s="4"/>
      <c r="N209" s="12">
        <f>IF(H209=0,0,L209/H209)</f>
        <v>-0.31190025398291388</v>
      </c>
      <c r="O209" s="10"/>
      <c r="P209" s="4">
        <v>406431.15</v>
      </c>
      <c r="Q209" s="4"/>
      <c r="R209" s="12">
        <f>IF(P$12=0,0,P209/P$12)</f>
        <v>0.18525498980644636</v>
      </c>
      <c r="S209" s="4"/>
      <c r="T209" s="4">
        <v>520172</v>
      </c>
      <c r="U209" s="4"/>
      <c r="V209" s="12">
        <f>IF(T$12=0,0,T209/T$12)</f>
        <v>0.14515902633848876</v>
      </c>
      <c r="W209" s="4"/>
      <c r="X209" s="4">
        <f>+P209-T209</f>
        <v>-113740.84999999998</v>
      </c>
      <c r="Y209" s="4"/>
      <c r="Z209" s="12">
        <f>IF(T209=0,0,X209/T209)</f>
        <v>-0.21866007782041319</v>
      </c>
    </row>
    <row r="210" spans="1:26" x14ac:dyDescent="0.25">
      <c r="A210" s="9"/>
      <c r="B210" s="10"/>
      <c r="C210" s="10"/>
      <c r="D210" s="3"/>
      <c r="E210" s="3"/>
      <c r="F210" s="8"/>
      <c r="G210" s="3"/>
      <c r="H210" s="3"/>
      <c r="I210" s="3"/>
      <c r="J210" s="8"/>
      <c r="K210" s="3"/>
      <c r="L210" s="3"/>
      <c r="M210" s="3"/>
      <c r="N210" s="8"/>
      <c r="O210" s="10"/>
      <c r="P210" s="3"/>
      <c r="Q210" s="3"/>
      <c r="R210" s="8"/>
      <c r="S210" s="3"/>
      <c r="T210" s="3"/>
      <c r="U210" s="3"/>
      <c r="V210" s="8"/>
      <c r="W210" s="3"/>
      <c r="X210" s="3"/>
      <c r="Y210" s="3"/>
      <c r="Z210" s="8"/>
    </row>
    <row r="211" spans="1:26" s="23" customFormat="1" ht="15.75" thickBot="1" x14ac:dyDescent="0.3">
      <c r="A211" s="10"/>
      <c r="B211" s="26" t="s">
        <v>4</v>
      </c>
      <c r="C211" s="26"/>
      <c r="D211" s="33">
        <f>+D207-D209</f>
        <v>-53475.959999999992</v>
      </c>
      <c r="E211" s="13"/>
      <c r="F211" s="34">
        <f>IF(D$12=0,0,D211/D$12)</f>
        <v>-0.14486442680349315</v>
      </c>
      <c r="G211" s="13"/>
      <c r="H211" s="33">
        <f>+H207-H209</f>
        <v>42883.519387884589</v>
      </c>
      <c r="I211" s="13"/>
      <c r="J211" s="34">
        <f>IF(H$12=0,0,H211/H$12)</f>
        <v>3.3297656767134767E-2</v>
      </c>
      <c r="K211" s="16"/>
      <c r="L211" s="33">
        <f>D211-H211</f>
        <v>-96359.479387884581</v>
      </c>
      <c r="M211" s="16"/>
      <c r="N211" s="34">
        <f>IF(H211=0,0,L211/H211)</f>
        <v>-2.2470049278443311</v>
      </c>
      <c r="O211" s="25"/>
      <c r="P211" s="33">
        <f>+P207-P209</f>
        <v>-47371.850000000442</v>
      </c>
      <c r="Q211" s="13"/>
      <c r="R211" s="34">
        <f>IF(P$12=0,0,P211/P$12)</f>
        <v>-2.1592517180001058E-2</v>
      </c>
      <c r="S211" s="13"/>
      <c r="T211" s="33">
        <f>+T207-T209</f>
        <v>-252073.13432337507</v>
      </c>
      <c r="U211" s="13"/>
      <c r="V211" s="34">
        <f>IF(T$12=0,0,T211/T$12)</f>
        <v>-7.0343445522773662E-2</v>
      </c>
      <c r="W211" s="16"/>
      <c r="X211" s="33">
        <f>P211-T211</f>
        <v>204701.28432337462</v>
      </c>
      <c r="Y211" s="16"/>
      <c r="Z211" s="34">
        <f>IF(T211=0,0,X211/T211)</f>
        <v>-0.8120710081732514</v>
      </c>
    </row>
    <row r="212" spans="1:26" ht="15.75" thickTop="1" x14ac:dyDescent="0.25">
      <c r="A212" s="9"/>
      <c r="B212" s="9"/>
      <c r="C212" s="9"/>
      <c r="D212" s="3"/>
      <c r="E212" s="3"/>
      <c r="F212" s="8"/>
      <c r="G212" s="3"/>
      <c r="H212" s="3"/>
      <c r="I212" s="3"/>
      <c r="J212" s="8"/>
      <c r="K212" s="3"/>
      <c r="L212" s="3"/>
      <c r="M212" s="3"/>
      <c r="N212" s="8"/>
      <c r="P212" s="3"/>
      <c r="Q212" s="3"/>
      <c r="R212" s="8"/>
      <c r="S212" s="3"/>
      <c r="T212" s="3"/>
      <c r="U212" s="3"/>
      <c r="V212" s="8"/>
      <c r="W212" s="3"/>
      <c r="X212" s="3"/>
      <c r="Y212" s="3"/>
      <c r="Z212" s="8"/>
    </row>
    <row r="213" spans="1:26" x14ac:dyDescent="0.25">
      <c r="A213" s="9"/>
      <c r="B213" s="9"/>
      <c r="C213" s="9"/>
      <c r="D213" s="3"/>
      <c r="E213" s="3"/>
      <c r="F213" s="8"/>
      <c r="G213" s="3"/>
      <c r="H213" s="3"/>
      <c r="I213" s="3"/>
      <c r="J213" s="8"/>
      <c r="K213" s="3"/>
      <c r="L213" s="3"/>
      <c r="M213" s="3"/>
      <c r="N213" s="8"/>
      <c r="P213" s="3"/>
      <c r="Q213" s="3"/>
      <c r="R213" s="8"/>
      <c r="S213" s="3"/>
      <c r="T213" s="3"/>
      <c r="U213" s="3"/>
      <c r="V213" s="8"/>
      <c r="W213" s="3"/>
      <c r="X213" s="3"/>
      <c r="Y213" s="3"/>
      <c r="Z213" s="8"/>
    </row>
    <row r="214" spans="1:26" s="23" customFormat="1" ht="15.75" thickBot="1" x14ac:dyDescent="0.3">
      <c r="A214" s="10"/>
      <c r="B214" s="26" t="s">
        <v>5</v>
      </c>
      <c r="C214" s="26"/>
      <c r="D214" s="31">
        <f>SUM(D211:D213)</f>
        <v>-53475.959999999992</v>
      </c>
      <c r="E214" s="13"/>
      <c r="F214" s="32">
        <f>IF(D$12=0,0,D214/D$12)</f>
        <v>-0.14486442680349315</v>
      </c>
      <c r="G214" s="13"/>
      <c r="H214" s="31">
        <f>SUM(H211:H213)</f>
        <v>42883.519387884589</v>
      </c>
      <c r="I214" s="13"/>
      <c r="J214" s="32">
        <f>IF(H$12=0,0,H214/H$12)</f>
        <v>3.3297656767134767E-2</v>
      </c>
      <c r="K214" s="16"/>
      <c r="L214" s="31">
        <f>+D214-H214</f>
        <v>-96359.479387884581</v>
      </c>
      <c r="M214" s="16"/>
      <c r="N214" s="32">
        <f>IF(H214=0,0,L214/H214)</f>
        <v>-2.2470049278443311</v>
      </c>
      <c r="O214" s="25"/>
      <c r="P214" s="31">
        <f>SUM(P211:P213)</f>
        <v>-47371.850000000442</v>
      </c>
      <c r="Q214" s="13"/>
      <c r="R214" s="32">
        <f>IF(P$12=0,0,P214/P$12)</f>
        <v>-2.1592517180001058E-2</v>
      </c>
      <c r="S214" s="13"/>
      <c r="T214" s="31">
        <f>SUM(T211:T213)</f>
        <v>-252073.13432337507</v>
      </c>
      <c r="U214" s="13"/>
      <c r="V214" s="32">
        <f>IF(T$12=0,0,T214/T$12)</f>
        <v>-7.0343445522773662E-2</v>
      </c>
      <c r="W214" s="16"/>
      <c r="X214" s="31">
        <f>+P214-T214</f>
        <v>204701.28432337462</v>
      </c>
      <c r="Y214" s="16"/>
      <c r="Z214" s="32">
        <f>IF(T214=0,0,X214/T214)</f>
        <v>-0.8120710081732514</v>
      </c>
    </row>
    <row r="215" spans="1:26" ht="15.75" thickTop="1" x14ac:dyDescent="0.25">
      <c r="A215" s="9"/>
      <c r="C215" s="9"/>
      <c r="D215" s="17"/>
      <c r="E215" s="17"/>
      <c r="G215" s="17"/>
      <c r="H215" s="17"/>
      <c r="I215" s="17"/>
      <c r="J215" s="43"/>
      <c r="K215" s="17"/>
      <c r="L215" s="17"/>
      <c r="M215" s="17"/>
      <c r="P215" s="17"/>
      <c r="Q215" s="17"/>
      <c r="R215" s="43"/>
      <c r="S215" s="17"/>
      <c r="T215" s="17"/>
      <c r="U215" s="17"/>
      <c r="V215" s="43"/>
      <c r="W215" s="17"/>
      <c r="X215" s="17"/>
    </row>
    <row r="216" spans="1:26" x14ac:dyDescent="0.25">
      <c r="A216" s="9"/>
      <c r="B216" s="55">
        <v>44123.571437928244</v>
      </c>
      <c r="D216" s="17"/>
      <c r="E216" s="17"/>
      <c r="G216" s="17"/>
      <c r="H216" s="17"/>
      <c r="I216" s="17"/>
      <c r="J216" s="43"/>
      <c r="K216" s="17"/>
      <c r="L216" s="17"/>
      <c r="M216" s="17"/>
      <c r="P216" s="17"/>
      <c r="Q216" s="17"/>
      <c r="R216" s="43"/>
      <c r="S216" s="17"/>
      <c r="T216" s="17"/>
      <c r="U216" s="17"/>
      <c r="V216" s="43"/>
      <c r="W216" s="17"/>
      <c r="X216" s="17"/>
    </row>
    <row r="217" spans="1:26" x14ac:dyDescent="0.25">
      <c r="A217" s="9"/>
      <c r="B217" s="53" t="s">
        <v>314</v>
      </c>
      <c r="D217" s="17"/>
      <c r="E217" s="17"/>
      <c r="G217" s="17"/>
      <c r="H217" s="17"/>
      <c r="I217" s="17"/>
      <c r="J217" s="43"/>
      <c r="K217" s="17"/>
      <c r="L217" s="17"/>
      <c r="M217" s="17"/>
      <c r="P217" s="17"/>
      <c r="Q217" s="17"/>
      <c r="R217" s="43"/>
      <c r="S217" s="17"/>
      <c r="T217" s="17"/>
      <c r="U217" s="17"/>
      <c r="V217" s="43"/>
      <c r="W217" s="17"/>
      <c r="X217" s="17"/>
    </row>
    <row r="218" spans="1:26" x14ac:dyDescent="0.25">
      <c r="A218" s="9"/>
      <c r="B218" s="62"/>
      <c r="D218" s="17"/>
      <c r="E218" s="17"/>
      <c r="G218" s="17"/>
      <c r="H218" s="17"/>
      <c r="I218" s="17"/>
      <c r="J218" s="43"/>
      <c r="K218" s="17"/>
      <c r="L218" s="17"/>
      <c r="M218" s="17"/>
      <c r="P218" s="17"/>
      <c r="Q218" s="17"/>
      <c r="R218" s="43"/>
      <c r="S218" s="17"/>
      <c r="T218" s="17"/>
      <c r="U218" s="17"/>
      <c r="V218" s="43"/>
      <c r="W218" s="17"/>
      <c r="X218" s="17"/>
    </row>
    <row r="219" spans="1:26" x14ac:dyDescent="0.25">
      <c r="D219" s="17"/>
      <c r="E219" s="17"/>
      <c r="G219" s="17"/>
      <c r="H219" s="17"/>
      <c r="I219" s="17"/>
      <c r="J219" s="43"/>
      <c r="K219" s="17"/>
      <c r="L219" s="17"/>
      <c r="M219" s="17"/>
      <c r="P219" s="17"/>
      <c r="Q219" s="17"/>
      <c r="R219" s="43"/>
      <c r="S219" s="17"/>
      <c r="T219" s="17"/>
      <c r="U219" s="17"/>
      <c r="V219" s="43"/>
      <c r="W219" s="17"/>
      <c r="X219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297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4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312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632791.41000000027</v>
      </c>
      <c r="E12" s="4"/>
      <c r="F12" s="12"/>
      <c r="G12" s="4"/>
      <c r="H12" s="4">
        <f>SUM(OSRRefH13x_0)</f>
        <v>1576178</v>
      </c>
      <c r="I12" s="4"/>
      <c r="J12" s="12"/>
      <c r="K12" s="4"/>
      <c r="L12" s="4">
        <f t="shared" ref="L12:L86" si="0">+D12-H12</f>
        <v>-943386.58999999973</v>
      </c>
      <c r="M12" s="4"/>
      <c r="N12" s="12">
        <f t="shared" ref="N12:N86" si="1">IF(H12=0,0,L12/H12)</f>
        <v>-0.5985279517922466</v>
      </c>
      <c r="O12" s="10"/>
      <c r="P12" s="4">
        <f>SUM(OSRRefP13x_0)</f>
        <v>3157185.959999999</v>
      </c>
      <c r="Q12" s="4"/>
      <c r="R12" s="12"/>
      <c r="S12" s="4"/>
      <c r="T12" s="4">
        <f>SUM(OSRRefT13x_0)</f>
        <v>4656424</v>
      </c>
      <c r="U12" s="4"/>
      <c r="V12" s="12"/>
      <c r="W12" s="4"/>
      <c r="X12" s="4">
        <f t="shared" ref="X12:X86" si="2">+P12-T12</f>
        <v>-1499238.040000001</v>
      </c>
      <c r="Y12" s="4"/>
      <c r="Z12" s="12">
        <f t="shared" ref="Z12:Z86" si="3">IF(T12=0,0,X12/T12)</f>
        <v>-0.32197197677874717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-8672.74</f>
        <v>-8672.74</v>
      </c>
      <c r="E13" s="2"/>
      <c r="F13" s="22"/>
      <c r="G13" s="2"/>
      <c r="H13" s="2">
        <v>1542405</v>
      </c>
      <c r="I13" s="2"/>
      <c r="J13" s="22"/>
      <c r="K13" s="2"/>
      <c r="L13" s="2">
        <f t="shared" si="0"/>
        <v>-1551077.74</v>
      </c>
      <c r="M13" s="2"/>
      <c r="N13" s="22">
        <f t="shared" si="1"/>
        <v>-1.0056228681831296</v>
      </c>
      <c r="O13" s="11"/>
      <c r="P13" s="2">
        <f>-37800.78</f>
        <v>-37800.78</v>
      </c>
      <c r="Q13" s="2"/>
      <c r="R13" s="22"/>
      <c r="S13" s="2"/>
      <c r="T13" s="2">
        <v>4579283</v>
      </c>
      <c r="U13" s="2"/>
      <c r="V13" s="22"/>
      <c r="W13" s="2"/>
      <c r="X13" s="2">
        <f t="shared" si="2"/>
        <v>-4617083.78</v>
      </c>
      <c r="Y13" s="2"/>
      <c r="Z13" s="22">
        <f t="shared" si="3"/>
        <v>-1.008254737695836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--110499.32</f>
        <v>110499.32</v>
      </c>
      <c r="E14" s="2"/>
      <c r="F14" s="22"/>
      <c r="G14" s="2"/>
      <c r="H14" s="2"/>
      <c r="I14" s="2"/>
      <c r="J14" s="22"/>
      <c r="K14" s="2"/>
      <c r="L14" s="2">
        <f t="shared" si="0"/>
        <v>110499.32</v>
      </c>
      <c r="M14" s="2"/>
      <c r="N14" s="22">
        <f t="shared" si="1"/>
        <v>0</v>
      </c>
      <c r="O14" s="11"/>
      <c r="P14" s="2">
        <f>--694696.64</f>
        <v>694696.64</v>
      </c>
      <c r="Q14" s="2"/>
      <c r="R14" s="22"/>
      <c r="S14" s="2"/>
      <c r="T14" s="2"/>
      <c r="U14" s="2"/>
      <c r="V14" s="22"/>
      <c r="W14" s="2"/>
      <c r="X14" s="2">
        <f t="shared" si="2"/>
        <v>694696.64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--38043.74</f>
        <v>38043.74</v>
      </c>
      <c r="E15" s="2"/>
      <c r="F15" s="22"/>
      <c r="G15" s="2"/>
      <c r="H15" s="2"/>
      <c r="I15" s="2"/>
      <c r="J15" s="22"/>
      <c r="K15" s="2"/>
      <c r="L15" s="2">
        <f t="shared" si="0"/>
        <v>38043.74</v>
      </c>
      <c r="M15" s="2"/>
      <c r="N15" s="22">
        <f t="shared" si="1"/>
        <v>0</v>
      </c>
      <c r="O15" s="11"/>
      <c r="P15" s="2">
        <f>--316655.9</f>
        <v>316655.90000000002</v>
      </c>
      <c r="Q15" s="2"/>
      <c r="R15" s="22"/>
      <c r="S15" s="2"/>
      <c r="T15" s="2"/>
      <c r="U15" s="2"/>
      <c r="V15" s="22"/>
      <c r="W15" s="2"/>
      <c r="X15" s="2">
        <f t="shared" si="2"/>
        <v>316655.90000000002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22"/>
      <c r="G16" s="2"/>
      <c r="H16" s="2"/>
      <c r="I16" s="2"/>
      <c r="J16" s="22"/>
      <c r="K16" s="2"/>
      <c r="L16" s="2">
        <f t="shared" si="0"/>
        <v>1539.79</v>
      </c>
      <c r="M16" s="2"/>
      <c r="N16" s="22">
        <f t="shared" si="1"/>
        <v>0</v>
      </c>
      <c r="O16" s="11"/>
      <c r="P16" s="2">
        <f>--10595.63</f>
        <v>10595.63</v>
      </c>
      <c r="Q16" s="2"/>
      <c r="R16" s="22"/>
      <c r="S16" s="2"/>
      <c r="T16" s="2"/>
      <c r="U16" s="2"/>
      <c r="V16" s="22"/>
      <c r="W16" s="2"/>
      <c r="X16" s="2">
        <f t="shared" si="2"/>
        <v>10595.63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22"/>
      <c r="G17" s="2"/>
      <c r="H17" s="2"/>
      <c r="I17" s="2"/>
      <c r="J17" s="22"/>
      <c r="K17" s="2"/>
      <c r="L17" s="2">
        <f t="shared" si="0"/>
        <v>284.22000000000003</v>
      </c>
      <c r="M17" s="2"/>
      <c r="N17" s="22">
        <f t="shared" si="1"/>
        <v>0</v>
      </c>
      <c r="O17" s="11"/>
      <c r="P17" s="2">
        <f>--2105.11</f>
        <v>2105.11</v>
      </c>
      <c r="Q17" s="2"/>
      <c r="R17" s="22"/>
      <c r="S17" s="2"/>
      <c r="T17" s="2"/>
      <c r="U17" s="2"/>
      <c r="V17" s="22"/>
      <c r="W17" s="2"/>
      <c r="X17" s="2">
        <f t="shared" si="2"/>
        <v>2105.11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--39.9</f>
        <v>39.9</v>
      </c>
      <c r="Q18" s="2"/>
      <c r="R18" s="22"/>
      <c r="S18" s="2"/>
      <c r="T18" s="2"/>
      <c r="U18" s="2"/>
      <c r="V18" s="22"/>
      <c r="W18" s="2"/>
      <c r="X18" s="2">
        <f t="shared" si="2"/>
        <v>39.9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--97.51</f>
        <v>97.51</v>
      </c>
      <c r="E19" s="2"/>
      <c r="F19" s="22"/>
      <c r="G19" s="2"/>
      <c r="H19" s="2"/>
      <c r="I19" s="2"/>
      <c r="J19" s="22"/>
      <c r="K19" s="2"/>
      <c r="L19" s="2">
        <f t="shared" si="0"/>
        <v>97.51</v>
      </c>
      <c r="M19" s="2"/>
      <c r="N19" s="22">
        <f t="shared" si="1"/>
        <v>0</v>
      </c>
      <c r="O19" s="11"/>
      <c r="P19" s="2">
        <f>--304.44</f>
        <v>304.44</v>
      </c>
      <c r="Q19" s="2"/>
      <c r="R19" s="22"/>
      <c r="S19" s="2"/>
      <c r="T19" s="2"/>
      <c r="U19" s="2"/>
      <c r="V19" s="22"/>
      <c r="W19" s="2"/>
      <c r="X19" s="2">
        <f t="shared" si="2"/>
        <v>304.44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--48.87</f>
        <v>48.87</v>
      </c>
      <c r="E20" s="2"/>
      <c r="F20" s="22"/>
      <c r="G20" s="2"/>
      <c r="H20" s="2"/>
      <c r="I20" s="2"/>
      <c r="J20" s="22"/>
      <c r="K20" s="2"/>
      <c r="L20" s="2">
        <f t="shared" si="0"/>
        <v>48.87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>--21.47</f>
        <v>21.47</v>
      </c>
      <c r="E21" s="2"/>
      <c r="F21" s="22"/>
      <c r="G21" s="2"/>
      <c r="H21" s="2"/>
      <c r="I21" s="2"/>
      <c r="J21" s="22"/>
      <c r="K21" s="2"/>
      <c r="L21" s="2">
        <f t="shared" si="0"/>
        <v>21.47</v>
      </c>
      <c r="M21" s="2"/>
      <c r="N21" s="22">
        <f t="shared" si="1"/>
        <v>0</v>
      </c>
      <c r="O21" s="11"/>
      <c r="P21" s="2">
        <f>--258.03</f>
        <v>258.02999999999997</v>
      </c>
      <c r="Q21" s="2"/>
      <c r="R21" s="22"/>
      <c r="S21" s="2"/>
      <c r="T21" s="2"/>
      <c r="U21" s="2"/>
      <c r="V21" s="22"/>
      <c r="W21" s="2"/>
      <c r="X21" s="2">
        <f t="shared" si="2"/>
        <v>258.02999999999997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>--10773.55</f>
        <v>10773.55</v>
      </c>
      <c r="E22" s="2"/>
      <c r="F22" s="22"/>
      <c r="G22" s="2"/>
      <c r="H22" s="2"/>
      <c r="I22" s="2"/>
      <c r="J22" s="22"/>
      <c r="K22" s="2"/>
      <c r="L22" s="2">
        <f t="shared" si="0"/>
        <v>10773.55</v>
      </c>
      <c r="M22" s="2"/>
      <c r="N22" s="22">
        <f t="shared" si="1"/>
        <v>0</v>
      </c>
      <c r="O22" s="11"/>
      <c r="P22" s="2">
        <f>--32674.61</f>
        <v>32674.61</v>
      </c>
      <c r="Q22" s="2"/>
      <c r="R22" s="22"/>
      <c r="S22" s="2"/>
      <c r="T22" s="2"/>
      <c r="U22" s="2"/>
      <c r="V22" s="22"/>
      <c r="W22" s="2"/>
      <c r="X22" s="2">
        <f t="shared" si="2"/>
        <v>32674.61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"4028", " - ", "TAXABLE SALES-ART/TECH")</f>
        <v xml:space="preserve">          4028 - TAXABLE SALES-ART/TECH</v>
      </c>
      <c r="C23" s="11"/>
      <c r="D23" s="2">
        <f>--2807.8</f>
        <v>2807.8</v>
      </c>
      <c r="E23" s="2"/>
      <c r="F23" s="22"/>
      <c r="G23" s="2"/>
      <c r="H23" s="2"/>
      <c r="I23" s="2"/>
      <c r="J23" s="22"/>
      <c r="K23" s="2"/>
      <c r="L23" s="2">
        <f t="shared" si="0"/>
        <v>2807.8</v>
      </c>
      <c r="M23" s="2"/>
      <c r="N23" s="22">
        <f t="shared" si="1"/>
        <v>0</v>
      </c>
      <c r="O23" s="11"/>
      <c r="P23" s="2">
        <f>--12498.9</f>
        <v>12498.9</v>
      </c>
      <c r="Q23" s="2"/>
      <c r="R23" s="22"/>
      <c r="S23" s="2"/>
      <c r="T23" s="2"/>
      <c r="U23" s="2"/>
      <c r="V23" s="22"/>
      <c r="W23" s="2"/>
      <c r="X23" s="2">
        <f t="shared" si="2"/>
        <v>12498.9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"4031", " - ", "TAXABLE SALES-FOOD")</f>
        <v xml:space="preserve">          4031 - TAXABLE SALES-FOOD</v>
      </c>
      <c r="C24" s="11"/>
      <c r="D24" s="2">
        <f>--685.9</f>
        <v>685.9</v>
      </c>
      <c r="E24" s="2"/>
      <c r="F24" s="22"/>
      <c r="G24" s="2"/>
      <c r="H24" s="2"/>
      <c r="I24" s="2"/>
      <c r="J24" s="22"/>
      <c r="K24" s="2"/>
      <c r="L24" s="2">
        <f t="shared" si="0"/>
        <v>685.9</v>
      </c>
      <c r="M24" s="2"/>
      <c r="N24" s="22">
        <f t="shared" si="1"/>
        <v>0</v>
      </c>
      <c r="O24" s="11"/>
      <c r="P24" s="2">
        <f>--1238.16</f>
        <v>1238.1600000000001</v>
      </c>
      <c r="Q24" s="2"/>
      <c r="R24" s="22"/>
      <c r="S24" s="2"/>
      <c r="T24" s="2"/>
      <c r="U24" s="2"/>
      <c r="V24" s="22"/>
      <c r="W24" s="2"/>
      <c r="X24" s="2">
        <f t="shared" si="2"/>
        <v>1238.1600000000001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"4034", " - ", "TAXABLE SALES-SODA")</f>
        <v xml:space="preserve">          4034 - TAXABLE SALES-SODA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--6.78</f>
        <v>6.78</v>
      </c>
      <c r="Q25" s="2"/>
      <c r="R25" s="22"/>
      <c r="S25" s="2"/>
      <c r="T25" s="2"/>
      <c r="U25" s="2"/>
      <c r="V25" s="22"/>
      <c r="W25" s="2"/>
      <c r="X25" s="2">
        <f t="shared" si="2"/>
        <v>6.78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"4040", " - ", "TAXABLE SALES-LOGO CLOTHING")</f>
        <v xml:space="preserve">          4040 - TAXABLE SALES-LOGO CLOTHING</v>
      </c>
      <c r="C26" s="11"/>
      <c r="D26" s="2">
        <f>--78841.84</f>
        <v>78841.84</v>
      </c>
      <c r="E26" s="2"/>
      <c r="F26" s="22"/>
      <c r="G26" s="2"/>
      <c r="H26" s="2"/>
      <c r="I26" s="2"/>
      <c r="J26" s="22"/>
      <c r="K26" s="2"/>
      <c r="L26" s="2">
        <f t="shared" si="0"/>
        <v>78841.84</v>
      </c>
      <c r="M26" s="2"/>
      <c r="N26" s="22">
        <f t="shared" si="1"/>
        <v>0</v>
      </c>
      <c r="O26" s="11"/>
      <c r="P26" s="2">
        <f>--328420.19</f>
        <v>328420.19</v>
      </c>
      <c r="Q26" s="2"/>
      <c r="R26" s="22"/>
      <c r="S26" s="2"/>
      <c r="T26" s="2"/>
      <c r="U26" s="2"/>
      <c r="V26" s="22"/>
      <c r="W26" s="2"/>
      <c r="X26" s="2">
        <f t="shared" si="2"/>
        <v>328420.19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"4041", " - ", "TAXABLE SALES-LOGO GIFTS")</f>
        <v xml:space="preserve">          4041 - TAXABLE SALES-LOGO GIFTS</v>
      </c>
      <c r="C27" s="11"/>
      <c r="D27" s="2">
        <f>--27724.06</f>
        <v>27724.06</v>
      </c>
      <c r="E27" s="2"/>
      <c r="F27" s="22"/>
      <c r="G27" s="2"/>
      <c r="H27" s="2"/>
      <c r="I27" s="2"/>
      <c r="J27" s="22"/>
      <c r="K27" s="2"/>
      <c r="L27" s="2">
        <f t="shared" si="0"/>
        <v>27724.06</v>
      </c>
      <c r="M27" s="2"/>
      <c r="N27" s="22">
        <f t="shared" si="1"/>
        <v>0</v>
      </c>
      <c r="O27" s="11"/>
      <c r="P27" s="2">
        <f>--131033.62</f>
        <v>131033.62</v>
      </c>
      <c r="Q27" s="2"/>
      <c r="R27" s="22"/>
      <c r="S27" s="2"/>
      <c r="T27" s="2"/>
      <c r="U27" s="2"/>
      <c r="V27" s="22"/>
      <c r="W27" s="2"/>
      <c r="X27" s="2">
        <f t="shared" si="2"/>
        <v>131033.62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"4042", " - ", "TAXABLE SALES-EVERYDAY GIFTS")</f>
        <v xml:space="preserve">          4042 - TAXABLE SALES-EVERYDAY GIFTS</v>
      </c>
      <c r="C28" s="11"/>
      <c r="D28" s="2">
        <f>--8004.46</f>
        <v>8004.46</v>
      </c>
      <c r="E28" s="2"/>
      <c r="F28" s="22"/>
      <c r="G28" s="2"/>
      <c r="H28" s="2"/>
      <c r="I28" s="2"/>
      <c r="J28" s="22"/>
      <c r="K28" s="2"/>
      <c r="L28" s="2">
        <f t="shared" si="0"/>
        <v>8004.46</v>
      </c>
      <c r="M28" s="2"/>
      <c r="N28" s="22">
        <f t="shared" si="1"/>
        <v>0</v>
      </c>
      <c r="O28" s="11"/>
      <c r="P28" s="2">
        <f>--47929.5</f>
        <v>47929.5</v>
      </c>
      <c r="Q28" s="2"/>
      <c r="R28" s="22"/>
      <c r="S28" s="2"/>
      <c r="T28" s="2"/>
      <c r="U28" s="2"/>
      <c r="V28" s="22"/>
      <c r="W28" s="2"/>
      <c r="X28" s="2">
        <f t="shared" si="2"/>
        <v>47929.5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"4043", " - ", "TAXABLE SALES-CARDS")</f>
        <v xml:space="preserve">          4043 - TAXABLE SALES-CARDS</v>
      </c>
      <c r="C29" s="11"/>
      <c r="D29" s="2">
        <f>--2805.53</f>
        <v>2805.53</v>
      </c>
      <c r="E29" s="2"/>
      <c r="F29" s="22"/>
      <c r="G29" s="2"/>
      <c r="H29" s="2"/>
      <c r="I29" s="2"/>
      <c r="J29" s="22"/>
      <c r="K29" s="2"/>
      <c r="L29" s="2">
        <f t="shared" si="0"/>
        <v>2805.53</v>
      </c>
      <c r="M29" s="2"/>
      <c r="N29" s="22">
        <f t="shared" si="1"/>
        <v>0</v>
      </c>
      <c r="O29" s="11"/>
      <c r="P29" s="2">
        <f>--9791.16</f>
        <v>9791.16</v>
      </c>
      <c r="Q29" s="2"/>
      <c r="R29" s="22"/>
      <c r="S29" s="2"/>
      <c r="T29" s="2"/>
      <c r="U29" s="2"/>
      <c r="V29" s="22"/>
      <c r="W29" s="2"/>
      <c r="X29" s="2">
        <f t="shared" si="2"/>
        <v>9791.16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"4044", " - ", "TAXABLE SALES-ACCESSORIES")</f>
        <v xml:space="preserve">          4044 - TAXABLE SALES-ACCESSORIES</v>
      </c>
      <c r="C30" s="11"/>
      <c r="D30" s="2">
        <f>--2962.32</f>
        <v>2962.32</v>
      </c>
      <c r="E30" s="2"/>
      <c r="F30" s="22"/>
      <c r="G30" s="2"/>
      <c r="H30" s="2"/>
      <c r="I30" s="2"/>
      <c r="J30" s="22"/>
      <c r="K30" s="2"/>
      <c r="L30" s="2">
        <f t="shared" si="0"/>
        <v>2962.32</v>
      </c>
      <c r="M30" s="2"/>
      <c r="N30" s="22">
        <f t="shared" si="1"/>
        <v>0</v>
      </c>
      <c r="O30" s="11"/>
      <c r="P30" s="2">
        <f>--11331.52</f>
        <v>11331.52</v>
      </c>
      <c r="Q30" s="2"/>
      <c r="R30" s="22"/>
      <c r="S30" s="2"/>
      <c r="T30" s="2"/>
      <c r="U30" s="2"/>
      <c r="V30" s="22"/>
      <c r="W30" s="2"/>
      <c r="X30" s="2">
        <f t="shared" si="2"/>
        <v>11331.52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"4045", " - ", "TAXABLE SALES-SPECIAL ORDERS")</f>
        <v xml:space="preserve">          4045 - TAXABLE SALES-SPECIAL ORDERS</v>
      </c>
      <c r="C31" s="11"/>
      <c r="D31" s="2">
        <f>--2575.36</f>
        <v>2575.36</v>
      </c>
      <c r="E31" s="2"/>
      <c r="F31" s="22"/>
      <c r="G31" s="2"/>
      <c r="H31" s="2"/>
      <c r="I31" s="2"/>
      <c r="J31" s="22"/>
      <c r="K31" s="2"/>
      <c r="L31" s="2">
        <f t="shared" si="0"/>
        <v>2575.36</v>
      </c>
      <c r="M31" s="2"/>
      <c r="N31" s="22">
        <f t="shared" si="1"/>
        <v>0</v>
      </c>
      <c r="O31" s="11"/>
      <c r="P31" s="2">
        <f>--92006.44</f>
        <v>92006.44</v>
      </c>
      <c r="Q31" s="2"/>
      <c r="R31" s="22"/>
      <c r="S31" s="2"/>
      <c r="T31" s="2"/>
      <c r="U31" s="2"/>
      <c r="V31" s="22"/>
      <c r="W31" s="2"/>
      <c r="X31" s="2">
        <f t="shared" si="2"/>
        <v>92006.44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"4081", " - ", "TAXABLE SALES-ELECTRONICS")</f>
        <v xml:space="preserve">          4081 - TAXABLE SALES-ELECTRONICS</v>
      </c>
      <c r="C32" s="11"/>
      <c r="D32" s="2">
        <f>--12239.6</f>
        <v>12239.6</v>
      </c>
      <c r="E32" s="2"/>
      <c r="F32" s="22"/>
      <c r="G32" s="2"/>
      <c r="H32" s="2"/>
      <c r="I32" s="2"/>
      <c r="J32" s="22"/>
      <c r="K32" s="2"/>
      <c r="L32" s="2">
        <f t="shared" si="0"/>
        <v>12239.6</v>
      </c>
      <c r="M32" s="2"/>
      <c r="N32" s="22">
        <f t="shared" si="1"/>
        <v>0</v>
      </c>
      <c r="O32" s="11"/>
      <c r="P32" s="2">
        <f>--50102.62</f>
        <v>50102.62</v>
      </c>
      <c r="Q32" s="2"/>
      <c r="R32" s="22"/>
      <c r="S32" s="2"/>
      <c r="T32" s="2"/>
      <c r="U32" s="2"/>
      <c r="V32" s="22"/>
      <c r="W32" s="2"/>
      <c r="X32" s="2">
        <f t="shared" si="2"/>
        <v>50102.62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>--198101.2</f>
        <v>198101.2</v>
      </c>
      <c r="E33" s="2"/>
      <c r="F33" s="22"/>
      <c r="G33" s="2"/>
      <c r="H33" s="2"/>
      <c r="I33" s="2"/>
      <c r="J33" s="22"/>
      <c r="K33" s="2"/>
      <c r="L33" s="2">
        <f t="shared" si="0"/>
        <v>198101.2</v>
      </c>
      <c r="M33" s="2"/>
      <c r="N33" s="22">
        <f t="shared" si="1"/>
        <v>0</v>
      </c>
      <c r="O33" s="11"/>
      <c r="P33" s="2">
        <f>--739313.21</f>
        <v>739313.21</v>
      </c>
      <c r="Q33" s="2"/>
      <c r="R33" s="22"/>
      <c r="S33" s="2"/>
      <c r="T33" s="2"/>
      <c r="U33" s="2"/>
      <c r="V33" s="22"/>
      <c r="W33" s="2"/>
      <c r="X33" s="2">
        <f t="shared" si="2"/>
        <v>739313.21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>--18947.33</f>
        <v>18947.330000000002</v>
      </c>
      <c r="E34" s="2"/>
      <c r="F34" s="22"/>
      <c r="G34" s="2"/>
      <c r="H34" s="2"/>
      <c r="I34" s="2"/>
      <c r="J34" s="22"/>
      <c r="K34" s="2"/>
      <c r="L34" s="2">
        <f t="shared" si="0"/>
        <v>18947.330000000002</v>
      </c>
      <c r="M34" s="2"/>
      <c r="N34" s="22">
        <f t="shared" si="1"/>
        <v>0</v>
      </c>
      <c r="O34" s="11"/>
      <c r="P34" s="2">
        <f>--68662.69</f>
        <v>68662.69</v>
      </c>
      <c r="Q34" s="2"/>
      <c r="R34" s="22"/>
      <c r="S34" s="2"/>
      <c r="T34" s="2"/>
      <c r="U34" s="2"/>
      <c r="V34" s="22"/>
      <c r="W34" s="2"/>
      <c r="X34" s="2">
        <f t="shared" si="2"/>
        <v>68662.69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"4085", " - ", "TAXABLE SALES-SOFTWARE")</f>
        <v xml:space="preserve">          4085 - TAXABLE SALES-SOFTWARE</v>
      </c>
      <c r="C35" s="11"/>
      <c r="D35" s="2">
        <f>--852.96</f>
        <v>852.96</v>
      </c>
      <c r="E35" s="2"/>
      <c r="F35" s="22"/>
      <c r="G35" s="2"/>
      <c r="H35" s="2"/>
      <c r="I35" s="2"/>
      <c r="J35" s="22"/>
      <c r="K35" s="2"/>
      <c r="L35" s="2">
        <f t="shared" si="0"/>
        <v>852.96</v>
      </c>
      <c r="M35" s="2"/>
      <c r="N35" s="22">
        <f t="shared" si="1"/>
        <v>0</v>
      </c>
      <c r="O35" s="11"/>
      <c r="P35" s="2">
        <f>--981.96</f>
        <v>981.96</v>
      </c>
      <c r="Q35" s="2"/>
      <c r="R35" s="22"/>
      <c r="S35" s="2"/>
      <c r="T35" s="2"/>
      <c r="U35" s="2"/>
      <c r="V35" s="22"/>
      <c r="W35" s="2"/>
      <c r="X35" s="2">
        <f t="shared" si="2"/>
        <v>981.96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>--713.93</f>
        <v>713.93</v>
      </c>
      <c r="E36" s="2"/>
      <c r="F36" s="22"/>
      <c r="G36" s="2"/>
      <c r="H36" s="2"/>
      <c r="I36" s="2"/>
      <c r="J36" s="22"/>
      <c r="K36" s="2"/>
      <c r="L36" s="2">
        <f t="shared" si="0"/>
        <v>713.93</v>
      </c>
      <c r="M36" s="2"/>
      <c r="N36" s="22">
        <f t="shared" si="1"/>
        <v>0</v>
      </c>
      <c r="O36" s="11"/>
      <c r="P36" s="2">
        <f>--27981.41</f>
        <v>27981.41</v>
      </c>
      <c r="Q36" s="2"/>
      <c r="R36" s="22"/>
      <c r="S36" s="2"/>
      <c r="T36" s="2"/>
      <c r="U36" s="2"/>
      <c r="V36" s="22"/>
      <c r="W36" s="2"/>
      <c r="X36" s="2">
        <f t="shared" si="2"/>
        <v>27981.41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"4100", " - ", "NON-TAXABLE SALES")</f>
        <v xml:space="preserve">          4100 - NON-TAXABLE SALES</v>
      </c>
      <c r="C37" s="11"/>
      <c r="D37" s="2">
        <f>--10945.69</f>
        <v>10945.69</v>
      </c>
      <c r="E37" s="2"/>
      <c r="F37" s="22"/>
      <c r="G37" s="2"/>
      <c r="H37" s="2">
        <v>33773</v>
      </c>
      <c r="I37" s="2"/>
      <c r="J37" s="22"/>
      <c r="K37" s="2"/>
      <c r="L37" s="2">
        <f t="shared" si="0"/>
        <v>-22827.309999999998</v>
      </c>
      <c r="M37" s="2"/>
      <c r="N37" s="22">
        <f t="shared" si="1"/>
        <v>-0.67590412459657112</v>
      </c>
      <c r="O37" s="11"/>
      <c r="P37" s="2">
        <f>--164344.02</f>
        <v>164344.01999999999</v>
      </c>
      <c r="Q37" s="2"/>
      <c r="R37" s="22"/>
      <c r="S37" s="2"/>
      <c r="T37" s="2">
        <v>77141</v>
      </c>
      <c r="U37" s="2"/>
      <c r="V37" s="22"/>
      <c r="W37" s="2"/>
      <c r="X37" s="2">
        <f t="shared" si="2"/>
        <v>87203.01999999999</v>
      </c>
      <c r="Y37" s="2"/>
      <c r="Z37" s="22">
        <f t="shared" si="3"/>
        <v>1.1304367327361584</v>
      </c>
    </row>
    <row r="38" spans="1:26" s="24" customFormat="1" hidden="1" outlineLevel="1" x14ac:dyDescent="0.25">
      <c r="A38" s="51"/>
      <c r="B38" s="11" t="str">
        <f>CONCATENATE("          ", "4101", " - ", "NON-TAXABLE SALES-NEW TEXT")</f>
        <v xml:space="preserve">          4101 - NON-TAXABLE SALES-NEW TEXT</v>
      </c>
      <c r="C38" s="11"/>
      <c r="D38" s="2">
        <f>--18824.16</f>
        <v>18824.16</v>
      </c>
      <c r="E38" s="2"/>
      <c r="F38" s="22"/>
      <c r="G38" s="2"/>
      <c r="H38" s="2"/>
      <c r="I38" s="2"/>
      <c r="J38" s="22"/>
      <c r="K38" s="2"/>
      <c r="L38" s="2">
        <f t="shared" si="0"/>
        <v>18824.16</v>
      </c>
      <c r="M38" s="2"/>
      <c r="N38" s="22">
        <f t="shared" si="1"/>
        <v>0</v>
      </c>
      <c r="O38" s="11"/>
      <c r="P38" s="2">
        <f>--70404.84</f>
        <v>70404.84</v>
      </c>
      <c r="Q38" s="2"/>
      <c r="R38" s="22"/>
      <c r="S38" s="2"/>
      <c r="T38" s="2"/>
      <c r="U38" s="2"/>
      <c r="V38" s="22"/>
      <c r="W38" s="2"/>
      <c r="X38" s="2">
        <f t="shared" si="2"/>
        <v>70404.84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"4102", " - ", "NON-TAXABLE SALES-USED TEXT")</f>
        <v xml:space="preserve">          4102 - NON-TAXABLE SALES-USED TEXT</v>
      </c>
      <c r="C39" s="11"/>
      <c r="D39" s="2">
        <f>--8807.08</f>
        <v>8807.08</v>
      </c>
      <c r="E39" s="2"/>
      <c r="F39" s="22"/>
      <c r="G39" s="2"/>
      <c r="H39" s="2"/>
      <c r="I39" s="2"/>
      <c r="J39" s="22"/>
      <c r="K39" s="2"/>
      <c r="L39" s="2">
        <f t="shared" si="0"/>
        <v>8807.08</v>
      </c>
      <c r="M39" s="2"/>
      <c r="N39" s="22">
        <f t="shared" si="1"/>
        <v>0</v>
      </c>
      <c r="O39" s="11"/>
      <c r="P39" s="2">
        <f>--30370.82</f>
        <v>30370.82</v>
      </c>
      <c r="Q39" s="2"/>
      <c r="R39" s="22"/>
      <c r="S39" s="2"/>
      <c r="T39" s="2"/>
      <c r="U39" s="2"/>
      <c r="V39" s="22"/>
      <c r="W39" s="2"/>
      <c r="X39" s="2">
        <f t="shared" si="2"/>
        <v>30370.82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"4103", " - ", "NON-TAXABLE SALES-RENTAL TEXT")</f>
        <v xml:space="preserve">          4103 - NON-TAXABLE SALES-RENTAL TEXT</v>
      </c>
      <c r="C40" s="11"/>
      <c r="D40" s="2">
        <f>--284.97</f>
        <v>284.97000000000003</v>
      </c>
      <c r="E40" s="2"/>
      <c r="F40" s="22"/>
      <c r="G40" s="2"/>
      <c r="H40" s="2"/>
      <c r="I40" s="2"/>
      <c r="J40" s="22"/>
      <c r="K40" s="2"/>
      <c r="L40" s="2">
        <f t="shared" si="0"/>
        <v>284.97000000000003</v>
      </c>
      <c r="M40" s="2"/>
      <c r="N40" s="22">
        <f t="shared" si="1"/>
        <v>0</v>
      </c>
      <c r="O40" s="11"/>
      <c r="P40" s="2">
        <f>--284.97</f>
        <v>284.97000000000003</v>
      </c>
      <c r="Q40" s="2"/>
      <c r="R40" s="22"/>
      <c r="S40" s="2"/>
      <c r="T40" s="2"/>
      <c r="U40" s="2"/>
      <c r="V40" s="22"/>
      <c r="W40" s="2"/>
      <c r="X40" s="2">
        <f t="shared" si="2"/>
        <v>284.97000000000003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"4104", " - ", "NON-TAXABLE SALES-DIGITAL TEXT")</f>
        <v xml:space="preserve">          4104 - NON-TAXABLE SALES-DIGITAL TEXT</v>
      </c>
      <c r="C41" s="11"/>
      <c r="D41" s="2">
        <f>--73817.67</f>
        <v>73817.67</v>
      </c>
      <c r="E41" s="2"/>
      <c r="F41" s="22"/>
      <c r="G41" s="2"/>
      <c r="H41" s="2"/>
      <c r="I41" s="2"/>
      <c r="J41" s="22"/>
      <c r="K41" s="2"/>
      <c r="L41" s="2">
        <f t="shared" si="0"/>
        <v>73817.67</v>
      </c>
      <c r="M41" s="2"/>
      <c r="N41" s="22">
        <f t="shared" si="1"/>
        <v>0</v>
      </c>
      <c r="O41" s="11"/>
      <c r="P41" s="2">
        <f>--286707.85</f>
        <v>286707.84999999998</v>
      </c>
      <c r="Q41" s="2"/>
      <c r="R41" s="22"/>
      <c r="S41" s="2"/>
      <c r="T41" s="2"/>
      <c r="U41" s="2"/>
      <c r="V41" s="22"/>
      <c r="W41" s="2"/>
      <c r="X41" s="2">
        <f t="shared" si="2"/>
        <v>286707.84999999998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"4118", " - ", "NON-TAXABLE SALES-STUDY GUIDES")</f>
        <v xml:space="preserve">          4118 - NON-TAXABLE SALES-STUDY GUIDES</v>
      </c>
      <c r="C42" s="11"/>
      <c r="D42" s="2">
        <f>--6.5</f>
        <v>6.5</v>
      </c>
      <c r="E42" s="2"/>
      <c r="F42" s="22"/>
      <c r="G42" s="2"/>
      <c r="H42" s="2"/>
      <c r="I42" s="2"/>
      <c r="J42" s="22"/>
      <c r="K42" s="2"/>
      <c r="L42" s="2">
        <f t="shared" si="0"/>
        <v>6.5</v>
      </c>
      <c r="M42" s="2"/>
      <c r="N42" s="22">
        <f t="shared" si="1"/>
        <v>0</v>
      </c>
      <c r="O42" s="11"/>
      <c r="P42" s="2">
        <f>--108.33</f>
        <v>108.33</v>
      </c>
      <c r="Q42" s="2"/>
      <c r="R42" s="22"/>
      <c r="S42" s="2"/>
      <c r="T42" s="2"/>
      <c r="U42" s="2"/>
      <c r="V42" s="22"/>
      <c r="W42" s="2"/>
      <c r="X42" s="2">
        <f t="shared" si="2"/>
        <v>108.33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"4126", " - ", "NON-TAXABLE SALES-WRITING INST")</f>
        <v xml:space="preserve">          4126 - NON-TAXABLE SALES-WRITING INST</v>
      </c>
      <c r="C43" s="11"/>
      <c r="D43" s="2">
        <f>0</f>
        <v>0</v>
      </c>
      <c r="E43" s="2"/>
      <c r="F43" s="22"/>
      <c r="G43" s="2"/>
      <c r="H43" s="2"/>
      <c r="I43" s="2"/>
      <c r="J43" s="22"/>
      <c r="K43" s="2"/>
      <c r="L43" s="2">
        <f t="shared" si="0"/>
        <v>0</v>
      </c>
      <c r="M43" s="2"/>
      <c r="N43" s="22">
        <f t="shared" si="1"/>
        <v>0</v>
      </c>
      <c r="O43" s="11"/>
      <c r="P43" s="2">
        <f>--52.68</f>
        <v>52.68</v>
      </c>
      <c r="Q43" s="2"/>
      <c r="R43" s="22"/>
      <c r="S43" s="2"/>
      <c r="T43" s="2"/>
      <c r="U43" s="2"/>
      <c r="V43" s="22"/>
      <c r="W43" s="2"/>
      <c r="X43" s="2">
        <f t="shared" si="2"/>
        <v>52.68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"4127", " - ", "NON-TAXABLE SALES-SCHOOL SUPPL")</f>
        <v xml:space="preserve">          4127 - NON-TAXABLE SALES-SCHOOL SUPPL</v>
      </c>
      <c r="C44" s="11"/>
      <c r="D44" s="2">
        <f>--810.33</f>
        <v>810.33</v>
      </c>
      <c r="E44" s="2"/>
      <c r="F44" s="22"/>
      <c r="G44" s="2"/>
      <c r="H44" s="2"/>
      <c r="I44" s="2"/>
      <c r="J44" s="22"/>
      <c r="K44" s="2"/>
      <c r="L44" s="2">
        <f t="shared" si="0"/>
        <v>810.33</v>
      </c>
      <c r="M44" s="2"/>
      <c r="N44" s="22">
        <f t="shared" si="1"/>
        <v>0</v>
      </c>
      <c r="O44" s="11"/>
      <c r="P44" s="2">
        <f>--2670.74</f>
        <v>2670.74</v>
      </c>
      <c r="Q44" s="2"/>
      <c r="R44" s="22"/>
      <c r="S44" s="2"/>
      <c r="T44" s="2"/>
      <c r="U44" s="2"/>
      <c r="V44" s="22"/>
      <c r="W44" s="2"/>
      <c r="X44" s="2">
        <f t="shared" si="2"/>
        <v>2670.74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"4131", " - ", "NON-TAXABLE SALES-FOOD")</f>
        <v xml:space="preserve">          4131 - NON-TAXABLE SALES-FOOD</v>
      </c>
      <c r="C45" s="11"/>
      <c r="D45" s="2">
        <f>--2168.74</f>
        <v>2168.7399999999998</v>
      </c>
      <c r="E45" s="2"/>
      <c r="F45" s="22"/>
      <c r="G45" s="2"/>
      <c r="H45" s="2"/>
      <c r="I45" s="2"/>
      <c r="J45" s="22"/>
      <c r="K45" s="2"/>
      <c r="L45" s="2">
        <f t="shared" si="0"/>
        <v>2168.7399999999998</v>
      </c>
      <c r="M45" s="2"/>
      <c r="N45" s="22">
        <f t="shared" si="1"/>
        <v>0</v>
      </c>
      <c r="O45" s="11"/>
      <c r="P45" s="2">
        <f>--4003.96</f>
        <v>4003.96</v>
      </c>
      <c r="Q45" s="2"/>
      <c r="R45" s="22"/>
      <c r="S45" s="2"/>
      <c r="T45" s="2"/>
      <c r="U45" s="2"/>
      <c r="V45" s="22"/>
      <c r="W45" s="2"/>
      <c r="X45" s="2">
        <f t="shared" si="2"/>
        <v>4003.96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"4132", " - ", "NON-TAXABLE SALES-JUICE")</f>
        <v xml:space="preserve">          4132 - NON-TAXABLE SALES-JUICE</v>
      </c>
      <c r="C46" s="11"/>
      <c r="D46" s="2">
        <f t="shared" ref="D46:D49" si="4">0</f>
        <v>0</v>
      </c>
      <c r="E46" s="2"/>
      <c r="F46" s="22"/>
      <c r="G46" s="2"/>
      <c r="H46" s="2"/>
      <c r="I46" s="2"/>
      <c r="J46" s="22"/>
      <c r="K46" s="2"/>
      <c r="L46" s="2">
        <f t="shared" si="0"/>
        <v>0</v>
      </c>
      <c r="M46" s="2"/>
      <c r="N46" s="22">
        <f t="shared" si="1"/>
        <v>0</v>
      </c>
      <c r="O46" s="11"/>
      <c r="P46" s="2">
        <f>--22.49</f>
        <v>22.49</v>
      </c>
      <c r="Q46" s="2"/>
      <c r="R46" s="22"/>
      <c r="S46" s="2"/>
      <c r="T46" s="2"/>
      <c r="U46" s="2"/>
      <c r="V46" s="22"/>
      <c r="W46" s="2"/>
      <c r="X46" s="2">
        <f t="shared" si="2"/>
        <v>22.49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"4133", " - ", "NON-TAXABLE SALES-CANDY")</f>
        <v xml:space="preserve">          4133 - NON-TAXABLE SALES-CANDY</v>
      </c>
      <c r="C47" s="11"/>
      <c r="D47" s="2">
        <f t="shared" si="4"/>
        <v>0</v>
      </c>
      <c r="E47" s="2"/>
      <c r="F47" s="22"/>
      <c r="G47" s="2"/>
      <c r="H47" s="2"/>
      <c r="I47" s="2"/>
      <c r="J47" s="22"/>
      <c r="K47" s="2"/>
      <c r="L47" s="2">
        <f t="shared" si="0"/>
        <v>0</v>
      </c>
      <c r="M47" s="2"/>
      <c r="N47" s="22">
        <f t="shared" si="1"/>
        <v>0</v>
      </c>
      <c r="O47" s="11"/>
      <c r="P47" s="2">
        <f>--80.71</f>
        <v>80.709999999999994</v>
      </c>
      <c r="Q47" s="2"/>
      <c r="R47" s="22"/>
      <c r="S47" s="2"/>
      <c r="T47" s="2"/>
      <c r="U47" s="2"/>
      <c r="V47" s="22"/>
      <c r="W47" s="2"/>
      <c r="X47" s="2">
        <f t="shared" si="2"/>
        <v>80.709999999999994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"4134", " - ", "NON-TAXABLE SALES-SODA")</f>
        <v xml:space="preserve">          4134 - NON-TAXABLE SALES-SODA</v>
      </c>
      <c r="C48" s="11"/>
      <c r="D48" s="2">
        <f t="shared" si="4"/>
        <v>0</v>
      </c>
      <c r="E48" s="2"/>
      <c r="F48" s="22"/>
      <c r="G48" s="2"/>
      <c r="H48" s="2"/>
      <c r="I48" s="2"/>
      <c r="J48" s="22"/>
      <c r="K48" s="2"/>
      <c r="L48" s="2">
        <f t="shared" si="0"/>
        <v>0</v>
      </c>
      <c r="M48" s="2"/>
      <c r="N48" s="22">
        <f t="shared" si="1"/>
        <v>0</v>
      </c>
      <c r="O48" s="11"/>
      <c r="P48" s="2">
        <f>--45.53</f>
        <v>45.53</v>
      </c>
      <c r="Q48" s="2"/>
      <c r="R48" s="22"/>
      <c r="S48" s="2"/>
      <c r="T48" s="2"/>
      <c r="U48" s="2"/>
      <c r="V48" s="22"/>
      <c r="W48" s="2"/>
      <c r="X48" s="2">
        <f t="shared" si="2"/>
        <v>45.53</v>
      </c>
      <c r="Y48" s="2"/>
      <c r="Z48" s="22">
        <f t="shared" si="3"/>
        <v>0</v>
      </c>
    </row>
    <row r="49" spans="1:26" s="24" customFormat="1" hidden="1" outlineLevel="1" x14ac:dyDescent="0.25">
      <c r="A49" s="51"/>
      <c r="B49" s="11" t="str">
        <f>CONCATENATE("          ", "4137", " - ", "NON-TAXABLE SALES-WATER")</f>
        <v xml:space="preserve">          4137 - NON-TAXABLE SALES-WATER</v>
      </c>
      <c r="C49" s="11"/>
      <c r="D49" s="2">
        <f t="shared" si="4"/>
        <v>0</v>
      </c>
      <c r="E49" s="2"/>
      <c r="F49" s="22"/>
      <c r="G49" s="2"/>
      <c r="H49" s="2"/>
      <c r="I49" s="2"/>
      <c r="J49" s="22"/>
      <c r="K49" s="2"/>
      <c r="L49" s="2">
        <f t="shared" si="0"/>
        <v>0</v>
      </c>
      <c r="M49" s="2"/>
      <c r="N49" s="22">
        <f t="shared" si="1"/>
        <v>0</v>
      </c>
      <c r="O49" s="11"/>
      <c r="P49" s="2">
        <f>--68.25</f>
        <v>68.25</v>
      </c>
      <c r="Q49" s="2"/>
      <c r="R49" s="22"/>
      <c r="S49" s="2"/>
      <c r="T49" s="2"/>
      <c r="U49" s="2"/>
      <c r="V49" s="22"/>
      <c r="W49" s="2"/>
      <c r="X49" s="2">
        <f t="shared" si="2"/>
        <v>68.25</v>
      </c>
      <c r="Y49" s="2"/>
      <c r="Z49" s="22">
        <f t="shared" si="3"/>
        <v>0</v>
      </c>
    </row>
    <row r="50" spans="1:26" s="24" customFormat="1" hidden="1" outlineLevel="1" x14ac:dyDescent="0.25">
      <c r="A50" s="51"/>
      <c r="B50" s="11" t="str">
        <f>CONCATENATE("          ", "4140", " - ", "NON-TAXABLE SALES-LOGO CLOTHIN")</f>
        <v xml:space="preserve">          4140 - NON-TAXABLE SALES-LOGO CLOTHIN</v>
      </c>
      <c r="C50" s="11"/>
      <c r="D50" s="2">
        <f>--3339.7</f>
        <v>3339.7</v>
      </c>
      <c r="E50" s="2"/>
      <c r="F50" s="22"/>
      <c r="G50" s="2"/>
      <c r="H50" s="2"/>
      <c r="I50" s="2"/>
      <c r="J50" s="22"/>
      <c r="K50" s="2"/>
      <c r="L50" s="2">
        <f t="shared" si="0"/>
        <v>3339.7</v>
      </c>
      <c r="M50" s="2"/>
      <c r="N50" s="22">
        <f t="shared" si="1"/>
        <v>0</v>
      </c>
      <c r="O50" s="11"/>
      <c r="P50" s="2">
        <f>--17452.44</f>
        <v>17452.439999999999</v>
      </c>
      <c r="Q50" s="2"/>
      <c r="R50" s="22"/>
      <c r="S50" s="2"/>
      <c r="T50" s="2"/>
      <c r="U50" s="2"/>
      <c r="V50" s="22"/>
      <c r="W50" s="2"/>
      <c r="X50" s="2">
        <f t="shared" si="2"/>
        <v>17452.439999999999</v>
      </c>
      <c r="Y50" s="2"/>
      <c r="Z50" s="22">
        <f t="shared" si="3"/>
        <v>0</v>
      </c>
    </row>
    <row r="51" spans="1:26" s="24" customFormat="1" hidden="1" outlineLevel="1" x14ac:dyDescent="0.25">
      <c r="A51" s="51"/>
      <c r="B51" s="11" t="str">
        <f>CONCATENATE("          ", "4141", " - ", "NON-TAXABLE SALES-LOGO GIFTS")</f>
        <v xml:space="preserve">          4141 - NON-TAXABLE SALES-LOGO GIFTS</v>
      </c>
      <c r="C51" s="11"/>
      <c r="D51" s="2">
        <f>--555.74</f>
        <v>555.74</v>
      </c>
      <c r="E51" s="2"/>
      <c r="F51" s="22"/>
      <c r="G51" s="2"/>
      <c r="H51" s="2"/>
      <c r="I51" s="2"/>
      <c r="J51" s="22"/>
      <c r="K51" s="2"/>
      <c r="L51" s="2">
        <f t="shared" si="0"/>
        <v>555.74</v>
      </c>
      <c r="M51" s="2"/>
      <c r="N51" s="22">
        <f t="shared" si="1"/>
        <v>0</v>
      </c>
      <c r="O51" s="11"/>
      <c r="P51" s="2">
        <f>--2944.99</f>
        <v>2944.99</v>
      </c>
      <c r="Q51" s="2"/>
      <c r="R51" s="22"/>
      <c r="S51" s="2"/>
      <c r="T51" s="2"/>
      <c r="U51" s="2"/>
      <c r="V51" s="22"/>
      <c r="W51" s="2"/>
      <c r="X51" s="2">
        <f t="shared" si="2"/>
        <v>2944.99</v>
      </c>
      <c r="Y51" s="2"/>
      <c r="Z51" s="22">
        <f t="shared" si="3"/>
        <v>0</v>
      </c>
    </row>
    <row r="52" spans="1:26" s="24" customFormat="1" hidden="1" outlineLevel="1" x14ac:dyDescent="0.25">
      <c r="A52" s="51"/>
      <c r="B52" s="11" t="str">
        <f>CONCATENATE("          ", "4142", " - ", "NON-TAXABLE SALES-EVERYDAY GIF")</f>
        <v xml:space="preserve">          4142 - NON-TAXABLE SALES-EVERYDAY GIF</v>
      </c>
      <c r="C52" s="11"/>
      <c r="D52" s="2">
        <f>--30.16</f>
        <v>30.16</v>
      </c>
      <c r="E52" s="2"/>
      <c r="F52" s="22"/>
      <c r="G52" s="2"/>
      <c r="H52" s="2"/>
      <c r="I52" s="2"/>
      <c r="J52" s="22"/>
      <c r="K52" s="2"/>
      <c r="L52" s="2">
        <f t="shared" si="0"/>
        <v>30.16</v>
      </c>
      <c r="M52" s="2"/>
      <c r="N52" s="22">
        <f t="shared" si="1"/>
        <v>0</v>
      </c>
      <c r="O52" s="11"/>
      <c r="P52" s="2">
        <f>--1009.73</f>
        <v>1009.73</v>
      </c>
      <c r="Q52" s="2"/>
      <c r="R52" s="22"/>
      <c r="S52" s="2"/>
      <c r="T52" s="2"/>
      <c r="U52" s="2"/>
      <c r="V52" s="22"/>
      <c r="W52" s="2"/>
      <c r="X52" s="2">
        <f t="shared" si="2"/>
        <v>1009.73</v>
      </c>
      <c r="Y52" s="2"/>
      <c r="Z52" s="22">
        <f t="shared" si="3"/>
        <v>0</v>
      </c>
    </row>
    <row r="53" spans="1:26" s="24" customFormat="1" hidden="1" outlineLevel="1" x14ac:dyDescent="0.25">
      <c r="A53" s="51"/>
      <c r="B53" s="11" t="str">
        <f>CONCATENATE("          ", "4143", " - ", "NON-TAXABLE SALES-CARDS")</f>
        <v xml:space="preserve">          4143 - NON-TAXABLE SALES-CARDS</v>
      </c>
      <c r="C53" s="11"/>
      <c r="D53" s="2">
        <f>0</f>
        <v>0</v>
      </c>
      <c r="E53" s="2"/>
      <c r="F53" s="22"/>
      <c r="G53" s="2"/>
      <c r="H53" s="2"/>
      <c r="I53" s="2"/>
      <c r="J53" s="22"/>
      <c r="K53" s="2"/>
      <c r="L53" s="2">
        <f t="shared" si="0"/>
        <v>0</v>
      </c>
      <c r="M53" s="2"/>
      <c r="N53" s="22">
        <f t="shared" si="1"/>
        <v>0</v>
      </c>
      <c r="O53" s="11"/>
      <c r="P53" s="2">
        <f>--19.98</f>
        <v>19.98</v>
      </c>
      <c r="Q53" s="2"/>
      <c r="R53" s="22"/>
      <c r="S53" s="2"/>
      <c r="T53" s="2"/>
      <c r="U53" s="2"/>
      <c r="V53" s="22"/>
      <c r="W53" s="2"/>
      <c r="X53" s="2">
        <f t="shared" si="2"/>
        <v>19.98</v>
      </c>
      <c r="Y53" s="2"/>
      <c r="Z53" s="22">
        <f t="shared" si="3"/>
        <v>0</v>
      </c>
    </row>
    <row r="54" spans="1:26" s="24" customFormat="1" hidden="1" outlineLevel="1" x14ac:dyDescent="0.25">
      <c r="A54" s="51"/>
      <c r="B54" s="11" t="str">
        <f>CONCATENATE("          ", "4144", " - ", "NON-TAXABLE SALES-ACCESSORIES")</f>
        <v xml:space="preserve">          4144 - NON-TAXABLE SALES-ACCESSORIES</v>
      </c>
      <c r="C54" s="11"/>
      <c r="D54" s="2">
        <f>--59.95</f>
        <v>59.95</v>
      </c>
      <c r="E54" s="2"/>
      <c r="F54" s="22"/>
      <c r="G54" s="2"/>
      <c r="H54" s="2"/>
      <c r="I54" s="2"/>
      <c r="J54" s="22"/>
      <c r="K54" s="2"/>
      <c r="L54" s="2">
        <f t="shared" si="0"/>
        <v>59.95</v>
      </c>
      <c r="M54" s="2"/>
      <c r="N54" s="22">
        <f t="shared" si="1"/>
        <v>0</v>
      </c>
      <c r="O54" s="11"/>
      <c r="P54" s="2">
        <f>--215.75</f>
        <v>215.75</v>
      </c>
      <c r="Q54" s="2"/>
      <c r="R54" s="22"/>
      <c r="S54" s="2"/>
      <c r="T54" s="2"/>
      <c r="U54" s="2"/>
      <c r="V54" s="22"/>
      <c r="W54" s="2"/>
      <c r="X54" s="2">
        <f t="shared" si="2"/>
        <v>215.75</v>
      </c>
      <c r="Y54" s="2"/>
      <c r="Z54" s="22">
        <f t="shared" si="3"/>
        <v>0</v>
      </c>
    </row>
    <row r="55" spans="1:26" s="24" customFormat="1" hidden="1" outlineLevel="1" x14ac:dyDescent="0.25">
      <c r="A55" s="51"/>
      <c r="B55" s="11" t="str">
        <f>CONCATENATE("          ", "4145", " - ", "NON-TAXABLE SALES-SPECIAL ORDE")</f>
        <v xml:space="preserve">          4145 - NON-TAXABLE SALES-SPECIAL ORDE</v>
      </c>
      <c r="C55" s="11"/>
      <c r="D55" s="2">
        <f>0</f>
        <v>0</v>
      </c>
      <c r="E55" s="2"/>
      <c r="F55" s="22"/>
      <c r="G55" s="2"/>
      <c r="H55" s="2"/>
      <c r="I55" s="2"/>
      <c r="J55" s="22"/>
      <c r="K55" s="2"/>
      <c r="L55" s="2">
        <f t="shared" si="0"/>
        <v>0</v>
      </c>
      <c r="M55" s="2"/>
      <c r="N55" s="22">
        <f t="shared" si="1"/>
        <v>0</v>
      </c>
      <c r="O55" s="11"/>
      <c r="P55" s="2">
        <f>--35846</f>
        <v>35846</v>
      </c>
      <c r="Q55" s="2"/>
      <c r="R55" s="22"/>
      <c r="S55" s="2"/>
      <c r="T55" s="2"/>
      <c r="U55" s="2"/>
      <c r="V55" s="22"/>
      <c r="W55" s="2"/>
      <c r="X55" s="2">
        <f t="shared" si="2"/>
        <v>35846</v>
      </c>
      <c r="Y55" s="2"/>
      <c r="Z55" s="22">
        <f t="shared" si="3"/>
        <v>0</v>
      </c>
    </row>
    <row r="56" spans="1:26" s="24" customFormat="1" hidden="1" outlineLevel="1" x14ac:dyDescent="0.25">
      <c r="A56" s="51"/>
      <c r="B56" s="11" t="str">
        <f>CONCATENATE("          ", "4146", " - ", "NON-TAXABLE SALES-COIN OP MACH")</f>
        <v xml:space="preserve">          4146 - NON-TAXABLE SALES-COIN OP MACH</v>
      </c>
      <c r="C56" s="11"/>
      <c r="D56" s="2">
        <f>--49.7</f>
        <v>49.7</v>
      </c>
      <c r="E56" s="2"/>
      <c r="F56" s="22"/>
      <c r="G56" s="2"/>
      <c r="H56" s="2"/>
      <c r="I56" s="2"/>
      <c r="J56" s="22"/>
      <c r="K56" s="2"/>
      <c r="L56" s="2">
        <f t="shared" si="0"/>
        <v>49.7</v>
      </c>
      <c r="M56" s="2"/>
      <c r="N56" s="22">
        <f t="shared" si="1"/>
        <v>0</v>
      </c>
      <c r="O56" s="11"/>
      <c r="P56" s="2">
        <f>--65.2</f>
        <v>65.2</v>
      </c>
      <c r="Q56" s="2"/>
      <c r="R56" s="22"/>
      <c r="S56" s="2"/>
      <c r="T56" s="2"/>
      <c r="U56" s="2"/>
      <c r="V56" s="22"/>
      <c r="W56" s="2"/>
      <c r="X56" s="2">
        <f t="shared" si="2"/>
        <v>65.2</v>
      </c>
      <c r="Y56" s="2"/>
      <c r="Z56" s="22">
        <f t="shared" si="3"/>
        <v>0</v>
      </c>
    </row>
    <row r="57" spans="1:26" s="24" customFormat="1" hidden="1" outlineLevel="1" x14ac:dyDescent="0.25">
      <c r="A57" s="51"/>
      <c r="B57" s="11" t="str">
        <f>CONCATENATE("          ", "4147", " - ", "NON-TAXABLE SALES-MISC")</f>
        <v xml:space="preserve">          4147 - NON-TAXABLE SALES-MISC</v>
      </c>
      <c r="C57" s="11"/>
      <c r="D57" s="2">
        <f>--24</f>
        <v>24</v>
      </c>
      <c r="E57" s="2"/>
      <c r="F57" s="22"/>
      <c r="G57" s="2"/>
      <c r="H57" s="2"/>
      <c r="I57" s="2"/>
      <c r="J57" s="22"/>
      <c r="K57" s="2"/>
      <c r="L57" s="2">
        <f t="shared" si="0"/>
        <v>24</v>
      </c>
      <c r="M57" s="2"/>
      <c r="N57" s="22">
        <f t="shared" si="1"/>
        <v>0</v>
      </c>
      <c r="O57" s="11"/>
      <c r="P57" s="2">
        <f>--48</f>
        <v>48</v>
      </c>
      <c r="Q57" s="2"/>
      <c r="R57" s="22"/>
      <c r="S57" s="2"/>
      <c r="T57" s="2"/>
      <c r="U57" s="2"/>
      <c r="V57" s="22"/>
      <c r="W57" s="2"/>
      <c r="X57" s="2">
        <f t="shared" si="2"/>
        <v>48</v>
      </c>
      <c r="Y57" s="2"/>
      <c r="Z57" s="22">
        <f t="shared" si="3"/>
        <v>0</v>
      </c>
    </row>
    <row r="58" spans="1:26" s="24" customFormat="1" hidden="1" outlineLevel="1" x14ac:dyDescent="0.25">
      <c r="A58" s="51"/>
      <c r="B58" s="11" t="str">
        <f>CONCATENATE("          ", "4181", " - ", "NON-TAXABLE SALES-ELECTRONICS")</f>
        <v xml:space="preserve">          4181 - NON-TAXABLE SALES-ELECTRONICS</v>
      </c>
      <c r="C58" s="11"/>
      <c r="D58" s="2">
        <f>--669.89</f>
        <v>669.89</v>
      </c>
      <c r="E58" s="2"/>
      <c r="F58" s="22"/>
      <c r="G58" s="2"/>
      <c r="H58" s="2"/>
      <c r="I58" s="2"/>
      <c r="J58" s="22"/>
      <c r="K58" s="2"/>
      <c r="L58" s="2">
        <f t="shared" si="0"/>
        <v>669.89</v>
      </c>
      <c r="M58" s="2"/>
      <c r="N58" s="22">
        <f t="shared" si="1"/>
        <v>0</v>
      </c>
      <c r="O58" s="11"/>
      <c r="P58" s="2">
        <f>--3309.16</f>
        <v>3309.16</v>
      </c>
      <c r="Q58" s="2"/>
      <c r="R58" s="22"/>
      <c r="S58" s="2"/>
      <c r="T58" s="2"/>
      <c r="U58" s="2"/>
      <c r="V58" s="22"/>
      <c r="W58" s="2"/>
      <c r="X58" s="2">
        <f t="shared" si="2"/>
        <v>3309.16</v>
      </c>
      <c r="Y58" s="2"/>
      <c r="Z58" s="22">
        <f t="shared" si="3"/>
        <v>0</v>
      </c>
    </row>
    <row r="59" spans="1:26" s="24" customFormat="1" hidden="1" outlineLevel="1" x14ac:dyDescent="0.25">
      <c r="A59" s="51"/>
      <c r="B59" s="11" t="str">
        <f>CONCATENATE("          ", "4182", " - ", "NON-TAXABLE SALES-COMPUTER HAR")</f>
        <v xml:space="preserve">          4182 - NON-TAXABLE SALES-COMPUTER HAR</v>
      </c>
      <c r="C59" s="11"/>
      <c r="D59" s="2">
        <f>--38657</f>
        <v>38657</v>
      </c>
      <c r="E59" s="2"/>
      <c r="F59" s="22"/>
      <c r="G59" s="2"/>
      <c r="H59" s="2"/>
      <c r="I59" s="2"/>
      <c r="J59" s="22"/>
      <c r="K59" s="2"/>
      <c r="L59" s="2">
        <f t="shared" si="0"/>
        <v>38657</v>
      </c>
      <c r="M59" s="2"/>
      <c r="N59" s="22">
        <f t="shared" si="1"/>
        <v>0</v>
      </c>
      <c r="O59" s="11"/>
      <c r="P59" s="2">
        <f>--120724.38</f>
        <v>120724.38</v>
      </c>
      <c r="Q59" s="2"/>
      <c r="R59" s="22"/>
      <c r="S59" s="2"/>
      <c r="T59" s="2"/>
      <c r="U59" s="2"/>
      <c r="V59" s="22"/>
      <c r="W59" s="2"/>
      <c r="X59" s="2">
        <f t="shared" si="2"/>
        <v>120724.38</v>
      </c>
      <c r="Y59" s="2"/>
      <c r="Z59" s="22">
        <f t="shared" si="3"/>
        <v>0</v>
      </c>
    </row>
    <row r="60" spans="1:26" s="24" customFormat="1" hidden="1" outlineLevel="1" x14ac:dyDescent="0.25">
      <c r="A60" s="51"/>
      <c r="B60" s="11" t="str">
        <f>CONCATENATE("          ", "4183", " - ", "NON-TAXABLE SALES-COMPUTER EQU")</f>
        <v xml:space="preserve">          4183 - NON-TAXABLE SALES-COMPUTER EQU</v>
      </c>
      <c r="C60" s="11"/>
      <c r="D60" s="2">
        <f>--1946.8</f>
        <v>1946.8</v>
      </c>
      <c r="E60" s="2"/>
      <c r="F60" s="22"/>
      <c r="G60" s="2"/>
      <c r="H60" s="2"/>
      <c r="I60" s="2"/>
      <c r="J60" s="22"/>
      <c r="K60" s="2"/>
      <c r="L60" s="2">
        <f t="shared" si="0"/>
        <v>1946.8</v>
      </c>
      <c r="M60" s="2"/>
      <c r="N60" s="22">
        <f t="shared" si="1"/>
        <v>0</v>
      </c>
      <c r="O60" s="11"/>
      <c r="P60" s="2">
        <f>--5066.48</f>
        <v>5066.4799999999996</v>
      </c>
      <c r="Q60" s="2"/>
      <c r="R60" s="22"/>
      <c r="S60" s="2"/>
      <c r="T60" s="2"/>
      <c r="U60" s="2"/>
      <c r="V60" s="22"/>
      <c r="W60" s="2"/>
      <c r="X60" s="2">
        <f t="shared" si="2"/>
        <v>5066.4799999999996</v>
      </c>
      <c r="Y60" s="2"/>
      <c r="Z60" s="22">
        <f t="shared" si="3"/>
        <v>0</v>
      </c>
    </row>
    <row r="61" spans="1:26" s="24" customFormat="1" hidden="1" outlineLevel="1" x14ac:dyDescent="0.25">
      <c r="A61" s="51"/>
      <c r="B61" s="11" t="str">
        <f>CONCATENATE("          ", "4185", " - ", "NON-TAXABLE SALES-SOFTWARE")</f>
        <v xml:space="preserve">          4185 - NON-TAXABLE SALES-SOFTWARE</v>
      </c>
      <c r="C61" s="11"/>
      <c r="D61" s="2">
        <f>--8427.6</f>
        <v>8427.6</v>
      </c>
      <c r="E61" s="2"/>
      <c r="F61" s="22"/>
      <c r="G61" s="2"/>
      <c r="H61" s="2"/>
      <c r="I61" s="2"/>
      <c r="J61" s="22"/>
      <c r="K61" s="2"/>
      <c r="L61" s="2">
        <f t="shared" si="0"/>
        <v>8427.6</v>
      </c>
      <c r="M61" s="2"/>
      <c r="N61" s="22">
        <f t="shared" si="1"/>
        <v>0</v>
      </c>
      <c r="O61" s="11"/>
      <c r="P61" s="2">
        <f>--19226.09</f>
        <v>19226.09</v>
      </c>
      <c r="Q61" s="2"/>
      <c r="R61" s="22"/>
      <c r="S61" s="2"/>
      <c r="T61" s="2"/>
      <c r="U61" s="2"/>
      <c r="V61" s="22"/>
      <c r="W61" s="2"/>
      <c r="X61" s="2">
        <f t="shared" si="2"/>
        <v>19226.09</v>
      </c>
      <c r="Y61" s="2"/>
      <c r="Z61" s="22">
        <f t="shared" si="3"/>
        <v>0</v>
      </c>
    </row>
    <row r="62" spans="1:26" s="24" customFormat="1" hidden="1" outlineLevel="1" x14ac:dyDescent="0.25">
      <c r="A62" s="51"/>
      <c r="B62" s="11" t="str">
        <f>CONCATENATE("          ", "4186", " - ", "NON-TAXABLE SALES-COMPUTER SUP")</f>
        <v xml:space="preserve">          4186 - NON-TAXABLE SALES-COMPUTER SUP</v>
      </c>
      <c r="C62" s="11"/>
      <c r="D62" s="2">
        <f>--460.89</f>
        <v>460.89</v>
      </c>
      <c r="E62" s="2"/>
      <c r="F62" s="22"/>
      <c r="G62" s="2"/>
      <c r="H62" s="2"/>
      <c r="I62" s="2"/>
      <c r="J62" s="22"/>
      <c r="K62" s="2"/>
      <c r="L62" s="2">
        <f t="shared" si="0"/>
        <v>460.89</v>
      </c>
      <c r="M62" s="2"/>
      <c r="N62" s="22">
        <f t="shared" si="1"/>
        <v>0</v>
      </c>
      <c r="O62" s="11"/>
      <c r="P62" s="2">
        <f>--873.79</f>
        <v>873.79</v>
      </c>
      <c r="Q62" s="2"/>
      <c r="R62" s="22"/>
      <c r="S62" s="2"/>
      <c r="T62" s="2"/>
      <c r="U62" s="2"/>
      <c r="V62" s="22"/>
      <c r="W62" s="2"/>
      <c r="X62" s="2">
        <f t="shared" si="2"/>
        <v>873.79</v>
      </c>
      <c r="Y62" s="2"/>
      <c r="Z62" s="22">
        <f t="shared" si="3"/>
        <v>0</v>
      </c>
    </row>
    <row r="63" spans="1:26" s="24" customFormat="1" hidden="1" outlineLevel="1" x14ac:dyDescent="0.25">
      <c r="A63" s="51"/>
      <c r="B63" s="11" t="str">
        <f>CONCATENATE("          ", "4201", " - ", "SALES RETURN TAXABLE-NEW TEXT")</f>
        <v xml:space="preserve">          4201 - SALES RETURN TAXABLE-NEW TEXT</v>
      </c>
      <c r="C63" s="11"/>
      <c r="D63" s="2">
        <f>-13393.2</f>
        <v>-13393.2</v>
      </c>
      <c r="E63" s="2"/>
      <c r="F63" s="22"/>
      <c r="G63" s="2"/>
      <c r="H63" s="2"/>
      <c r="I63" s="2"/>
      <c r="J63" s="22"/>
      <c r="K63" s="2"/>
      <c r="L63" s="2">
        <f t="shared" si="0"/>
        <v>-13393.2</v>
      </c>
      <c r="M63" s="2"/>
      <c r="N63" s="22">
        <f t="shared" si="1"/>
        <v>0</v>
      </c>
      <c r="O63" s="11"/>
      <c r="P63" s="2">
        <f>-32248.99</f>
        <v>-32248.99</v>
      </c>
      <c r="Q63" s="2"/>
      <c r="R63" s="22"/>
      <c r="S63" s="2"/>
      <c r="T63" s="2"/>
      <c r="U63" s="2"/>
      <c r="V63" s="22"/>
      <c r="W63" s="2"/>
      <c r="X63" s="2">
        <f t="shared" si="2"/>
        <v>-32248.99</v>
      </c>
      <c r="Y63" s="2"/>
      <c r="Z63" s="22">
        <f t="shared" si="3"/>
        <v>0</v>
      </c>
    </row>
    <row r="64" spans="1:26" s="24" customFormat="1" hidden="1" outlineLevel="1" x14ac:dyDescent="0.25">
      <c r="A64" s="51"/>
      <c r="B64" s="11" t="str">
        <f>CONCATENATE("          ", "4202", " - ", "SALES RETURN TAXABLE-USED TEXT")</f>
        <v xml:space="preserve">          4202 - SALES RETURN TAXABLE-USED TEXT</v>
      </c>
      <c r="C64" s="11"/>
      <c r="D64" s="2">
        <f>-1345.2</f>
        <v>-1345.2</v>
      </c>
      <c r="E64" s="2"/>
      <c r="F64" s="22"/>
      <c r="G64" s="2"/>
      <c r="H64" s="2"/>
      <c r="I64" s="2"/>
      <c r="J64" s="22"/>
      <c r="K64" s="2"/>
      <c r="L64" s="2">
        <f t="shared" si="0"/>
        <v>-1345.2</v>
      </c>
      <c r="M64" s="2"/>
      <c r="N64" s="22">
        <f t="shared" si="1"/>
        <v>0</v>
      </c>
      <c r="O64" s="11"/>
      <c r="P64" s="2">
        <f>-10392.95</f>
        <v>-10392.950000000001</v>
      </c>
      <c r="Q64" s="2"/>
      <c r="R64" s="22"/>
      <c r="S64" s="2"/>
      <c r="T64" s="2"/>
      <c r="U64" s="2"/>
      <c r="V64" s="22"/>
      <c r="W64" s="2"/>
      <c r="X64" s="2">
        <f t="shared" si="2"/>
        <v>-10392.950000000001</v>
      </c>
      <c r="Y64" s="2"/>
      <c r="Z64" s="22">
        <f t="shared" si="3"/>
        <v>0</v>
      </c>
    </row>
    <row r="65" spans="1:26" s="24" customFormat="1" hidden="1" outlineLevel="1" x14ac:dyDescent="0.25">
      <c r="A65" s="51"/>
      <c r="B65" s="11" t="str">
        <f>CONCATENATE("          ", "4204", " - ", "SALES RETURN TAXABLE-DIGITAL T")</f>
        <v xml:space="preserve">          4204 - SALES RETURN TAXABLE-DIGITAL T</v>
      </c>
      <c r="C65" s="11"/>
      <c r="D65" s="2">
        <f>-105.87</f>
        <v>-105.87</v>
      </c>
      <c r="E65" s="2"/>
      <c r="F65" s="22"/>
      <c r="G65" s="2"/>
      <c r="H65" s="2"/>
      <c r="I65" s="2"/>
      <c r="J65" s="22"/>
      <c r="K65" s="2"/>
      <c r="L65" s="2">
        <f t="shared" si="0"/>
        <v>-105.87</v>
      </c>
      <c r="M65" s="2"/>
      <c r="N65" s="22">
        <f t="shared" si="1"/>
        <v>0</v>
      </c>
      <c r="O65" s="11"/>
      <c r="P65" s="2">
        <f>-1246.95</f>
        <v>-1246.95</v>
      </c>
      <c r="Q65" s="2"/>
      <c r="R65" s="22"/>
      <c r="S65" s="2"/>
      <c r="T65" s="2"/>
      <c r="U65" s="2"/>
      <c r="V65" s="22"/>
      <c r="W65" s="2"/>
      <c r="X65" s="2">
        <f t="shared" si="2"/>
        <v>-1246.95</v>
      </c>
      <c r="Y65" s="2"/>
      <c r="Z65" s="22">
        <f t="shared" si="3"/>
        <v>0</v>
      </c>
    </row>
    <row r="66" spans="1:26" s="24" customFormat="1" hidden="1" outlineLevel="1" x14ac:dyDescent="0.25">
      <c r="A66" s="51"/>
      <c r="B66" s="11" t="str">
        <f>CONCATENATE("          ", "4226", " - ", "SALES RETURN TAXABLE-WRITING I")</f>
        <v xml:space="preserve">          4226 - SALES RETURN TAXABLE-WRITING I</v>
      </c>
      <c r="C66" s="11"/>
      <c r="D66" s="2">
        <f>-22.49</f>
        <v>-22.49</v>
      </c>
      <c r="E66" s="2"/>
      <c r="F66" s="22"/>
      <c r="G66" s="2"/>
      <c r="H66" s="2"/>
      <c r="I66" s="2"/>
      <c r="J66" s="22"/>
      <c r="K66" s="2"/>
      <c r="L66" s="2">
        <f t="shared" si="0"/>
        <v>-22.49</v>
      </c>
      <c r="M66" s="2"/>
      <c r="N66" s="22">
        <f t="shared" si="1"/>
        <v>0</v>
      </c>
      <c r="O66" s="11"/>
      <c r="P66" s="2">
        <f>-28.87</f>
        <v>-28.87</v>
      </c>
      <c r="Q66" s="2"/>
      <c r="R66" s="22"/>
      <c r="S66" s="2"/>
      <c r="T66" s="2"/>
      <c r="U66" s="2"/>
      <c r="V66" s="22"/>
      <c r="W66" s="2"/>
      <c r="X66" s="2">
        <f t="shared" si="2"/>
        <v>-28.87</v>
      </c>
      <c r="Y66" s="2"/>
      <c r="Z66" s="22">
        <f t="shared" si="3"/>
        <v>0</v>
      </c>
    </row>
    <row r="67" spans="1:26" s="24" customFormat="1" hidden="1" outlineLevel="1" x14ac:dyDescent="0.25">
      <c r="A67" s="51"/>
      <c r="B67" s="11" t="str">
        <f>CONCATENATE("          ", "4227", " - ", "SALES RETURN TAXABLE-SCHOOL SU")</f>
        <v xml:space="preserve">          4227 - SALES RETURN TAXABLE-SCHOOL SU</v>
      </c>
      <c r="C67" s="11"/>
      <c r="D67" s="2">
        <f>-152.29</f>
        <v>-152.29</v>
      </c>
      <c r="E67" s="2"/>
      <c r="F67" s="22"/>
      <c r="G67" s="2"/>
      <c r="H67" s="2"/>
      <c r="I67" s="2"/>
      <c r="J67" s="22"/>
      <c r="K67" s="2"/>
      <c r="L67" s="2">
        <f t="shared" si="0"/>
        <v>-152.29</v>
      </c>
      <c r="M67" s="2"/>
      <c r="N67" s="22">
        <f t="shared" si="1"/>
        <v>0</v>
      </c>
      <c r="O67" s="11"/>
      <c r="P67" s="2">
        <f>-568.67</f>
        <v>-568.66999999999996</v>
      </c>
      <c r="Q67" s="2"/>
      <c r="R67" s="22"/>
      <c r="S67" s="2"/>
      <c r="T67" s="2"/>
      <c r="U67" s="2"/>
      <c r="V67" s="22"/>
      <c r="W67" s="2"/>
      <c r="X67" s="2">
        <f t="shared" si="2"/>
        <v>-568.66999999999996</v>
      </c>
      <c r="Y67" s="2"/>
      <c r="Z67" s="22">
        <f t="shared" si="3"/>
        <v>0</v>
      </c>
    </row>
    <row r="68" spans="1:26" s="24" customFormat="1" hidden="1" outlineLevel="1" x14ac:dyDescent="0.25">
      <c r="A68" s="51"/>
      <c r="B68" s="11" t="str">
        <f>CONCATENATE("          ", "4228", " - ", "SALES RETURN TAXABLE-ART/TECH")</f>
        <v xml:space="preserve">          4228 - SALES RETURN TAXABLE-ART/TECH</v>
      </c>
      <c r="C68" s="11"/>
      <c r="D68" s="2">
        <f>-57.76</f>
        <v>-57.76</v>
      </c>
      <c r="E68" s="2"/>
      <c r="F68" s="22"/>
      <c r="G68" s="2"/>
      <c r="H68" s="2"/>
      <c r="I68" s="2"/>
      <c r="J68" s="22"/>
      <c r="K68" s="2"/>
      <c r="L68" s="2">
        <f t="shared" si="0"/>
        <v>-57.76</v>
      </c>
      <c r="M68" s="2"/>
      <c r="N68" s="22">
        <f t="shared" si="1"/>
        <v>0</v>
      </c>
      <c r="O68" s="11"/>
      <c r="P68" s="2">
        <f>-222.2</f>
        <v>-222.2</v>
      </c>
      <c r="Q68" s="2"/>
      <c r="R68" s="22"/>
      <c r="S68" s="2"/>
      <c r="T68" s="2"/>
      <c r="U68" s="2"/>
      <c r="V68" s="22"/>
      <c r="W68" s="2"/>
      <c r="X68" s="2">
        <f t="shared" si="2"/>
        <v>-222.2</v>
      </c>
      <c r="Y68" s="2"/>
      <c r="Z68" s="22">
        <f t="shared" si="3"/>
        <v>0</v>
      </c>
    </row>
    <row r="69" spans="1:26" s="24" customFormat="1" hidden="1" outlineLevel="1" x14ac:dyDescent="0.25">
      <c r="A69" s="51"/>
      <c r="B69" s="11" t="str">
        <f>CONCATENATE("          ", "4240", " - ", "SALES RETURN TAXABLE-LOGO CLOT")</f>
        <v xml:space="preserve">          4240 - SALES RETURN TAXABLE-LOGO CLOT</v>
      </c>
      <c r="C69" s="11"/>
      <c r="D69" s="2">
        <f>-3453.14</f>
        <v>-3453.14</v>
      </c>
      <c r="E69" s="2"/>
      <c r="F69" s="22"/>
      <c r="G69" s="2"/>
      <c r="H69" s="2"/>
      <c r="I69" s="2"/>
      <c r="J69" s="22"/>
      <c r="K69" s="2"/>
      <c r="L69" s="2">
        <f t="shared" si="0"/>
        <v>-3453.14</v>
      </c>
      <c r="M69" s="2"/>
      <c r="N69" s="22">
        <f t="shared" si="1"/>
        <v>0</v>
      </c>
      <c r="O69" s="11"/>
      <c r="P69" s="2">
        <f>-11609.96</f>
        <v>-11609.96</v>
      </c>
      <c r="Q69" s="2"/>
      <c r="R69" s="22"/>
      <c r="S69" s="2"/>
      <c r="T69" s="2"/>
      <c r="U69" s="2"/>
      <c r="V69" s="22"/>
      <c r="W69" s="2"/>
      <c r="X69" s="2">
        <f t="shared" si="2"/>
        <v>-11609.96</v>
      </c>
      <c r="Y69" s="2"/>
      <c r="Z69" s="22">
        <f t="shared" si="3"/>
        <v>0</v>
      </c>
    </row>
    <row r="70" spans="1:26" s="24" customFormat="1" hidden="1" outlineLevel="1" x14ac:dyDescent="0.25">
      <c r="A70" s="51"/>
      <c r="B70" s="11" t="str">
        <f>CONCATENATE("          ", "4241", " - ", "SALES RETURN TAXABLE-LOGO GIFT")</f>
        <v xml:space="preserve">          4241 - SALES RETURN TAXABLE-LOGO GIFT</v>
      </c>
      <c r="C70" s="11"/>
      <c r="D70" s="2">
        <f>-988.92</f>
        <v>-988.92</v>
      </c>
      <c r="E70" s="2"/>
      <c r="F70" s="22"/>
      <c r="G70" s="2"/>
      <c r="H70" s="2"/>
      <c r="I70" s="2"/>
      <c r="J70" s="22"/>
      <c r="K70" s="2"/>
      <c r="L70" s="2">
        <f t="shared" si="0"/>
        <v>-988.92</v>
      </c>
      <c r="M70" s="2"/>
      <c r="N70" s="22">
        <f t="shared" si="1"/>
        <v>0</v>
      </c>
      <c r="O70" s="11"/>
      <c r="P70" s="2">
        <f>-2317.11</f>
        <v>-2317.11</v>
      </c>
      <c r="Q70" s="2"/>
      <c r="R70" s="22"/>
      <c r="S70" s="2"/>
      <c r="T70" s="2"/>
      <c r="U70" s="2"/>
      <c r="V70" s="22"/>
      <c r="W70" s="2"/>
      <c r="X70" s="2">
        <f t="shared" si="2"/>
        <v>-2317.11</v>
      </c>
      <c r="Y70" s="2"/>
      <c r="Z70" s="22">
        <f t="shared" si="3"/>
        <v>0</v>
      </c>
    </row>
    <row r="71" spans="1:26" s="24" customFormat="1" hidden="1" outlineLevel="1" x14ac:dyDescent="0.25">
      <c r="A71" s="51"/>
      <c r="B71" s="11" t="str">
        <f>CONCATENATE("          ", "4242", " - ", "SALES RETURN TAXABLE-EVERYDAY")</f>
        <v xml:space="preserve">          4242 - SALES RETURN TAXABLE-EVERYDAY</v>
      </c>
      <c r="C71" s="11"/>
      <c r="D71" s="2">
        <f>-405.07</f>
        <v>-405.07</v>
      </c>
      <c r="E71" s="2"/>
      <c r="F71" s="22"/>
      <c r="G71" s="2"/>
      <c r="H71" s="2"/>
      <c r="I71" s="2"/>
      <c r="J71" s="22"/>
      <c r="K71" s="2"/>
      <c r="L71" s="2">
        <f t="shared" si="0"/>
        <v>-405.07</v>
      </c>
      <c r="M71" s="2"/>
      <c r="N71" s="22">
        <f t="shared" si="1"/>
        <v>0</v>
      </c>
      <c r="O71" s="11"/>
      <c r="P71" s="2">
        <f>-1054.56</f>
        <v>-1054.56</v>
      </c>
      <c r="Q71" s="2"/>
      <c r="R71" s="22"/>
      <c r="S71" s="2"/>
      <c r="T71" s="2"/>
      <c r="U71" s="2"/>
      <c r="V71" s="22"/>
      <c r="W71" s="2"/>
      <c r="X71" s="2">
        <f t="shared" si="2"/>
        <v>-1054.56</v>
      </c>
      <c r="Y71" s="2"/>
      <c r="Z71" s="22">
        <f t="shared" si="3"/>
        <v>0</v>
      </c>
    </row>
    <row r="72" spans="1:26" s="24" customFormat="1" hidden="1" outlineLevel="1" x14ac:dyDescent="0.25">
      <c r="A72" s="51"/>
      <c r="B72" s="11" t="str">
        <f>CONCATENATE("          ", "4243", " - ", "SALES RETURN TAXABLE-CARDS")</f>
        <v xml:space="preserve">          4243 - SALES RETURN TAXABLE-CARDS</v>
      </c>
      <c r="C72" s="11"/>
      <c r="D72" s="2">
        <f>-59.94</f>
        <v>-59.94</v>
      </c>
      <c r="E72" s="2"/>
      <c r="F72" s="22"/>
      <c r="G72" s="2"/>
      <c r="H72" s="2"/>
      <c r="I72" s="2"/>
      <c r="J72" s="22"/>
      <c r="K72" s="2"/>
      <c r="L72" s="2">
        <f t="shared" si="0"/>
        <v>-59.94</v>
      </c>
      <c r="M72" s="2"/>
      <c r="N72" s="22">
        <f t="shared" si="1"/>
        <v>0</v>
      </c>
      <c r="O72" s="11"/>
      <c r="P72" s="2">
        <f>-153.37</f>
        <v>-153.37</v>
      </c>
      <c r="Q72" s="2"/>
      <c r="R72" s="22"/>
      <c r="S72" s="2"/>
      <c r="T72" s="2"/>
      <c r="U72" s="2"/>
      <c r="V72" s="22"/>
      <c r="W72" s="2"/>
      <c r="X72" s="2">
        <f t="shared" si="2"/>
        <v>-153.37</v>
      </c>
      <c r="Y72" s="2"/>
      <c r="Z72" s="22">
        <f t="shared" si="3"/>
        <v>0</v>
      </c>
    </row>
    <row r="73" spans="1:26" s="24" customFormat="1" hidden="1" outlineLevel="1" x14ac:dyDescent="0.25">
      <c r="A73" s="51"/>
      <c r="B73" s="11" t="str">
        <f>CONCATENATE("          ", "4244", " - ", "SALES RETURN TAXABLE-ACCESSORI")</f>
        <v xml:space="preserve">          4244 - SALES RETURN TAXABLE-ACCESSORI</v>
      </c>
      <c r="C73" s="11"/>
      <c r="D73" s="2">
        <f>-60</f>
        <v>-60</v>
      </c>
      <c r="E73" s="2"/>
      <c r="F73" s="22"/>
      <c r="G73" s="2"/>
      <c r="H73" s="2"/>
      <c r="I73" s="2"/>
      <c r="J73" s="22"/>
      <c r="K73" s="2"/>
      <c r="L73" s="2">
        <f t="shared" si="0"/>
        <v>-60</v>
      </c>
      <c r="M73" s="2"/>
      <c r="N73" s="22">
        <f t="shared" si="1"/>
        <v>0</v>
      </c>
      <c r="O73" s="11"/>
      <c r="P73" s="2">
        <f>-410.99</f>
        <v>-410.99</v>
      </c>
      <c r="Q73" s="2"/>
      <c r="R73" s="22"/>
      <c r="S73" s="2"/>
      <c r="T73" s="2"/>
      <c r="U73" s="2"/>
      <c r="V73" s="22"/>
      <c r="W73" s="2"/>
      <c r="X73" s="2">
        <f t="shared" si="2"/>
        <v>-410.99</v>
      </c>
      <c r="Y73" s="2"/>
      <c r="Z73" s="22">
        <f t="shared" si="3"/>
        <v>0</v>
      </c>
    </row>
    <row r="74" spans="1:26" s="24" customFormat="1" hidden="1" outlineLevel="1" x14ac:dyDescent="0.25">
      <c r="A74" s="51"/>
      <c r="B74" s="11" t="str">
        <f>CONCATENATE("          ", "4245", " - ", "SALES RETURN TAXABLE-SPECIAL O")</f>
        <v xml:space="preserve">          4245 - SALES RETURN TAXABLE-SPECIAL O</v>
      </c>
      <c r="C74" s="11"/>
      <c r="D74" s="2">
        <f>-3.99</f>
        <v>-3.99</v>
      </c>
      <c r="E74" s="2"/>
      <c r="F74" s="22"/>
      <c r="G74" s="2"/>
      <c r="H74" s="2"/>
      <c r="I74" s="2"/>
      <c r="J74" s="22"/>
      <c r="K74" s="2"/>
      <c r="L74" s="2">
        <f t="shared" si="0"/>
        <v>-3.99</v>
      </c>
      <c r="M74" s="2"/>
      <c r="N74" s="22">
        <f t="shared" si="1"/>
        <v>0</v>
      </c>
      <c r="O74" s="11"/>
      <c r="P74" s="2">
        <f>-1182.95</f>
        <v>-1182.95</v>
      </c>
      <c r="Q74" s="2"/>
      <c r="R74" s="22"/>
      <c r="S74" s="2"/>
      <c r="T74" s="2"/>
      <c r="U74" s="2"/>
      <c r="V74" s="22"/>
      <c r="W74" s="2"/>
      <c r="X74" s="2">
        <f t="shared" si="2"/>
        <v>-1182.95</v>
      </c>
      <c r="Y74" s="2"/>
      <c r="Z74" s="22">
        <f t="shared" si="3"/>
        <v>0</v>
      </c>
    </row>
    <row r="75" spans="1:26" s="24" customFormat="1" hidden="1" outlineLevel="1" x14ac:dyDescent="0.25">
      <c r="A75" s="51"/>
      <c r="B75" s="11" t="str">
        <f>CONCATENATE("          ", "4281", " - ", "SALES RETURN TAXABLE-ELECTRONI")</f>
        <v xml:space="preserve">          4281 - SALES RETURN TAXABLE-ELECTRONI</v>
      </c>
      <c r="C75" s="11"/>
      <c r="D75" s="2">
        <f>-557.94</f>
        <v>-557.94000000000005</v>
      </c>
      <c r="E75" s="2"/>
      <c r="F75" s="22"/>
      <c r="G75" s="2"/>
      <c r="H75" s="2"/>
      <c r="I75" s="2"/>
      <c r="J75" s="22"/>
      <c r="K75" s="2"/>
      <c r="L75" s="2">
        <f t="shared" si="0"/>
        <v>-557.94000000000005</v>
      </c>
      <c r="M75" s="2"/>
      <c r="N75" s="22">
        <f t="shared" si="1"/>
        <v>0</v>
      </c>
      <c r="O75" s="11"/>
      <c r="P75" s="2">
        <f>-14274.16</f>
        <v>-14274.16</v>
      </c>
      <c r="Q75" s="2"/>
      <c r="R75" s="22"/>
      <c r="S75" s="2"/>
      <c r="T75" s="2"/>
      <c r="U75" s="2"/>
      <c r="V75" s="22"/>
      <c r="W75" s="2"/>
      <c r="X75" s="2">
        <f t="shared" si="2"/>
        <v>-14274.16</v>
      </c>
      <c r="Y75" s="2"/>
      <c r="Z75" s="22">
        <f t="shared" si="3"/>
        <v>0</v>
      </c>
    </row>
    <row r="76" spans="1:26" s="24" customFormat="1" hidden="1" outlineLevel="1" x14ac:dyDescent="0.25">
      <c r="A76" s="51"/>
      <c r="B76" s="11" t="str">
        <f>CONCATENATE("          ", "4282", " - ", "SALES RETURN TAXABLE-COMPUTER")</f>
        <v xml:space="preserve">          4282 - SALES RETURN TAXABLE-COMPUTER</v>
      </c>
      <c r="C76" s="11"/>
      <c r="D76" s="2">
        <f>-14636</f>
        <v>-14636</v>
      </c>
      <c r="E76" s="2"/>
      <c r="F76" s="22"/>
      <c r="G76" s="2"/>
      <c r="H76" s="2"/>
      <c r="I76" s="2"/>
      <c r="J76" s="22"/>
      <c r="K76" s="2"/>
      <c r="L76" s="2">
        <f t="shared" si="0"/>
        <v>-14636</v>
      </c>
      <c r="M76" s="2"/>
      <c r="N76" s="22">
        <f t="shared" si="1"/>
        <v>0</v>
      </c>
      <c r="O76" s="11"/>
      <c r="P76" s="2">
        <f>-48285</f>
        <v>-48285</v>
      </c>
      <c r="Q76" s="2"/>
      <c r="R76" s="22"/>
      <c r="S76" s="2"/>
      <c r="T76" s="2"/>
      <c r="U76" s="2"/>
      <c r="V76" s="22"/>
      <c r="W76" s="2"/>
      <c r="X76" s="2">
        <f t="shared" si="2"/>
        <v>-48285</v>
      </c>
      <c r="Y76" s="2"/>
      <c r="Z76" s="22">
        <f t="shared" si="3"/>
        <v>0</v>
      </c>
    </row>
    <row r="77" spans="1:26" s="24" customFormat="1" hidden="1" outlineLevel="1" x14ac:dyDescent="0.25">
      <c r="A77" s="51"/>
      <c r="B77" s="11" t="str">
        <f>CONCATENATE("          ", "4283", " - ", "SALES RETURN TAXABLE-COMPUTER")</f>
        <v xml:space="preserve">          4283 - SALES RETURN TAXABLE-COMPUTER</v>
      </c>
      <c r="C77" s="11"/>
      <c r="D77" s="2">
        <f>-483.9</f>
        <v>-483.9</v>
      </c>
      <c r="E77" s="2"/>
      <c r="F77" s="22"/>
      <c r="G77" s="2"/>
      <c r="H77" s="2"/>
      <c r="I77" s="2"/>
      <c r="J77" s="22"/>
      <c r="K77" s="2"/>
      <c r="L77" s="2">
        <f t="shared" si="0"/>
        <v>-483.9</v>
      </c>
      <c r="M77" s="2"/>
      <c r="N77" s="22">
        <f t="shared" si="1"/>
        <v>0</v>
      </c>
      <c r="O77" s="11"/>
      <c r="P77" s="2">
        <f>-2002.73</f>
        <v>-2002.73</v>
      </c>
      <c r="Q77" s="2"/>
      <c r="R77" s="22"/>
      <c r="S77" s="2"/>
      <c r="T77" s="2"/>
      <c r="U77" s="2"/>
      <c r="V77" s="22"/>
      <c r="W77" s="2"/>
      <c r="X77" s="2">
        <f t="shared" si="2"/>
        <v>-2002.73</v>
      </c>
      <c r="Y77" s="2"/>
      <c r="Z77" s="22">
        <f t="shared" si="3"/>
        <v>0</v>
      </c>
    </row>
    <row r="78" spans="1:26" s="24" customFormat="1" hidden="1" outlineLevel="1" x14ac:dyDescent="0.25">
      <c r="A78" s="51"/>
      <c r="B78" s="11" t="str">
        <f>CONCATENATE("          ", "4285", " - ", "SALES RETURN TAXABLE-SOFTWARE")</f>
        <v xml:space="preserve">          4285 - SALES RETURN TAXABLE-SOFTWARE</v>
      </c>
      <c r="C78" s="11"/>
      <c r="D78" s="2">
        <f>-552.98</f>
        <v>-552.98</v>
      </c>
      <c r="E78" s="2"/>
      <c r="F78" s="22"/>
      <c r="G78" s="2"/>
      <c r="H78" s="2"/>
      <c r="I78" s="2"/>
      <c r="J78" s="22"/>
      <c r="K78" s="2"/>
      <c r="L78" s="2">
        <f t="shared" si="0"/>
        <v>-552.98</v>
      </c>
      <c r="M78" s="2"/>
      <c r="N78" s="22">
        <f t="shared" si="1"/>
        <v>0</v>
      </c>
      <c r="O78" s="11"/>
      <c r="P78" s="2">
        <f>-552.98</f>
        <v>-552.98</v>
      </c>
      <c r="Q78" s="2"/>
      <c r="R78" s="22"/>
      <c r="S78" s="2"/>
      <c r="T78" s="2"/>
      <c r="U78" s="2"/>
      <c r="V78" s="22"/>
      <c r="W78" s="2"/>
      <c r="X78" s="2">
        <f t="shared" si="2"/>
        <v>-552.98</v>
      </c>
      <c r="Y78" s="2"/>
      <c r="Z78" s="22">
        <f t="shared" si="3"/>
        <v>0</v>
      </c>
    </row>
    <row r="79" spans="1:26" s="24" customFormat="1" hidden="1" outlineLevel="1" x14ac:dyDescent="0.25">
      <c r="A79" s="51"/>
      <c r="B79" s="11" t="str">
        <f>CONCATENATE("          ", "4286", " - ", "SALES RETURN TAXABLE-COMPUTER")</f>
        <v xml:space="preserve">          4286 - SALES RETURN TAXABLE-COMPUTER</v>
      </c>
      <c r="C79" s="11"/>
      <c r="D79" s="2">
        <f>-258.44</f>
        <v>-258.44</v>
      </c>
      <c r="E79" s="2"/>
      <c r="F79" s="22"/>
      <c r="G79" s="2"/>
      <c r="H79" s="2"/>
      <c r="I79" s="2"/>
      <c r="J79" s="22"/>
      <c r="K79" s="2"/>
      <c r="L79" s="2">
        <f t="shared" si="0"/>
        <v>-258.44</v>
      </c>
      <c r="M79" s="2"/>
      <c r="N79" s="22">
        <f t="shared" si="1"/>
        <v>0</v>
      </c>
      <c r="O79" s="11"/>
      <c r="P79" s="2">
        <f>-412.4</f>
        <v>-412.4</v>
      </c>
      <c r="Q79" s="2"/>
      <c r="R79" s="22"/>
      <c r="S79" s="2"/>
      <c r="T79" s="2"/>
      <c r="U79" s="2"/>
      <c r="V79" s="22"/>
      <c r="W79" s="2"/>
      <c r="X79" s="2">
        <f t="shared" si="2"/>
        <v>-412.4</v>
      </c>
      <c r="Y79" s="2"/>
      <c r="Z79" s="22">
        <f t="shared" si="3"/>
        <v>0</v>
      </c>
    </row>
    <row r="80" spans="1:26" s="24" customFormat="1" hidden="1" outlineLevel="1" x14ac:dyDescent="0.25">
      <c r="A80" s="51"/>
      <c r="B80" s="11" t="str">
        <f>CONCATENATE("          ", "4301", " - ", "SALES RETURN NON TAXABLE-NEW T")</f>
        <v xml:space="preserve">          4301 - SALES RETURN NON TAXABLE-NEW T</v>
      </c>
      <c r="C80" s="11"/>
      <c r="D80" s="2">
        <f>-1820.43</f>
        <v>-1820.43</v>
      </c>
      <c r="E80" s="2"/>
      <c r="F80" s="22"/>
      <c r="G80" s="2"/>
      <c r="H80" s="2"/>
      <c r="I80" s="2"/>
      <c r="J80" s="22"/>
      <c r="K80" s="2"/>
      <c r="L80" s="2">
        <f t="shared" si="0"/>
        <v>-1820.43</v>
      </c>
      <c r="M80" s="2"/>
      <c r="N80" s="22">
        <f t="shared" si="1"/>
        <v>0</v>
      </c>
      <c r="O80" s="11"/>
      <c r="P80" s="2">
        <f>-1840.68</f>
        <v>-1840.68</v>
      </c>
      <c r="Q80" s="2"/>
      <c r="R80" s="22"/>
      <c r="S80" s="2"/>
      <c r="T80" s="2"/>
      <c r="U80" s="2"/>
      <c r="V80" s="22"/>
      <c r="W80" s="2"/>
      <c r="X80" s="2">
        <f t="shared" si="2"/>
        <v>-1840.68</v>
      </c>
      <c r="Y80" s="2"/>
      <c r="Z80" s="22">
        <f t="shared" si="3"/>
        <v>0</v>
      </c>
    </row>
    <row r="81" spans="1:26" s="24" customFormat="1" hidden="1" outlineLevel="1" x14ac:dyDescent="0.25">
      <c r="A81" s="51"/>
      <c r="B81" s="11" t="str">
        <f>CONCATENATE("          ", "4302", " - ", "SALES RETURN NON TAXABLE-TEXT")</f>
        <v xml:space="preserve">          4302 - SALES RETURN NON TAXABLE-TEXT</v>
      </c>
      <c r="C81" s="11"/>
      <c r="D81" s="2">
        <f>-737.24</f>
        <v>-737.24</v>
      </c>
      <c r="E81" s="2"/>
      <c r="F81" s="22"/>
      <c r="G81" s="2"/>
      <c r="H81" s="2"/>
      <c r="I81" s="2"/>
      <c r="J81" s="22"/>
      <c r="K81" s="2"/>
      <c r="L81" s="2">
        <f t="shared" si="0"/>
        <v>-737.24</v>
      </c>
      <c r="M81" s="2"/>
      <c r="N81" s="22">
        <f t="shared" si="1"/>
        <v>0</v>
      </c>
      <c r="O81" s="11"/>
      <c r="P81" s="2">
        <f>-1147.08</f>
        <v>-1147.08</v>
      </c>
      <c r="Q81" s="2"/>
      <c r="R81" s="22"/>
      <c r="S81" s="2"/>
      <c r="T81" s="2"/>
      <c r="U81" s="2"/>
      <c r="V81" s="22"/>
      <c r="W81" s="2"/>
      <c r="X81" s="2">
        <f t="shared" si="2"/>
        <v>-1147.08</v>
      </c>
      <c r="Y81" s="2"/>
      <c r="Z81" s="22">
        <f t="shared" si="3"/>
        <v>0</v>
      </c>
    </row>
    <row r="82" spans="1:26" s="24" customFormat="1" hidden="1" outlineLevel="1" x14ac:dyDescent="0.25">
      <c r="A82" s="51"/>
      <c r="B82" s="11" t="str">
        <f>CONCATENATE("          ", "4304", " - ", "SALES RETURN NON TAXABLE-DIGIT")</f>
        <v xml:space="preserve">          4304 - SALES RETURN NON TAXABLE-DIGIT</v>
      </c>
      <c r="C82" s="11"/>
      <c r="D82" s="2">
        <f>-7456.63</f>
        <v>-7456.63</v>
      </c>
      <c r="E82" s="2"/>
      <c r="F82" s="22"/>
      <c r="G82" s="2"/>
      <c r="H82" s="2"/>
      <c r="I82" s="2"/>
      <c r="J82" s="22"/>
      <c r="K82" s="2"/>
      <c r="L82" s="2">
        <f t="shared" si="0"/>
        <v>-7456.63</v>
      </c>
      <c r="M82" s="2"/>
      <c r="N82" s="22">
        <f t="shared" si="1"/>
        <v>0</v>
      </c>
      <c r="O82" s="11"/>
      <c r="P82" s="2">
        <f>-13409.36</f>
        <v>-13409.36</v>
      </c>
      <c r="Q82" s="2"/>
      <c r="R82" s="22"/>
      <c r="S82" s="2"/>
      <c r="T82" s="2"/>
      <c r="U82" s="2"/>
      <c r="V82" s="22"/>
      <c r="W82" s="2"/>
      <c r="X82" s="2">
        <f t="shared" si="2"/>
        <v>-13409.36</v>
      </c>
      <c r="Y82" s="2"/>
      <c r="Z82" s="22">
        <f t="shared" si="3"/>
        <v>0</v>
      </c>
    </row>
    <row r="83" spans="1:26" s="24" customFormat="1" hidden="1" outlineLevel="1" x14ac:dyDescent="0.25">
      <c r="A83" s="51"/>
      <c r="B83" s="11" t="str">
        <f>CONCATENATE("          ", "4340", " - ", "SALES RETURN NON TAXABLE-LOGO")</f>
        <v xml:space="preserve">          4340 - SALES RETURN NON TAXABLE-LOGO</v>
      </c>
      <c r="C83" s="11"/>
      <c r="D83" s="2">
        <f>-36.9</f>
        <v>-36.9</v>
      </c>
      <c r="E83" s="2"/>
      <c r="F83" s="22"/>
      <c r="G83" s="2"/>
      <c r="H83" s="2"/>
      <c r="I83" s="2"/>
      <c r="J83" s="22"/>
      <c r="K83" s="2"/>
      <c r="L83" s="2">
        <f t="shared" si="0"/>
        <v>-36.9</v>
      </c>
      <c r="M83" s="2"/>
      <c r="N83" s="22">
        <f t="shared" si="1"/>
        <v>0</v>
      </c>
      <c r="O83" s="11"/>
      <c r="P83" s="2">
        <f>-541.04</f>
        <v>-541.04</v>
      </c>
      <c r="Q83" s="2"/>
      <c r="R83" s="22"/>
      <c r="S83" s="2"/>
      <c r="T83" s="2"/>
      <c r="U83" s="2"/>
      <c r="V83" s="22"/>
      <c r="W83" s="2"/>
      <c r="X83" s="2">
        <f t="shared" si="2"/>
        <v>-541.04</v>
      </c>
      <c r="Y83" s="2"/>
      <c r="Z83" s="22">
        <f t="shared" si="3"/>
        <v>0</v>
      </c>
    </row>
    <row r="84" spans="1:26" s="24" customFormat="1" hidden="1" outlineLevel="1" x14ac:dyDescent="0.25">
      <c r="A84" s="51"/>
      <c r="B84" s="11" t="str">
        <f>CONCATENATE("          ", "4341", " - ", "SALES RETURN NON TAXABLE-LOGO")</f>
        <v xml:space="preserve">          4341 - SALES RETURN NON TAXABLE-LOGO</v>
      </c>
      <c r="C84" s="11"/>
      <c r="D84" s="2">
        <f>-129.95</f>
        <v>-129.94999999999999</v>
      </c>
      <c r="E84" s="2"/>
      <c r="F84" s="22"/>
      <c r="G84" s="2"/>
      <c r="H84" s="2"/>
      <c r="I84" s="2"/>
      <c r="J84" s="22"/>
      <c r="K84" s="2"/>
      <c r="L84" s="2">
        <f t="shared" si="0"/>
        <v>-129.94999999999999</v>
      </c>
      <c r="M84" s="2"/>
      <c r="N84" s="22">
        <f t="shared" si="1"/>
        <v>0</v>
      </c>
      <c r="O84" s="11"/>
      <c r="P84" s="2">
        <f>-146.9</f>
        <v>-146.9</v>
      </c>
      <c r="Q84" s="2"/>
      <c r="R84" s="22"/>
      <c r="S84" s="2"/>
      <c r="T84" s="2"/>
      <c r="U84" s="2"/>
      <c r="V84" s="22"/>
      <c r="W84" s="2"/>
      <c r="X84" s="2">
        <f t="shared" si="2"/>
        <v>-146.9</v>
      </c>
      <c r="Y84" s="2"/>
      <c r="Z84" s="22">
        <f t="shared" si="3"/>
        <v>0</v>
      </c>
    </row>
    <row r="85" spans="1:26" s="24" customFormat="1" hidden="1" outlineLevel="1" x14ac:dyDescent="0.25">
      <c r="A85" s="51"/>
      <c r="B85" s="11" t="str">
        <f>CONCATENATE("          ", "4342", " - ", "SALES RETURN NON TAXABLE-EVERY")</f>
        <v xml:space="preserve">          4342 - SALES RETURN NON TAXABLE-EVERY</v>
      </c>
      <c r="C85" s="11"/>
      <c r="D85" s="2">
        <f>-24.95</f>
        <v>-24.95</v>
      </c>
      <c r="E85" s="2"/>
      <c r="F85" s="22"/>
      <c r="G85" s="2"/>
      <c r="H85" s="2"/>
      <c r="I85" s="2"/>
      <c r="J85" s="22"/>
      <c r="K85" s="2"/>
      <c r="L85" s="2">
        <f t="shared" si="0"/>
        <v>-24.95</v>
      </c>
      <c r="M85" s="2"/>
      <c r="N85" s="22">
        <f t="shared" si="1"/>
        <v>0</v>
      </c>
      <c r="O85" s="11"/>
      <c r="P85" s="2">
        <f>-118.7</f>
        <v>-118.7</v>
      </c>
      <c r="Q85" s="2"/>
      <c r="R85" s="22"/>
      <c r="S85" s="2"/>
      <c r="T85" s="2"/>
      <c r="U85" s="2"/>
      <c r="V85" s="22"/>
      <c r="W85" s="2"/>
      <c r="X85" s="2">
        <f t="shared" si="2"/>
        <v>-118.7</v>
      </c>
      <c r="Y85" s="2"/>
      <c r="Z85" s="22">
        <f t="shared" si="3"/>
        <v>0</v>
      </c>
    </row>
    <row r="86" spans="1:26" s="24" customFormat="1" hidden="1" outlineLevel="1" x14ac:dyDescent="0.25">
      <c r="A86" s="51"/>
      <c r="B86" s="11" t="str">
        <f>CONCATENATE("          ", "4381", " - ", "SALES RETURN NON TAXABLE-ELECT")</f>
        <v xml:space="preserve">          4381 - SALES RETURN NON TAXABLE-ELECT</v>
      </c>
      <c r="C86" s="11"/>
      <c r="D86" s="2">
        <f>-249.95</f>
        <v>-249.95</v>
      </c>
      <c r="E86" s="2"/>
      <c r="F86" s="22"/>
      <c r="G86" s="2"/>
      <c r="H86" s="2"/>
      <c r="I86" s="2"/>
      <c r="J86" s="22"/>
      <c r="K86" s="2"/>
      <c r="L86" s="2">
        <f t="shared" si="0"/>
        <v>-249.95</v>
      </c>
      <c r="M86" s="2"/>
      <c r="N86" s="22">
        <f t="shared" si="1"/>
        <v>0</v>
      </c>
      <c r="O86" s="11"/>
      <c r="P86" s="2">
        <f>-5624.15</f>
        <v>-5624.15</v>
      </c>
      <c r="Q86" s="2"/>
      <c r="R86" s="22"/>
      <c r="S86" s="2"/>
      <c r="T86" s="2"/>
      <c r="U86" s="2"/>
      <c r="V86" s="22"/>
      <c r="W86" s="2"/>
      <c r="X86" s="2">
        <f t="shared" si="2"/>
        <v>-5624.15</v>
      </c>
      <c r="Y86" s="2"/>
      <c r="Z86" s="22">
        <f t="shared" si="3"/>
        <v>0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collapsed="1" x14ac:dyDescent="0.25">
      <c r="A88" s="10"/>
      <c r="B88" s="25" t="s">
        <v>8</v>
      </c>
      <c r="C88" s="10"/>
      <c r="D88" s="4">
        <f>SUM(OSRRefD16x_0)</f>
        <v>493273.1</v>
      </c>
      <c r="E88" s="4"/>
      <c r="F88" s="12">
        <f t="shared" ref="F88:F122" si="5">IF(D$12=0,0,D88/D$12)</f>
        <v>0.7795192731835594</v>
      </c>
      <c r="G88" s="4"/>
      <c r="H88" s="4">
        <f>SUM(OSRRefH16x_0)</f>
        <v>1056274</v>
      </c>
      <c r="I88" s="4"/>
      <c r="J88" s="12">
        <f t="shared" ref="J88:J122" si="6">IF(H$12=0,0,H88/H$12)</f>
        <v>0.67014892987974706</v>
      </c>
      <c r="K88" s="4"/>
      <c r="L88" s="4">
        <f t="shared" ref="L88:L122" si="7">+D88-H88</f>
        <v>-563000.9</v>
      </c>
      <c r="M88" s="4"/>
      <c r="N88" s="12">
        <f t="shared" ref="N88:N122" si="8">IF(H88=0,0,L88/H88)</f>
        <v>-0.53300649263354016</v>
      </c>
      <c r="O88" s="10"/>
      <c r="P88" s="4">
        <f>SUM(OSRRefP16x_0)</f>
        <v>2378511.4299999997</v>
      </c>
      <c r="Q88" s="4"/>
      <c r="R88" s="12">
        <f t="shared" ref="R88:R122" si="9">IF(P$12=0,0,P88/P$12)</f>
        <v>0.75336437578735482</v>
      </c>
      <c r="S88" s="4"/>
      <c r="T88" s="4">
        <f>SUM(OSRRefT16x_0)</f>
        <v>3119705</v>
      </c>
      <c r="U88" s="4"/>
      <c r="V88" s="12">
        <f t="shared" ref="V88:V122" si="10">IF(T$12=0,0,T88/T$12)</f>
        <v>0.66997872186897067</v>
      </c>
      <c r="W88" s="4"/>
      <c r="X88" s="4">
        <f t="shared" ref="X88:X122" si="11">+P88-T88</f>
        <v>-741193.5700000003</v>
      </c>
      <c r="Y88" s="4"/>
      <c r="Z88" s="12">
        <f t="shared" ref="Z88:Z122" si="12">IF(T88=0,0,X88/T88)</f>
        <v>-0.23758450558626545</v>
      </c>
    </row>
    <row r="89" spans="1:26" s="24" customFormat="1" hidden="1" outlineLevel="1" x14ac:dyDescent="0.25">
      <c r="A89" s="51"/>
      <c r="B89" s="11" t="str">
        <f>CONCATENATE("          ", "5000", " - ", "PURCHASES @ COST")</f>
        <v xml:space="preserve">          5000 - PURCHASES @ COST</v>
      </c>
      <c r="C89" s="11"/>
      <c r="D89" s="2"/>
      <c r="E89" s="2"/>
      <c r="F89" s="22">
        <f t="shared" si="5"/>
        <v>0</v>
      </c>
      <c r="G89" s="2"/>
      <c r="H89" s="2">
        <v>1056274</v>
      </c>
      <c r="I89" s="2"/>
      <c r="J89" s="22">
        <f t="shared" si="6"/>
        <v>0.67014892987974706</v>
      </c>
      <c r="K89" s="2"/>
      <c r="L89" s="2">
        <f t="shared" si="7"/>
        <v>-1056274</v>
      </c>
      <c r="M89" s="2"/>
      <c r="N89" s="22">
        <f t="shared" si="8"/>
        <v>-1</v>
      </c>
      <c r="O89" s="11"/>
      <c r="P89" s="2"/>
      <c r="Q89" s="2"/>
      <c r="R89" s="22">
        <f t="shared" si="9"/>
        <v>0</v>
      </c>
      <c r="S89" s="2"/>
      <c r="T89" s="2">
        <v>3119705</v>
      </c>
      <c r="U89" s="2"/>
      <c r="V89" s="22">
        <f t="shared" si="10"/>
        <v>0.66997872186897067</v>
      </c>
      <c r="W89" s="2"/>
      <c r="X89" s="2">
        <f t="shared" si="11"/>
        <v>-3119705</v>
      </c>
      <c r="Y89" s="2"/>
      <c r="Z89" s="22">
        <f t="shared" si="12"/>
        <v>-1</v>
      </c>
    </row>
    <row r="90" spans="1:26" s="24" customFormat="1" hidden="1" outlineLevel="1" x14ac:dyDescent="0.25">
      <c r="A90" s="51"/>
      <c r="B90" s="11" t="str">
        <f>CONCATENATE("          ", "5001", " - ", "PURCHASES @ COST-NEW TEXT")</f>
        <v xml:space="preserve">          5001 - PURCHASES @ COST-NEW TEXT</v>
      </c>
      <c r="C90" s="11"/>
      <c r="D90" s="2">
        <v>602088.99</v>
      </c>
      <c r="E90" s="2"/>
      <c r="F90" s="22">
        <f t="shared" si="5"/>
        <v>0.95148097854236002</v>
      </c>
      <c r="G90" s="2"/>
      <c r="H90" s="2"/>
      <c r="I90" s="2"/>
      <c r="J90" s="22">
        <f t="shared" si="6"/>
        <v>0</v>
      </c>
      <c r="K90" s="2"/>
      <c r="L90" s="2">
        <f t="shared" si="7"/>
        <v>602088.99</v>
      </c>
      <c r="M90" s="2"/>
      <c r="N90" s="22">
        <f t="shared" si="8"/>
        <v>0</v>
      </c>
      <c r="O90" s="11"/>
      <c r="P90" s="2">
        <v>1293421.76</v>
      </c>
      <c r="Q90" s="2"/>
      <c r="R90" s="22">
        <f t="shared" si="9"/>
        <v>0.40967550736225888</v>
      </c>
      <c r="S90" s="2"/>
      <c r="T90" s="2"/>
      <c r="U90" s="2"/>
      <c r="V90" s="22">
        <f t="shared" si="10"/>
        <v>0</v>
      </c>
      <c r="W90" s="2"/>
      <c r="X90" s="2">
        <f t="shared" si="11"/>
        <v>1293421.76</v>
      </c>
      <c r="Y90" s="2"/>
      <c r="Z90" s="22">
        <f t="shared" si="12"/>
        <v>0</v>
      </c>
    </row>
    <row r="91" spans="1:26" s="24" customFormat="1" hidden="1" outlineLevel="1" x14ac:dyDescent="0.25">
      <c r="A91" s="51"/>
      <c r="B91" s="11" t="str">
        <f>CONCATENATE("          ", "5002", " - ", "PURCHASES @ COST-USED TEXT")</f>
        <v xml:space="preserve">          5002 - PURCHASES @ COST-USED TEXT</v>
      </c>
      <c r="C91" s="11"/>
      <c r="D91" s="2">
        <v>108363.86</v>
      </c>
      <c r="E91" s="2"/>
      <c r="F91" s="22">
        <f t="shared" si="5"/>
        <v>0.17124736253926071</v>
      </c>
      <c r="G91" s="2"/>
      <c r="H91" s="2"/>
      <c r="I91" s="2"/>
      <c r="J91" s="22">
        <f t="shared" si="6"/>
        <v>0</v>
      </c>
      <c r="K91" s="2"/>
      <c r="L91" s="2">
        <f t="shared" si="7"/>
        <v>108363.86</v>
      </c>
      <c r="M91" s="2"/>
      <c r="N91" s="22">
        <f t="shared" si="8"/>
        <v>0</v>
      </c>
      <c r="O91" s="11"/>
      <c r="P91" s="2">
        <v>296731.38</v>
      </c>
      <c r="Q91" s="2"/>
      <c r="R91" s="22">
        <f t="shared" si="9"/>
        <v>9.3986031788890922E-2</v>
      </c>
      <c r="S91" s="2"/>
      <c r="T91" s="2"/>
      <c r="U91" s="2"/>
      <c r="V91" s="22">
        <f t="shared" si="10"/>
        <v>0</v>
      </c>
      <c r="W91" s="2"/>
      <c r="X91" s="2">
        <f t="shared" si="11"/>
        <v>296731.38</v>
      </c>
      <c r="Y91" s="2"/>
      <c r="Z91" s="22">
        <f t="shared" si="12"/>
        <v>0</v>
      </c>
    </row>
    <row r="92" spans="1:26" s="24" customFormat="1" hidden="1" outlineLevel="1" x14ac:dyDescent="0.25">
      <c r="A92" s="51"/>
      <c r="B92" s="11" t="str">
        <f>CONCATENATE("          ", "5003", " - ", "PURCHASES @ COST-RENTAL TEXT")</f>
        <v xml:space="preserve">          5003 - PURCHASES @ COST-RENTAL TEXT</v>
      </c>
      <c r="C92" s="11"/>
      <c r="D92" s="2">
        <v>781.74</v>
      </c>
      <c r="E92" s="2"/>
      <c r="F92" s="22">
        <f t="shared" si="5"/>
        <v>1.2353833943479094E-3</v>
      </c>
      <c r="G92" s="2"/>
      <c r="H92" s="2"/>
      <c r="I92" s="2"/>
      <c r="J92" s="22">
        <f t="shared" si="6"/>
        <v>0</v>
      </c>
      <c r="K92" s="2"/>
      <c r="L92" s="2">
        <f t="shared" si="7"/>
        <v>781.74</v>
      </c>
      <c r="M92" s="2"/>
      <c r="N92" s="22">
        <f t="shared" si="8"/>
        <v>0</v>
      </c>
      <c r="O92" s="11"/>
      <c r="P92" s="2">
        <v>-11086.1</v>
      </c>
      <c r="Q92" s="2"/>
      <c r="R92" s="22">
        <f t="shared" si="9"/>
        <v>-3.5113864499764858E-3</v>
      </c>
      <c r="S92" s="2"/>
      <c r="T92" s="2"/>
      <c r="U92" s="2"/>
      <c r="V92" s="22">
        <f t="shared" si="10"/>
        <v>0</v>
      </c>
      <c r="W92" s="2"/>
      <c r="X92" s="2">
        <f t="shared" si="11"/>
        <v>-11086.1</v>
      </c>
      <c r="Y92" s="2"/>
      <c r="Z92" s="22">
        <f t="shared" si="12"/>
        <v>0</v>
      </c>
    </row>
    <row r="93" spans="1:26" s="24" customFormat="1" hidden="1" outlineLevel="1" x14ac:dyDescent="0.25">
      <c r="A93" s="51"/>
      <c r="B93" s="11" t="str">
        <f>CONCATENATE("          ", "5004", " - ", "PURCHASES @ COST-DIGITAL TEXT")</f>
        <v xml:space="preserve">          5004 - PURCHASES @ COST-DIGITAL TEXT</v>
      </c>
      <c r="C93" s="11"/>
      <c r="D93" s="2">
        <v>60186.1</v>
      </c>
      <c r="E93" s="2"/>
      <c r="F93" s="22">
        <f t="shared" si="5"/>
        <v>9.5112068604091785E-2</v>
      </c>
      <c r="G93" s="2"/>
      <c r="H93" s="2"/>
      <c r="I93" s="2"/>
      <c r="J93" s="22">
        <f t="shared" si="6"/>
        <v>0</v>
      </c>
      <c r="K93" s="2"/>
      <c r="L93" s="2">
        <f t="shared" si="7"/>
        <v>60186.1</v>
      </c>
      <c r="M93" s="2"/>
      <c r="N93" s="22">
        <f t="shared" si="8"/>
        <v>0</v>
      </c>
      <c r="O93" s="11"/>
      <c r="P93" s="2">
        <v>182616.07</v>
      </c>
      <c r="Q93" s="2"/>
      <c r="R93" s="22">
        <f t="shared" si="9"/>
        <v>5.7841404438527297E-2</v>
      </c>
      <c r="S93" s="2"/>
      <c r="T93" s="2"/>
      <c r="U93" s="2"/>
      <c r="V93" s="22">
        <f t="shared" si="10"/>
        <v>0</v>
      </c>
      <c r="W93" s="2"/>
      <c r="X93" s="2">
        <f t="shared" si="11"/>
        <v>182616.07</v>
      </c>
      <c r="Y93" s="2"/>
      <c r="Z93" s="22">
        <f t="shared" si="12"/>
        <v>0</v>
      </c>
    </row>
    <row r="94" spans="1:26" s="24" customFormat="1" hidden="1" outlineLevel="1" x14ac:dyDescent="0.25">
      <c r="A94" s="51"/>
      <c r="B94" s="11" t="str">
        <f>CONCATENATE("          ", "5013", " - ", "PURCHASES @ COST-TRADE BOOKS")</f>
        <v xml:space="preserve">          5013 - PURCHASES @ COST-TRADE BOOKS</v>
      </c>
      <c r="C94" s="11"/>
      <c r="D94" s="2">
        <v>-9.36</v>
      </c>
      <c r="E94" s="2"/>
      <c r="F94" s="22">
        <f t="shared" si="5"/>
        <v>-1.4791604076926385E-5</v>
      </c>
      <c r="G94" s="2"/>
      <c r="H94" s="2"/>
      <c r="I94" s="2"/>
      <c r="J94" s="22">
        <f t="shared" si="6"/>
        <v>0</v>
      </c>
      <c r="K94" s="2"/>
      <c r="L94" s="2">
        <f t="shared" si="7"/>
        <v>-9.36</v>
      </c>
      <c r="M94" s="2"/>
      <c r="N94" s="22">
        <f t="shared" si="8"/>
        <v>0</v>
      </c>
      <c r="O94" s="11"/>
      <c r="P94" s="2">
        <v>99.18</v>
      </c>
      <c r="Q94" s="2"/>
      <c r="R94" s="22">
        <f t="shared" si="9"/>
        <v>3.1414050758036447E-5</v>
      </c>
      <c r="S94" s="2"/>
      <c r="T94" s="2"/>
      <c r="U94" s="2"/>
      <c r="V94" s="22">
        <f t="shared" si="10"/>
        <v>0</v>
      </c>
      <c r="W94" s="2"/>
      <c r="X94" s="2">
        <f t="shared" si="11"/>
        <v>99.18</v>
      </c>
      <c r="Y94" s="2"/>
      <c r="Z94" s="22">
        <f t="shared" si="12"/>
        <v>0</v>
      </c>
    </row>
    <row r="95" spans="1:26" s="24" customFormat="1" hidden="1" outlineLevel="1" x14ac:dyDescent="0.25">
      <c r="A95" s="51"/>
      <c r="B95" s="11" t="str">
        <f>CONCATENATE("          ", "5014", " - ", "PURCHASES @ COST-REMAINDERS")</f>
        <v xml:space="preserve">          5014 - PURCHASES @ COST-REMAINDERS</v>
      </c>
      <c r="C95" s="11"/>
      <c r="D95" s="2"/>
      <c r="E95" s="2"/>
      <c r="F95" s="22">
        <f t="shared" si="5"/>
        <v>0</v>
      </c>
      <c r="G95" s="2"/>
      <c r="H95" s="2"/>
      <c r="I95" s="2"/>
      <c r="J95" s="22">
        <f t="shared" si="6"/>
        <v>0</v>
      </c>
      <c r="K95" s="2"/>
      <c r="L95" s="2">
        <f t="shared" si="7"/>
        <v>0</v>
      </c>
      <c r="M95" s="2"/>
      <c r="N95" s="22">
        <f t="shared" si="8"/>
        <v>0</v>
      </c>
      <c r="O95" s="11"/>
      <c r="P95" s="2">
        <v>-12.51</v>
      </c>
      <c r="Q95" s="2"/>
      <c r="R95" s="22">
        <f t="shared" si="9"/>
        <v>-3.962389342438354E-6</v>
      </c>
      <c r="S95" s="2"/>
      <c r="T95" s="2"/>
      <c r="U95" s="2"/>
      <c r="V95" s="22">
        <f t="shared" si="10"/>
        <v>0</v>
      </c>
      <c r="W95" s="2"/>
      <c r="X95" s="2">
        <f t="shared" si="11"/>
        <v>-12.51</v>
      </c>
      <c r="Y95" s="2"/>
      <c r="Z95" s="22">
        <f t="shared" si="12"/>
        <v>0</v>
      </c>
    </row>
    <row r="96" spans="1:26" s="24" customFormat="1" hidden="1" outlineLevel="1" x14ac:dyDescent="0.25">
      <c r="A96" s="51"/>
      <c r="B96" s="11" t="str">
        <f>CONCATENATE("          ", "5027", " - ", "PURCHASES @ COST-SCHOOL SUPPLI")</f>
        <v xml:space="preserve">          5027 - PURCHASES @ COST-SCHOOL SUPPLI</v>
      </c>
      <c r="C96" s="11"/>
      <c r="D96" s="2"/>
      <c r="E96" s="2"/>
      <c r="F96" s="22">
        <f t="shared" si="5"/>
        <v>0</v>
      </c>
      <c r="G96" s="2"/>
      <c r="H96" s="2"/>
      <c r="I96" s="2"/>
      <c r="J96" s="22">
        <f t="shared" si="6"/>
        <v>0</v>
      </c>
      <c r="K96" s="2"/>
      <c r="L96" s="2">
        <f t="shared" si="7"/>
        <v>0</v>
      </c>
      <c r="M96" s="2"/>
      <c r="N96" s="22">
        <f t="shared" si="8"/>
        <v>0</v>
      </c>
      <c r="O96" s="11"/>
      <c r="P96" s="2">
        <v>8503.4</v>
      </c>
      <c r="Q96" s="2"/>
      <c r="R96" s="22">
        <f t="shared" si="9"/>
        <v>2.6933478444836371E-3</v>
      </c>
      <c r="S96" s="2"/>
      <c r="T96" s="2"/>
      <c r="U96" s="2"/>
      <c r="V96" s="22">
        <f t="shared" si="10"/>
        <v>0</v>
      </c>
      <c r="W96" s="2"/>
      <c r="X96" s="2">
        <f t="shared" si="11"/>
        <v>8503.4</v>
      </c>
      <c r="Y96" s="2"/>
      <c r="Z96" s="22">
        <f t="shared" si="12"/>
        <v>0</v>
      </c>
    </row>
    <row r="97" spans="1:26" s="24" customFormat="1" hidden="1" outlineLevel="1" x14ac:dyDescent="0.25">
      <c r="A97" s="51"/>
      <c r="B97" s="11" t="str">
        <f>CONCATENATE("          ", "5028", " - ", "PURCHASES @ COST-ART/TECH")</f>
        <v xml:space="preserve">          5028 - PURCHASES @ COST-ART/TECH</v>
      </c>
      <c r="C97" s="11"/>
      <c r="D97" s="2">
        <v>-83.4</v>
      </c>
      <c r="E97" s="2"/>
      <c r="F97" s="22">
        <f t="shared" si="5"/>
        <v>-1.3179698504440818E-4</v>
      </c>
      <c r="G97" s="2"/>
      <c r="H97" s="2"/>
      <c r="I97" s="2"/>
      <c r="J97" s="22">
        <f t="shared" si="6"/>
        <v>0</v>
      </c>
      <c r="K97" s="2"/>
      <c r="L97" s="2">
        <f t="shared" si="7"/>
        <v>-83.4</v>
      </c>
      <c r="M97" s="2"/>
      <c r="N97" s="22">
        <f t="shared" si="8"/>
        <v>0</v>
      </c>
      <c r="O97" s="11"/>
      <c r="P97" s="2">
        <v>-83.4</v>
      </c>
      <c r="Q97" s="2"/>
      <c r="R97" s="22">
        <f t="shared" si="9"/>
        <v>-2.6415928949589029E-5</v>
      </c>
      <c r="S97" s="2"/>
      <c r="T97" s="2"/>
      <c r="U97" s="2"/>
      <c r="V97" s="22">
        <f t="shared" si="10"/>
        <v>0</v>
      </c>
      <c r="W97" s="2"/>
      <c r="X97" s="2">
        <f t="shared" si="11"/>
        <v>-83.4</v>
      </c>
      <c r="Y97" s="2"/>
      <c r="Z97" s="22">
        <f t="shared" si="12"/>
        <v>0</v>
      </c>
    </row>
    <row r="98" spans="1:26" s="24" customFormat="1" hidden="1" outlineLevel="1" x14ac:dyDescent="0.25">
      <c r="A98" s="51"/>
      <c r="B98" s="11" t="str">
        <f>CONCATENATE("          ", "5031", " - ", "PURCHASES @ COST-FOOD")</f>
        <v xml:space="preserve">          5031 - PURCHASES @ COST-FOOD</v>
      </c>
      <c r="C98" s="11"/>
      <c r="D98" s="2">
        <v>4065.92</v>
      </c>
      <c r="E98" s="2"/>
      <c r="F98" s="22">
        <f t="shared" si="5"/>
        <v>6.4253716718436467E-3</v>
      </c>
      <c r="G98" s="2"/>
      <c r="H98" s="2"/>
      <c r="I98" s="2"/>
      <c r="J98" s="22">
        <f t="shared" si="6"/>
        <v>0</v>
      </c>
      <c r="K98" s="2"/>
      <c r="L98" s="2">
        <f t="shared" si="7"/>
        <v>4065.92</v>
      </c>
      <c r="M98" s="2"/>
      <c r="N98" s="22">
        <f t="shared" si="8"/>
        <v>0</v>
      </c>
      <c r="O98" s="11"/>
      <c r="P98" s="2">
        <v>4065.92</v>
      </c>
      <c r="Q98" s="2"/>
      <c r="R98" s="22">
        <f t="shared" si="9"/>
        <v>1.2878303817111874E-3</v>
      </c>
      <c r="S98" s="2"/>
      <c r="T98" s="2"/>
      <c r="U98" s="2"/>
      <c r="V98" s="22">
        <f t="shared" si="10"/>
        <v>0</v>
      </c>
      <c r="W98" s="2"/>
      <c r="X98" s="2">
        <f t="shared" si="11"/>
        <v>4065.92</v>
      </c>
      <c r="Y98" s="2"/>
      <c r="Z98" s="22">
        <f t="shared" si="12"/>
        <v>0</v>
      </c>
    </row>
    <row r="99" spans="1:26" s="24" customFormat="1" hidden="1" outlineLevel="1" x14ac:dyDescent="0.25">
      <c r="A99" s="51"/>
      <c r="B99" s="11" t="str">
        <f>CONCATENATE("          ", "5040", " - ", "PURCHASES @ COST-LOGO CLOTHING")</f>
        <v xml:space="preserve">          5040 - PURCHASES @ COST-LOGO CLOTHING</v>
      </c>
      <c r="C99" s="11"/>
      <c r="D99" s="2">
        <v>4398.1499999999996</v>
      </c>
      <c r="E99" s="2"/>
      <c r="F99" s="22">
        <f t="shared" si="5"/>
        <v>6.9503946015954891E-3</v>
      </c>
      <c r="G99" s="2"/>
      <c r="H99" s="2"/>
      <c r="I99" s="2"/>
      <c r="J99" s="22">
        <f t="shared" si="6"/>
        <v>0</v>
      </c>
      <c r="K99" s="2"/>
      <c r="L99" s="2">
        <f t="shared" si="7"/>
        <v>4398.1499999999996</v>
      </c>
      <c r="M99" s="2"/>
      <c r="N99" s="22">
        <f t="shared" si="8"/>
        <v>0</v>
      </c>
      <c r="O99" s="11"/>
      <c r="P99" s="2">
        <v>13750.05</v>
      </c>
      <c r="Q99" s="2"/>
      <c r="R99" s="22">
        <f t="shared" si="9"/>
        <v>4.3551599982409664E-3</v>
      </c>
      <c r="S99" s="2"/>
      <c r="T99" s="2"/>
      <c r="U99" s="2"/>
      <c r="V99" s="22">
        <f t="shared" si="10"/>
        <v>0</v>
      </c>
      <c r="W99" s="2"/>
      <c r="X99" s="2">
        <f t="shared" si="11"/>
        <v>13750.05</v>
      </c>
      <c r="Y99" s="2"/>
      <c r="Z99" s="22">
        <f t="shared" si="12"/>
        <v>0</v>
      </c>
    </row>
    <row r="100" spans="1:26" s="24" customFormat="1" hidden="1" outlineLevel="1" x14ac:dyDescent="0.25">
      <c r="A100" s="51"/>
      <c r="B100" s="11" t="str">
        <f>CONCATENATE("          ", "5041", " - ", "PURCHASES @ COST-LOGO GIFTS")</f>
        <v xml:space="preserve">          5041 - PURCHASES @ COST-LOGO GIFTS</v>
      </c>
      <c r="C100" s="11"/>
      <c r="D100" s="2">
        <v>868</v>
      </c>
      <c r="E100" s="2"/>
      <c r="F100" s="22">
        <f t="shared" si="5"/>
        <v>1.3717000361936006E-3</v>
      </c>
      <c r="G100" s="2"/>
      <c r="H100" s="2"/>
      <c r="I100" s="2"/>
      <c r="J100" s="22">
        <f t="shared" si="6"/>
        <v>0</v>
      </c>
      <c r="K100" s="2"/>
      <c r="L100" s="2">
        <f t="shared" si="7"/>
        <v>868</v>
      </c>
      <c r="M100" s="2"/>
      <c r="N100" s="22">
        <f t="shared" si="8"/>
        <v>0</v>
      </c>
      <c r="O100" s="11"/>
      <c r="P100" s="2">
        <v>1997.54</v>
      </c>
      <c r="Q100" s="2"/>
      <c r="R100" s="22">
        <f t="shared" si="9"/>
        <v>6.3269633949594804E-4</v>
      </c>
      <c r="S100" s="2"/>
      <c r="T100" s="2"/>
      <c r="U100" s="2"/>
      <c r="V100" s="22">
        <f t="shared" si="10"/>
        <v>0</v>
      </c>
      <c r="W100" s="2"/>
      <c r="X100" s="2">
        <f t="shared" si="11"/>
        <v>1997.54</v>
      </c>
      <c r="Y100" s="2"/>
      <c r="Z100" s="22">
        <f t="shared" si="12"/>
        <v>0</v>
      </c>
    </row>
    <row r="101" spans="1:26" s="24" customFormat="1" hidden="1" outlineLevel="1" x14ac:dyDescent="0.25">
      <c r="A101" s="51"/>
      <c r="B101" s="11" t="str">
        <f>CONCATENATE("          ", "5042", " - ", "PURCHASES @ COST-EVERYDAY GIFT")</f>
        <v xml:space="preserve">          5042 - PURCHASES @ COST-EVERYDAY GIFT</v>
      </c>
      <c r="C101" s="11"/>
      <c r="D101" s="2">
        <v>522</v>
      </c>
      <c r="E101" s="2"/>
      <c r="F101" s="22">
        <f t="shared" si="5"/>
        <v>8.2491638121320226E-4</v>
      </c>
      <c r="G101" s="2"/>
      <c r="H101" s="2"/>
      <c r="I101" s="2"/>
      <c r="J101" s="22">
        <f t="shared" si="6"/>
        <v>0</v>
      </c>
      <c r="K101" s="2"/>
      <c r="L101" s="2">
        <f t="shared" si="7"/>
        <v>522</v>
      </c>
      <c r="M101" s="2"/>
      <c r="N101" s="22">
        <f t="shared" si="8"/>
        <v>0</v>
      </c>
      <c r="O101" s="11"/>
      <c r="P101" s="2">
        <v>1491.15</v>
      </c>
      <c r="Q101" s="2"/>
      <c r="R101" s="22">
        <f t="shared" si="9"/>
        <v>4.7230350663284991E-4</v>
      </c>
      <c r="S101" s="2"/>
      <c r="T101" s="2"/>
      <c r="U101" s="2"/>
      <c r="V101" s="22">
        <f t="shared" si="10"/>
        <v>0</v>
      </c>
      <c r="W101" s="2"/>
      <c r="X101" s="2">
        <f t="shared" si="11"/>
        <v>1491.15</v>
      </c>
      <c r="Y101" s="2"/>
      <c r="Z101" s="22">
        <f t="shared" si="12"/>
        <v>0</v>
      </c>
    </row>
    <row r="102" spans="1:26" s="24" customFormat="1" hidden="1" outlineLevel="1" x14ac:dyDescent="0.25">
      <c r="A102" s="51"/>
      <c r="B102" s="11" t="str">
        <f>CONCATENATE("          ", "5043", " - ", "PURCHASES @ COST-CARDS")</f>
        <v xml:space="preserve">          5043 - PURCHASES @ COST-CARDS</v>
      </c>
      <c r="C102" s="11"/>
      <c r="D102" s="2">
        <v>1401</v>
      </c>
      <c r="E102" s="2"/>
      <c r="F102" s="22">
        <f t="shared" si="5"/>
        <v>2.2139997127963531E-3</v>
      </c>
      <c r="G102" s="2"/>
      <c r="H102" s="2"/>
      <c r="I102" s="2"/>
      <c r="J102" s="22">
        <f t="shared" si="6"/>
        <v>0</v>
      </c>
      <c r="K102" s="2"/>
      <c r="L102" s="2">
        <f t="shared" si="7"/>
        <v>1401</v>
      </c>
      <c r="M102" s="2"/>
      <c r="N102" s="22">
        <f t="shared" si="8"/>
        <v>0</v>
      </c>
      <c r="O102" s="11"/>
      <c r="P102" s="2">
        <v>3116.25</v>
      </c>
      <c r="Q102" s="2"/>
      <c r="R102" s="22">
        <f t="shared" si="9"/>
        <v>9.8703403584120882E-4</v>
      </c>
      <c r="S102" s="2"/>
      <c r="T102" s="2"/>
      <c r="U102" s="2"/>
      <c r="V102" s="22">
        <f t="shared" si="10"/>
        <v>0</v>
      </c>
      <c r="W102" s="2"/>
      <c r="X102" s="2">
        <f t="shared" si="11"/>
        <v>3116.25</v>
      </c>
      <c r="Y102" s="2"/>
      <c r="Z102" s="22">
        <f t="shared" si="12"/>
        <v>0</v>
      </c>
    </row>
    <row r="103" spans="1:26" s="24" customFormat="1" hidden="1" outlineLevel="1" x14ac:dyDescent="0.25">
      <c r="A103" s="51"/>
      <c r="B103" s="11" t="str">
        <f>CONCATENATE("          ", "5045", " - ", "PURCHASES @ COST-SPECIAL ORDER")</f>
        <v xml:space="preserve">          5045 - PURCHASES @ COST-SPECIAL ORDER</v>
      </c>
      <c r="C103" s="11"/>
      <c r="D103" s="2">
        <v>52784.12</v>
      </c>
      <c r="E103" s="2"/>
      <c r="F103" s="22">
        <f t="shared" si="5"/>
        <v>8.3414722712496961E-2</v>
      </c>
      <c r="G103" s="2"/>
      <c r="H103" s="2"/>
      <c r="I103" s="2"/>
      <c r="J103" s="22">
        <f t="shared" si="6"/>
        <v>0</v>
      </c>
      <c r="K103" s="2"/>
      <c r="L103" s="2">
        <f t="shared" si="7"/>
        <v>52784.12</v>
      </c>
      <c r="M103" s="2"/>
      <c r="N103" s="22">
        <f t="shared" si="8"/>
        <v>0</v>
      </c>
      <c r="O103" s="11"/>
      <c r="P103" s="2">
        <v>61174.290000000008</v>
      </c>
      <c r="Q103" s="2"/>
      <c r="R103" s="22">
        <f t="shared" si="9"/>
        <v>1.937620741224886E-2</v>
      </c>
      <c r="S103" s="2"/>
      <c r="T103" s="2"/>
      <c r="U103" s="2"/>
      <c r="V103" s="22">
        <f t="shared" si="10"/>
        <v>0</v>
      </c>
      <c r="W103" s="2"/>
      <c r="X103" s="2">
        <f t="shared" si="11"/>
        <v>61174.290000000008</v>
      </c>
      <c r="Y103" s="2"/>
      <c r="Z103" s="22">
        <f t="shared" si="12"/>
        <v>0</v>
      </c>
    </row>
    <row r="104" spans="1:26" s="24" customFormat="1" hidden="1" outlineLevel="1" x14ac:dyDescent="0.25">
      <c r="A104" s="51"/>
      <c r="B104" s="11" t="str">
        <f>CONCATENATE("          ", "5081", " - ", "PURCHASES @ COST-ELECTRONICS")</f>
        <v xml:space="preserve">          5081 - PURCHASES @ COST-ELECTRONICS</v>
      </c>
      <c r="C104" s="11"/>
      <c r="D104" s="2">
        <v>8274.98</v>
      </c>
      <c r="E104" s="2"/>
      <c r="F104" s="22">
        <f t="shared" si="5"/>
        <v>1.3076947425692766E-2</v>
      </c>
      <c r="G104" s="2"/>
      <c r="H104" s="2"/>
      <c r="I104" s="2"/>
      <c r="J104" s="22">
        <f t="shared" si="6"/>
        <v>0</v>
      </c>
      <c r="K104" s="2"/>
      <c r="L104" s="2">
        <f t="shared" si="7"/>
        <v>8274.98</v>
      </c>
      <c r="M104" s="2"/>
      <c r="N104" s="22">
        <f t="shared" si="8"/>
        <v>0</v>
      </c>
      <c r="O104" s="11"/>
      <c r="P104" s="2">
        <v>15697.449999999999</v>
      </c>
      <c r="Q104" s="2"/>
      <c r="R104" s="22">
        <f t="shared" si="9"/>
        <v>4.9719751065914423E-3</v>
      </c>
      <c r="S104" s="2"/>
      <c r="T104" s="2"/>
      <c r="U104" s="2"/>
      <c r="V104" s="22">
        <f t="shared" si="10"/>
        <v>0</v>
      </c>
      <c r="W104" s="2"/>
      <c r="X104" s="2">
        <f t="shared" si="11"/>
        <v>15697.449999999999</v>
      </c>
      <c r="Y104" s="2"/>
      <c r="Z104" s="22">
        <f t="shared" si="12"/>
        <v>0</v>
      </c>
    </row>
    <row r="105" spans="1:26" s="24" customFormat="1" hidden="1" outlineLevel="1" x14ac:dyDescent="0.25">
      <c r="A105" s="51"/>
      <c r="B105" s="11" t="str">
        <f>CONCATENATE("          ", "5082", " - ", "PURCHASES @ COST-COMPUTER HARD")</f>
        <v xml:space="preserve">          5082 - PURCHASES @ COST-COMPUTER HARD</v>
      </c>
      <c r="C105" s="11"/>
      <c r="D105" s="2">
        <v>470149.41</v>
      </c>
      <c r="E105" s="2"/>
      <c r="F105" s="22">
        <f t="shared" si="5"/>
        <v>0.74297691556843315</v>
      </c>
      <c r="G105" s="2"/>
      <c r="H105" s="2"/>
      <c r="I105" s="2"/>
      <c r="J105" s="22">
        <f t="shared" si="6"/>
        <v>0</v>
      </c>
      <c r="K105" s="2"/>
      <c r="L105" s="2">
        <f t="shared" si="7"/>
        <v>470149.41</v>
      </c>
      <c r="M105" s="2"/>
      <c r="N105" s="22">
        <f t="shared" si="8"/>
        <v>0</v>
      </c>
      <c r="O105" s="11"/>
      <c r="P105" s="2">
        <v>713373.21</v>
      </c>
      <c r="Q105" s="2"/>
      <c r="R105" s="22">
        <f t="shared" si="9"/>
        <v>0.22595223057434355</v>
      </c>
      <c r="S105" s="2"/>
      <c r="T105" s="2"/>
      <c r="U105" s="2"/>
      <c r="V105" s="22">
        <f t="shared" si="10"/>
        <v>0</v>
      </c>
      <c r="W105" s="2"/>
      <c r="X105" s="2">
        <f t="shared" si="11"/>
        <v>713373.21</v>
      </c>
      <c r="Y105" s="2"/>
      <c r="Z105" s="22">
        <f t="shared" si="12"/>
        <v>0</v>
      </c>
    </row>
    <row r="106" spans="1:26" s="24" customFormat="1" hidden="1" outlineLevel="1" x14ac:dyDescent="0.25">
      <c r="A106" s="51"/>
      <c r="B106" s="11" t="str">
        <f>CONCATENATE("          ", "5083", " - ", "PURCHASES @ COST-COMPUTER EQUI")</f>
        <v xml:space="preserve">          5083 - PURCHASES @ COST-COMPUTER EQUI</v>
      </c>
      <c r="C106" s="11"/>
      <c r="D106" s="2">
        <v>24155.15</v>
      </c>
      <c r="E106" s="2"/>
      <c r="F106" s="22">
        <f t="shared" si="5"/>
        <v>3.8172373420808592E-2</v>
      </c>
      <c r="G106" s="2"/>
      <c r="H106" s="2"/>
      <c r="I106" s="2"/>
      <c r="J106" s="22">
        <f t="shared" si="6"/>
        <v>0</v>
      </c>
      <c r="K106" s="2"/>
      <c r="L106" s="2">
        <f t="shared" si="7"/>
        <v>24155.15</v>
      </c>
      <c r="M106" s="2"/>
      <c r="N106" s="22">
        <f t="shared" si="8"/>
        <v>0</v>
      </c>
      <c r="O106" s="11"/>
      <c r="P106" s="2">
        <v>61434</v>
      </c>
      <c r="Q106" s="2"/>
      <c r="R106" s="22">
        <f t="shared" si="9"/>
        <v>1.9458467375168494E-2</v>
      </c>
      <c r="S106" s="2"/>
      <c r="T106" s="2"/>
      <c r="U106" s="2"/>
      <c r="V106" s="22">
        <f t="shared" si="10"/>
        <v>0</v>
      </c>
      <c r="W106" s="2"/>
      <c r="X106" s="2">
        <f t="shared" si="11"/>
        <v>61434</v>
      </c>
      <c r="Y106" s="2"/>
      <c r="Z106" s="22">
        <f t="shared" si="12"/>
        <v>0</v>
      </c>
    </row>
    <row r="107" spans="1:26" s="24" customFormat="1" hidden="1" outlineLevel="1" x14ac:dyDescent="0.25">
      <c r="A107" s="51"/>
      <c r="B107" s="11" t="str">
        <f>CONCATENATE("          ", "5085", " - ", "PURCHASES @ COST-SOFTWARE")</f>
        <v xml:space="preserve">          5085 - PURCHASES @ COST-SOFTWARE</v>
      </c>
      <c r="C107" s="11"/>
      <c r="D107" s="2">
        <v>8609.1200000000008</v>
      </c>
      <c r="E107" s="2"/>
      <c r="F107" s="22">
        <f t="shared" si="5"/>
        <v>1.360498872764407E-2</v>
      </c>
      <c r="G107" s="2"/>
      <c r="H107" s="2"/>
      <c r="I107" s="2"/>
      <c r="J107" s="22">
        <f t="shared" si="6"/>
        <v>0</v>
      </c>
      <c r="K107" s="2"/>
      <c r="L107" s="2">
        <f t="shared" si="7"/>
        <v>8609.1200000000008</v>
      </c>
      <c r="M107" s="2"/>
      <c r="N107" s="22">
        <f t="shared" si="8"/>
        <v>0</v>
      </c>
      <c r="O107" s="11"/>
      <c r="P107" s="2">
        <v>14837.68</v>
      </c>
      <c r="Q107" s="2"/>
      <c r="R107" s="22">
        <f t="shared" si="9"/>
        <v>4.6996534850927835E-3</v>
      </c>
      <c r="S107" s="2"/>
      <c r="T107" s="2"/>
      <c r="U107" s="2"/>
      <c r="V107" s="22">
        <f t="shared" si="10"/>
        <v>0</v>
      </c>
      <c r="W107" s="2"/>
      <c r="X107" s="2">
        <f t="shared" si="11"/>
        <v>14837.68</v>
      </c>
      <c r="Y107" s="2"/>
      <c r="Z107" s="22">
        <f t="shared" si="12"/>
        <v>0</v>
      </c>
    </row>
    <row r="108" spans="1:26" s="24" customFormat="1" hidden="1" outlineLevel="1" x14ac:dyDescent="0.25">
      <c r="A108" s="51"/>
      <c r="B108" s="11" t="str">
        <f>CONCATENATE("          ", "5086", " - ", "PURCHASES @ COST-COMPUTER SUPP")</f>
        <v xml:space="preserve">          5086 - PURCHASES @ COST-COMPUTER SUPP</v>
      </c>
      <c r="C108" s="11"/>
      <c r="D108" s="2">
        <v>18.760000000000002</v>
      </c>
      <c r="E108" s="2"/>
      <c r="F108" s="22">
        <f t="shared" si="5"/>
        <v>2.9646420137087501E-5</v>
      </c>
      <c r="G108" s="2"/>
      <c r="H108" s="2"/>
      <c r="I108" s="2"/>
      <c r="J108" s="22">
        <f t="shared" si="6"/>
        <v>0</v>
      </c>
      <c r="K108" s="2"/>
      <c r="L108" s="2">
        <f t="shared" si="7"/>
        <v>18.760000000000002</v>
      </c>
      <c r="M108" s="2"/>
      <c r="N108" s="22">
        <f t="shared" si="8"/>
        <v>0</v>
      </c>
      <c r="O108" s="11"/>
      <c r="P108" s="2">
        <v>21755.969999999998</v>
      </c>
      <c r="Q108" s="2"/>
      <c r="R108" s="22">
        <f t="shared" si="9"/>
        <v>6.8909371432780619E-3</v>
      </c>
      <c r="S108" s="2"/>
      <c r="T108" s="2"/>
      <c r="U108" s="2"/>
      <c r="V108" s="22">
        <f t="shared" si="10"/>
        <v>0</v>
      </c>
      <c r="W108" s="2"/>
      <c r="X108" s="2">
        <f t="shared" si="11"/>
        <v>21755.969999999998</v>
      </c>
      <c r="Y108" s="2"/>
      <c r="Z108" s="22">
        <f t="shared" si="12"/>
        <v>0</v>
      </c>
    </row>
    <row r="109" spans="1:26" s="24" customFormat="1" hidden="1" outlineLevel="1" x14ac:dyDescent="0.25">
      <c r="A109" s="51"/>
      <c r="B109" s="11" t="str">
        <f>CONCATENATE("          ", "5200", " - ", "PURCHASES OFFSET")</f>
        <v xml:space="preserve">          5200 - PURCHASES OFFSET</v>
      </c>
      <c r="C109" s="11"/>
      <c r="D109" s="2">
        <v>-1333358.52</v>
      </c>
      <c r="E109" s="2"/>
      <c r="F109" s="22">
        <f t="shared" si="5"/>
        <v>-2.1071059103030483</v>
      </c>
      <c r="G109" s="2"/>
      <c r="H109" s="2"/>
      <c r="I109" s="2"/>
      <c r="J109" s="22">
        <f t="shared" si="6"/>
        <v>0</v>
      </c>
      <c r="K109" s="2"/>
      <c r="L109" s="2">
        <f t="shared" si="7"/>
        <v>-1333358.52</v>
      </c>
      <c r="M109" s="2"/>
      <c r="N109" s="22">
        <f t="shared" si="8"/>
        <v>0</v>
      </c>
      <c r="O109" s="11"/>
      <c r="P109" s="2">
        <v>-2362293.5</v>
      </c>
      <c r="Q109" s="2"/>
      <c r="R109" s="22">
        <f t="shared" si="9"/>
        <v>-0.74822754501290156</v>
      </c>
      <c r="S109" s="2"/>
      <c r="T109" s="2"/>
      <c r="U109" s="2"/>
      <c r="V109" s="22">
        <f t="shared" si="10"/>
        <v>0</v>
      </c>
      <c r="W109" s="2"/>
      <c r="X109" s="2">
        <f t="shared" si="11"/>
        <v>-2362293.5</v>
      </c>
      <c r="Y109" s="2"/>
      <c r="Z109" s="22">
        <f t="shared" si="12"/>
        <v>0</v>
      </c>
    </row>
    <row r="110" spans="1:26" s="24" customFormat="1" hidden="1" outlineLevel="1" x14ac:dyDescent="0.25">
      <c r="A110" s="51"/>
      <c r="B110" s="11" t="str">
        <f>CONCATENATE("          ", "5300", " - ", "COG$ OFFSET")</f>
        <v xml:space="preserve">          5300 - COG$ OFFSET</v>
      </c>
      <c r="C110" s="11"/>
      <c r="D110" s="2">
        <v>466553</v>
      </c>
      <c r="E110" s="2"/>
      <c r="F110" s="22">
        <f t="shared" si="5"/>
        <v>0.73729351035280299</v>
      </c>
      <c r="G110" s="2"/>
      <c r="H110" s="2"/>
      <c r="I110" s="2"/>
      <c r="J110" s="22">
        <f t="shared" si="6"/>
        <v>0</v>
      </c>
      <c r="K110" s="2"/>
      <c r="L110" s="2">
        <f t="shared" si="7"/>
        <v>466553</v>
      </c>
      <c r="M110" s="2"/>
      <c r="N110" s="22">
        <f t="shared" si="8"/>
        <v>0</v>
      </c>
      <c r="O110" s="11"/>
      <c r="P110" s="2">
        <v>2035029.9999999998</v>
      </c>
      <c r="Q110" s="2"/>
      <c r="R110" s="22">
        <f t="shared" si="9"/>
        <v>0.64457083801297543</v>
      </c>
      <c r="S110" s="2"/>
      <c r="T110" s="2"/>
      <c r="U110" s="2"/>
      <c r="V110" s="22">
        <f t="shared" si="10"/>
        <v>0</v>
      </c>
      <c r="W110" s="2"/>
      <c r="X110" s="2">
        <f t="shared" si="11"/>
        <v>2035029.9999999998</v>
      </c>
      <c r="Y110" s="2"/>
      <c r="Z110" s="22">
        <f t="shared" si="12"/>
        <v>0</v>
      </c>
    </row>
    <row r="111" spans="1:26" s="24" customFormat="1" hidden="1" outlineLevel="1" x14ac:dyDescent="0.25">
      <c r="A111" s="51"/>
      <c r="B111" s="11" t="str">
        <f>CONCATENATE("          ", "5501", " - ", "FREIGHT-IN-NEW TEXT")</f>
        <v xml:space="preserve">          5501 - FREIGHT-IN-NEW TEXT</v>
      </c>
      <c r="C111" s="11"/>
      <c r="D111" s="2">
        <v>5279.6</v>
      </c>
      <c r="E111" s="2"/>
      <c r="F111" s="22">
        <f t="shared" si="5"/>
        <v>8.3433496671517678E-3</v>
      </c>
      <c r="G111" s="2"/>
      <c r="H111" s="2"/>
      <c r="I111" s="2"/>
      <c r="J111" s="22">
        <f t="shared" si="6"/>
        <v>0</v>
      </c>
      <c r="K111" s="2"/>
      <c r="L111" s="2">
        <f t="shared" si="7"/>
        <v>5279.6</v>
      </c>
      <c r="M111" s="2"/>
      <c r="N111" s="22">
        <f t="shared" si="8"/>
        <v>0</v>
      </c>
      <c r="O111" s="11"/>
      <c r="P111" s="2">
        <v>10762.88</v>
      </c>
      <c r="Q111" s="2"/>
      <c r="R111" s="22">
        <f t="shared" si="9"/>
        <v>3.4090104720977546E-3</v>
      </c>
      <c r="S111" s="2"/>
      <c r="T111" s="2"/>
      <c r="U111" s="2"/>
      <c r="V111" s="22">
        <f t="shared" si="10"/>
        <v>0</v>
      </c>
      <c r="W111" s="2"/>
      <c r="X111" s="2">
        <f t="shared" si="11"/>
        <v>10762.88</v>
      </c>
      <c r="Y111" s="2"/>
      <c r="Z111" s="22">
        <f t="shared" si="12"/>
        <v>0</v>
      </c>
    </row>
    <row r="112" spans="1:26" s="24" customFormat="1" hidden="1" outlineLevel="1" x14ac:dyDescent="0.25">
      <c r="A112" s="51"/>
      <c r="B112" s="11" t="str">
        <f>CONCATENATE("          ", "5502", " - ", "FREIGHT-IN-USED TEXT")</f>
        <v xml:space="preserve">          5502 - FREIGHT-IN-USED TEXT</v>
      </c>
      <c r="C112" s="11"/>
      <c r="D112" s="2">
        <v>7276.27</v>
      </c>
      <c r="E112" s="2"/>
      <c r="F112" s="22">
        <f t="shared" si="5"/>
        <v>1.1498686431283885E-2</v>
      </c>
      <c r="G112" s="2"/>
      <c r="H112" s="2"/>
      <c r="I112" s="2"/>
      <c r="J112" s="22">
        <f t="shared" si="6"/>
        <v>0</v>
      </c>
      <c r="K112" s="2"/>
      <c r="L112" s="2">
        <f t="shared" si="7"/>
        <v>7276.27</v>
      </c>
      <c r="M112" s="2"/>
      <c r="N112" s="22">
        <f t="shared" si="8"/>
        <v>0</v>
      </c>
      <c r="O112" s="11"/>
      <c r="P112" s="2">
        <v>8510.82</v>
      </c>
      <c r="Q112" s="2"/>
      <c r="R112" s="22">
        <f t="shared" si="9"/>
        <v>2.6956980386419818E-3</v>
      </c>
      <c r="S112" s="2"/>
      <c r="T112" s="2"/>
      <c r="U112" s="2"/>
      <c r="V112" s="22">
        <f t="shared" si="10"/>
        <v>0</v>
      </c>
      <c r="W112" s="2"/>
      <c r="X112" s="2">
        <f t="shared" si="11"/>
        <v>8510.82</v>
      </c>
      <c r="Y112" s="2"/>
      <c r="Z112" s="22">
        <f t="shared" si="12"/>
        <v>0</v>
      </c>
    </row>
    <row r="113" spans="1:26" s="24" customFormat="1" hidden="1" outlineLevel="1" x14ac:dyDescent="0.25">
      <c r="A113" s="51"/>
      <c r="B113" s="11" t="str">
        <f>CONCATENATE("          ", "5504", " - ", "FREIGHT-IN-DIGITAL TEXT")</f>
        <v xml:space="preserve">          5504 - FREIGHT-IN-DIGITAL TEXT</v>
      </c>
      <c r="C113" s="11"/>
      <c r="D113" s="2">
        <v>10.99</v>
      </c>
      <c r="E113" s="2"/>
      <c r="F113" s="22">
        <f t="shared" si="5"/>
        <v>1.7367492393741559E-5</v>
      </c>
      <c r="G113" s="2"/>
      <c r="H113" s="2"/>
      <c r="I113" s="2"/>
      <c r="J113" s="22">
        <f t="shared" si="6"/>
        <v>0</v>
      </c>
      <c r="K113" s="2"/>
      <c r="L113" s="2">
        <f t="shared" si="7"/>
        <v>10.99</v>
      </c>
      <c r="M113" s="2"/>
      <c r="N113" s="22">
        <f t="shared" si="8"/>
        <v>0</v>
      </c>
      <c r="O113" s="11"/>
      <c r="P113" s="2">
        <v>10.99</v>
      </c>
      <c r="Q113" s="2"/>
      <c r="R113" s="22">
        <f t="shared" si="9"/>
        <v>3.4809479515105927E-6</v>
      </c>
      <c r="S113" s="2"/>
      <c r="T113" s="2"/>
      <c r="U113" s="2"/>
      <c r="V113" s="22">
        <f t="shared" si="10"/>
        <v>0</v>
      </c>
      <c r="W113" s="2"/>
      <c r="X113" s="2">
        <f t="shared" si="11"/>
        <v>10.99</v>
      </c>
      <c r="Y113" s="2"/>
      <c r="Z113" s="22">
        <f t="shared" si="12"/>
        <v>0</v>
      </c>
    </row>
    <row r="114" spans="1:26" s="24" customFormat="1" hidden="1" outlineLevel="1" x14ac:dyDescent="0.25">
      <c r="A114" s="51"/>
      <c r="B114" s="11" t="str">
        <f>CONCATENATE("          ", "5528", " - ", "FREIGHT-IN-ART/TECH")</f>
        <v xml:space="preserve">          5528 - FREIGHT-IN-ART/TECH</v>
      </c>
      <c r="C114" s="11"/>
      <c r="D114" s="2">
        <v>6.76</v>
      </c>
      <c r="E114" s="2"/>
      <c r="F114" s="22">
        <f t="shared" si="5"/>
        <v>1.0682825166669056E-5</v>
      </c>
      <c r="G114" s="2"/>
      <c r="H114" s="2"/>
      <c r="I114" s="2"/>
      <c r="J114" s="22">
        <f t="shared" si="6"/>
        <v>0</v>
      </c>
      <c r="K114" s="2"/>
      <c r="L114" s="2">
        <f t="shared" si="7"/>
        <v>6.76</v>
      </c>
      <c r="M114" s="2"/>
      <c r="N114" s="22">
        <f t="shared" si="8"/>
        <v>0</v>
      </c>
      <c r="O114" s="11"/>
      <c r="P114" s="2">
        <v>44.81</v>
      </c>
      <c r="Q114" s="2"/>
      <c r="R114" s="22">
        <f t="shared" si="9"/>
        <v>1.4193018899653291E-5</v>
      </c>
      <c r="S114" s="2"/>
      <c r="T114" s="2"/>
      <c r="U114" s="2"/>
      <c r="V114" s="22">
        <f t="shared" si="10"/>
        <v>0</v>
      </c>
      <c r="W114" s="2"/>
      <c r="X114" s="2">
        <f t="shared" si="11"/>
        <v>44.81</v>
      </c>
      <c r="Y114" s="2"/>
      <c r="Z114" s="22">
        <f t="shared" si="12"/>
        <v>0</v>
      </c>
    </row>
    <row r="115" spans="1:26" s="24" customFormat="1" hidden="1" outlineLevel="1" x14ac:dyDescent="0.25">
      <c r="A115" s="51"/>
      <c r="B115" s="11" t="str">
        <f>CONCATENATE("          ", "5540", " - ", "FREIGHT-IN-LOGO CLOTHING")</f>
        <v xml:space="preserve">          5540 - FREIGHT-IN-LOGO CLOTHING</v>
      </c>
      <c r="C115" s="11"/>
      <c r="D115" s="2">
        <v>234.23</v>
      </c>
      <c r="E115" s="2"/>
      <c r="F115" s="22">
        <f t="shared" si="5"/>
        <v>3.7015357082675931E-4</v>
      </c>
      <c r="G115" s="2"/>
      <c r="H115" s="2"/>
      <c r="I115" s="2"/>
      <c r="J115" s="22">
        <f t="shared" si="6"/>
        <v>0</v>
      </c>
      <c r="K115" s="2"/>
      <c r="L115" s="2">
        <f t="shared" si="7"/>
        <v>234.23</v>
      </c>
      <c r="M115" s="2"/>
      <c r="N115" s="22">
        <f t="shared" si="8"/>
        <v>0</v>
      </c>
      <c r="O115" s="11"/>
      <c r="P115" s="2">
        <v>2165.7600000000002</v>
      </c>
      <c r="Q115" s="2"/>
      <c r="R115" s="22">
        <f t="shared" si="9"/>
        <v>6.8597796501033504E-4</v>
      </c>
      <c r="S115" s="2"/>
      <c r="T115" s="2"/>
      <c r="U115" s="2"/>
      <c r="V115" s="22">
        <f t="shared" si="10"/>
        <v>0</v>
      </c>
      <c r="W115" s="2"/>
      <c r="X115" s="2">
        <f t="shared" si="11"/>
        <v>2165.7600000000002</v>
      </c>
      <c r="Y115" s="2"/>
      <c r="Z115" s="22">
        <f t="shared" si="12"/>
        <v>0</v>
      </c>
    </row>
    <row r="116" spans="1:26" s="24" customFormat="1" hidden="1" outlineLevel="1" x14ac:dyDescent="0.25">
      <c r="A116" s="51"/>
      <c r="B116" s="11" t="str">
        <f>CONCATENATE("          ", "5541", " - ", "FREIGHT-IN-LOGO GIFTS")</f>
        <v xml:space="preserve">          5541 - FREIGHT-IN-LOGO GIFTS</v>
      </c>
      <c r="C116" s="11"/>
      <c r="D116" s="2">
        <v>154.41</v>
      </c>
      <c r="E116" s="2"/>
      <c r="F116" s="22">
        <f t="shared" si="5"/>
        <v>2.4401405828185932E-4</v>
      </c>
      <c r="G116" s="2"/>
      <c r="H116" s="2"/>
      <c r="I116" s="2"/>
      <c r="J116" s="22">
        <f t="shared" si="6"/>
        <v>0</v>
      </c>
      <c r="K116" s="2"/>
      <c r="L116" s="2">
        <f t="shared" si="7"/>
        <v>154.41</v>
      </c>
      <c r="M116" s="2"/>
      <c r="N116" s="22">
        <f t="shared" si="8"/>
        <v>0</v>
      </c>
      <c r="O116" s="11"/>
      <c r="P116" s="2">
        <v>361.11</v>
      </c>
      <c r="Q116" s="2"/>
      <c r="R116" s="22">
        <f t="shared" si="9"/>
        <v>1.1437717149863422E-4</v>
      </c>
      <c r="S116" s="2"/>
      <c r="T116" s="2"/>
      <c r="U116" s="2"/>
      <c r="V116" s="22">
        <f t="shared" si="10"/>
        <v>0</v>
      </c>
      <c r="W116" s="2"/>
      <c r="X116" s="2">
        <f t="shared" si="11"/>
        <v>361.11</v>
      </c>
      <c r="Y116" s="2"/>
      <c r="Z116" s="22">
        <f t="shared" si="12"/>
        <v>0</v>
      </c>
    </row>
    <row r="117" spans="1:26" s="24" customFormat="1" hidden="1" outlineLevel="1" x14ac:dyDescent="0.25">
      <c r="A117" s="51"/>
      <c r="B117" s="11" t="str">
        <f>CONCATENATE("          ", "5542", " - ", "FREIGHT-IN-EVERYDAY GIFTS")</f>
        <v xml:space="preserve">          5542 - FREIGHT-IN-EVERYDAY GIFTS</v>
      </c>
      <c r="C117" s="11"/>
      <c r="D117" s="2">
        <v>65.44</v>
      </c>
      <c r="E117" s="2"/>
      <c r="F117" s="22">
        <f t="shared" si="5"/>
        <v>1.0341480457201524E-4</v>
      </c>
      <c r="G117" s="2"/>
      <c r="H117" s="2"/>
      <c r="I117" s="2"/>
      <c r="J117" s="22">
        <f t="shared" si="6"/>
        <v>0</v>
      </c>
      <c r="K117" s="2"/>
      <c r="L117" s="2">
        <f t="shared" si="7"/>
        <v>65.44</v>
      </c>
      <c r="M117" s="2"/>
      <c r="N117" s="22">
        <f t="shared" si="8"/>
        <v>0</v>
      </c>
      <c r="O117" s="11"/>
      <c r="P117" s="2">
        <v>71.38</v>
      </c>
      <c r="Q117" s="2"/>
      <c r="R117" s="22">
        <f t="shared" si="9"/>
        <v>2.2608741108173437E-5</v>
      </c>
      <c r="S117" s="2"/>
      <c r="T117" s="2"/>
      <c r="U117" s="2"/>
      <c r="V117" s="22">
        <f t="shared" si="10"/>
        <v>0</v>
      </c>
      <c r="W117" s="2"/>
      <c r="X117" s="2">
        <f t="shared" si="11"/>
        <v>71.38</v>
      </c>
      <c r="Y117" s="2"/>
      <c r="Z117" s="22">
        <f t="shared" si="12"/>
        <v>0</v>
      </c>
    </row>
    <row r="118" spans="1:26" s="24" customFormat="1" hidden="1" outlineLevel="1" x14ac:dyDescent="0.25">
      <c r="A118" s="51"/>
      <c r="B118" s="11" t="str">
        <f>CONCATENATE("          ", "5543", " - ", "FREIGHT-IN-CARDS")</f>
        <v xml:space="preserve">          5543 - FREIGHT-IN-CARDS</v>
      </c>
      <c r="C118" s="11"/>
      <c r="D118" s="2">
        <v>81.77</v>
      </c>
      <c r="E118" s="2"/>
      <c r="F118" s="22">
        <f t="shared" si="5"/>
        <v>1.2922109672759301E-4</v>
      </c>
      <c r="G118" s="2"/>
      <c r="H118" s="2"/>
      <c r="I118" s="2"/>
      <c r="J118" s="22">
        <f t="shared" si="6"/>
        <v>0</v>
      </c>
      <c r="K118" s="2"/>
      <c r="L118" s="2">
        <f t="shared" si="7"/>
        <v>81.77</v>
      </c>
      <c r="M118" s="2"/>
      <c r="N118" s="22">
        <f t="shared" si="8"/>
        <v>0</v>
      </c>
      <c r="O118" s="11"/>
      <c r="P118" s="2">
        <v>81.77</v>
      </c>
      <c r="Q118" s="2"/>
      <c r="R118" s="22">
        <f t="shared" si="9"/>
        <v>2.589964640537044E-5</v>
      </c>
      <c r="S118" s="2"/>
      <c r="T118" s="2"/>
      <c r="U118" s="2"/>
      <c r="V118" s="22">
        <f t="shared" si="10"/>
        <v>0</v>
      </c>
      <c r="W118" s="2"/>
      <c r="X118" s="2">
        <f t="shared" si="11"/>
        <v>81.77</v>
      </c>
      <c r="Y118" s="2"/>
      <c r="Z118" s="22">
        <f t="shared" si="12"/>
        <v>0</v>
      </c>
    </row>
    <row r="119" spans="1:26" s="24" customFormat="1" hidden="1" outlineLevel="1" x14ac:dyDescent="0.25">
      <c r="A119" s="51"/>
      <c r="B119" s="11" t="str">
        <f>CONCATENATE("          ", "5545", " - ", "FREIGHT-IN-SPECIAL ORDERS")</f>
        <v xml:space="preserve">          5545 - FREIGHT-IN-SPECIAL ORDERS</v>
      </c>
      <c r="C119" s="11"/>
      <c r="D119" s="2">
        <v>214.61</v>
      </c>
      <c r="E119" s="2"/>
      <c r="F119" s="22">
        <f t="shared" si="5"/>
        <v>3.3914809305012522E-4</v>
      </c>
      <c r="G119" s="2"/>
      <c r="H119" s="2"/>
      <c r="I119" s="2"/>
      <c r="J119" s="22">
        <f t="shared" si="6"/>
        <v>0</v>
      </c>
      <c r="K119" s="2"/>
      <c r="L119" s="2">
        <f t="shared" si="7"/>
        <v>214.61</v>
      </c>
      <c r="M119" s="2"/>
      <c r="N119" s="22">
        <f t="shared" si="8"/>
        <v>0</v>
      </c>
      <c r="O119" s="11"/>
      <c r="P119" s="2">
        <v>660.61</v>
      </c>
      <c r="Q119" s="2"/>
      <c r="R119" s="22">
        <f t="shared" si="9"/>
        <v>2.0924012977683462E-4</v>
      </c>
      <c r="S119" s="2"/>
      <c r="T119" s="2"/>
      <c r="U119" s="2"/>
      <c r="V119" s="22">
        <f t="shared" si="10"/>
        <v>0</v>
      </c>
      <c r="W119" s="2"/>
      <c r="X119" s="2">
        <f t="shared" si="11"/>
        <v>660.61</v>
      </c>
      <c r="Y119" s="2"/>
      <c r="Z119" s="22">
        <f t="shared" si="12"/>
        <v>0</v>
      </c>
    </row>
    <row r="120" spans="1:26" s="24" customFormat="1" hidden="1" outlineLevel="1" x14ac:dyDescent="0.25">
      <c r="A120" s="51"/>
      <c r="B120" s="11" t="str">
        <f>CONCATENATE("          ", "5582", " - ", "FREIGHT-IN-COMPUTER HARDWARE")</f>
        <v xml:space="preserve">          5582 - FREIGHT-IN-COMPUTER HARDWARE</v>
      </c>
      <c r="C120" s="11"/>
      <c r="D120" s="2">
        <v>24</v>
      </c>
      <c r="E120" s="2"/>
      <c r="F120" s="22">
        <f t="shared" si="5"/>
        <v>3.7927189940836888E-5</v>
      </c>
      <c r="G120" s="2"/>
      <c r="H120" s="2"/>
      <c r="I120" s="2"/>
      <c r="J120" s="22">
        <f t="shared" si="6"/>
        <v>0</v>
      </c>
      <c r="K120" s="2"/>
      <c r="L120" s="2">
        <f t="shared" si="7"/>
        <v>24</v>
      </c>
      <c r="M120" s="2"/>
      <c r="N120" s="22">
        <f t="shared" si="8"/>
        <v>0</v>
      </c>
      <c r="O120" s="11"/>
      <c r="P120" s="2">
        <v>24</v>
      </c>
      <c r="Q120" s="2"/>
      <c r="R120" s="22">
        <f t="shared" si="9"/>
        <v>7.6017061725436049E-6</v>
      </c>
      <c r="S120" s="2"/>
      <c r="T120" s="2"/>
      <c r="U120" s="2"/>
      <c r="V120" s="22">
        <f t="shared" si="10"/>
        <v>0</v>
      </c>
      <c r="W120" s="2"/>
      <c r="X120" s="2">
        <f t="shared" si="11"/>
        <v>24</v>
      </c>
      <c r="Y120" s="2"/>
      <c r="Z120" s="22">
        <f t="shared" si="12"/>
        <v>0</v>
      </c>
    </row>
    <row r="121" spans="1:26" s="24" customFormat="1" hidden="1" outlineLevel="1" x14ac:dyDescent="0.25">
      <c r="A121" s="51"/>
      <c r="B121" s="11" t="str">
        <f>CONCATENATE("          ", "5583", " - ", "FREIGHT-IN-COMPUTER EQUIPMENT")</f>
        <v xml:space="preserve">          5583 - FREIGHT-IN-COMPUTER EQUIPMENT</v>
      </c>
      <c r="C121" s="11"/>
      <c r="D121" s="2">
        <v>156</v>
      </c>
      <c r="E121" s="2"/>
      <c r="F121" s="22">
        <f t="shared" si="5"/>
        <v>2.4652673461543977E-4</v>
      </c>
      <c r="G121" s="2"/>
      <c r="H121" s="2"/>
      <c r="I121" s="2"/>
      <c r="J121" s="22">
        <f t="shared" si="6"/>
        <v>0</v>
      </c>
      <c r="K121" s="2"/>
      <c r="L121" s="2">
        <f t="shared" si="7"/>
        <v>156</v>
      </c>
      <c r="M121" s="2"/>
      <c r="N121" s="22">
        <f t="shared" si="8"/>
        <v>0</v>
      </c>
      <c r="O121" s="11"/>
      <c r="P121" s="2">
        <v>173.39</v>
      </c>
      <c r="Q121" s="2"/>
      <c r="R121" s="22">
        <f t="shared" si="9"/>
        <v>5.4919159719055649E-5</v>
      </c>
      <c r="S121" s="2"/>
      <c r="T121" s="2"/>
      <c r="U121" s="2"/>
      <c r="V121" s="22">
        <f t="shared" si="10"/>
        <v>0</v>
      </c>
      <c r="W121" s="2"/>
      <c r="X121" s="2">
        <f t="shared" si="11"/>
        <v>173.39</v>
      </c>
      <c r="Y121" s="2"/>
      <c r="Z121" s="22">
        <f t="shared" si="12"/>
        <v>0</v>
      </c>
    </row>
    <row r="122" spans="1:26" s="24" customFormat="1" hidden="1" outlineLevel="1" x14ac:dyDescent="0.25">
      <c r="A122" s="51"/>
      <c r="B122" s="11" t="str">
        <f>CONCATENATE("          ", "5586", " - ", "FREIGHT-IN-COMPUTER SUPPLIES")</f>
        <v xml:space="preserve">          5586 - FREIGHT-IN-COMPUTER SUPPLIES</v>
      </c>
      <c r="C122" s="11"/>
      <c r="D122" s="2"/>
      <c r="E122" s="2"/>
      <c r="F122" s="22">
        <f t="shared" si="5"/>
        <v>0</v>
      </c>
      <c r="G122" s="2"/>
      <c r="H122" s="2"/>
      <c r="I122" s="2"/>
      <c r="J122" s="22">
        <f t="shared" si="6"/>
        <v>0</v>
      </c>
      <c r="K122" s="2"/>
      <c r="L122" s="2">
        <f t="shared" si="7"/>
        <v>0</v>
      </c>
      <c r="M122" s="2"/>
      <c r="N122" s="22">
        <f t="shared" si="8"/>
        <v>0</v>
      </c>
      <c r="O122" s="11"/>
      <c r="P122" s="2">
        <v>24.12</v>
      </c>
      <c r="Q122" s="2"/>
      <c r="R122" s="22">
        <f t="shared" si="9"/>
        <v>7.6397147034063229E-6</v>
      </c>
      <c r="S122" s="2"/>
      <c r="T122" s="2"/>
      <c r="U122" s="2"/>
      <c r="V122" s="22">
        <f t="shared" si="10"/>
        <v>0</v>
      </c>
      <c r="W122" s="2"/>
      <c r="X122" s="2">
        <f t="shared" si="11"/>
        <v>24.12</v>
      </c>
      <c r="Y122" s="2"/>
      <c r="Z122" s="22">
        <f t="shared" si="12"/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6" t="s">
        <v>6</v>
      </c>
      <c r="C124" s="26"/>
      <c r="D124" s="20">
        <f>D12-D88</f>
        <v>139518.31000000029</v>
      </c>
      <c r="E124" s="13"/>
      <c r="F124" s="21">
        <f>IF(D$12=0,0,D124/D$12)</f>
        <v>0.22048072681644054</v>
      </c>
      <c r="G124" s="13"/>
      <c r="H124" s="20">
        <f>H12-H88</f>
        <v>519904</v>
      </c>
      <c r="I124" s="13"/>
      <c r="J124" s="21">
        <f>IF(H$12=0,0,H124/H$12)</f>
        <v>0.32985107012025294</v>
      </c>
      <c r="K124" s="16"/>
      <c r="L124" s="20">
        <f>+D124-H124</f>
        <v>-380385.68999999971</v>
      </c>
      <c r="M124" s="16"/>
      <c r="N124" s="21">
        <f>IF(H124=0,0,L124/H124)</f>
        <v>-0.73164601541823049</v>
      </c>
      <c r="O124" s="25"/>
      <c r="P124" s="20">
        <f>P12-P88</f>
        <v>778674.52999999933</v>
      </c>
      <c r="Q124" s="13"/>
      <c r="R124" s="21">
        <f>IF(P$12=0,0,P124/P$12)</f>
        <v>0.24663562421264523</v>
      </c>
      <c r="S124" s="13"/>
      <c r="T124" s="20">
        <f>T12-T88</f>
        <v>1536719</v>
      </c>
      <c r="U124" s="13"/>
      <c r="V124" s="21">
        <f>IF(T$12=0,0,T124/T$12)</f>
        <v>0.33002127813102933</v>
      </c>
      <c r="W124" s="16"/>
      <c r="X124" s="20">
        <f>+P124-T124</f>
        <v>-758044.47000000067</v>
      </c>
      <c r="Y124" s="16"/>
      <c r="Z124" s="21">
        <f>IF(T124=0,0,X124/T124)</f>
        <v>-0.4932876277315506</v>
      </c>
    </row>
    <row r="125" spans="1:26" x14ac:dyDescent="0.25">
      <c r="A125" s="9"/>
      <c r="B125" s="10"/>
      <c r="C125" s="9"/>
      <c r="D125" s="1"/>
      <c r="E125" s="1"/>
      <c r="F125" s="5"/>
      <c r="G125" s="1"/>
      <c r="H125" s="1"/>
      <c r="I125" s="1"/>
      <c r="J125" s="5"/>
      <c r="K125" s="1"/>
      <c r="L125" s="1"/>
      <c r="M125" s="1"/>
      <c r="N125" s="5"/>
      <c r="O125" s="36"/>
      <c r="P125" s="1"/>
      <c r="Q125" s="1"/>
      <c r="R125" s="5"/>
      <c r="S125" s="1"/>
      <c r="T125" s="1"/>
      <c r="U125" s="1"/>
      <c r="V125" s="5"/>
      <c r="W125" s="1"/>
      <c r="X125" s="1"/>
      <c r="Y125" s="1"/>
      <c r="Z125" s="5"/>
    </row>
    <row r="126" spans="1:26" s="23" customFormat="1" x14ac:dyDescent="0.25">
      <c r="A126" s="10"/>
      <c r="B126" s="25" t="s">
        <v>9</v>
      </c>
      <c r="C126" s="10"/>
      <c r="D126" s="19">
        <f>SUM(OSRRefD22x_0)</f>
        <v>272125.67000000004</v>
      </c>
      <c r="E126" s="19"/>
      <c r="F126" s="35">
        <f t="shared" ref="F126:F137" si="13">IF(D$12=0,0,D126/D$12)</f>
        <v>0.43004008224447915</v>
      </c>
      <c r="G126" s="19"/>
      <c r="H126" s="19">
        <f>SUM(OSRRefH22x_0)</f>
        <v>419427.3390149615</v>
      </c>
      <c r="I126" s="19"/>
      <c r="J126" s="35">
        <f t="shared" ref="J126:J137" si="14">IF(H$12=0,0,H126/H$12)</f>
        <v>0.2661040434614374</v>
      </c>
      <c r="K126" s="4"/>
      <c r="L126" s="19">
        <f t="shared" ref="L126:L137" si="15">+D126-H126</f>
        <v>-147301.66901496146</v>
      </c>
      <c r="M126" s="4"/>
      <c r="N126" s="35">
        <f t="shared" ref="N126:N137" si="16">IF(H126=0,0,L126/H126)</f>
        <v>-0.3511971092797721</v>
      </c>
      <c r="O126" s="10"/>
      <c r="P126" s="19">
        <f>SUM(OSRRefP22x_0)</f>
        <v>841529.84</v>
      </c>
      <c r="Q126" s="19"/>
      <c r="R126" s="35">
        <f t="shared" ref="R126:R137" si="17">IF(P$12=0,0,P126/P$12)</f>
        <v>0.26654427412948467</v>
      </c>
      <c r="S126" s="19"/>
      <c r="T126" s="19">
        <f>SUM(OSRRefT22x_0)</f>
        <v>1292218.9690776251</v>
      </c>
      <c r="U126" s="19"/>
      <c r="V126" s="35">
        <f t="shared" ref="V126:V137" si="18">IF(T$12=0,0,T126/T$12)</f>
        <v>0.2775131665582054</v>
      </c>
      <c r="W126" s="4"/>
      <c r="X126" s="19">
        <f t="shared" ref="X126:X137" si="19">+P126-T126</f>
        <v>-450689.12907762511</v>
      </c>
      <c r="Y126" s="4"/>
      <c r="Z126" s="35">
        <f t="shared" ref="Z126:Z137" si="20">IF(T126=0,0,X126/T126)</f>
        <v>-0.34877148522229418</v>
      </c>
    </row>
    <row r="127" spans="1:26" s="28" customFormat="1" outlineLevel="1" collapsed="1" x14ac:dyDescent="0.25">
      <c r="A127" s="27"/>
      <c r="B127" s="14" t="str">
        <f>CONCATENATE("     ","*Benefits                                         ")</f>
        <v xml:space="preserve">     *Benefits                                         </v>
      </c>
      <c r="C127" s="14"/>
      <c r="D127" s="1">
        <f>SUM(OSRRefD22_0x_0)</f>
        <v>49795.060000000005</v>
      </c>
      <c r="E127" s="1"/>
      <c r="F127" s="5">
        <f t="shared" si="13"/>
        <v>7.869111244730706E-2</v>
      </c>
      <c r="G127" s="1"/>
      <c r="H127" s="1">
        <f>SUM(OSRRefH22_0x_0)</f>
        <v>44439.006232807689</v>
      </c>
      <c r="I127" s="1"/>
      <c r="J127" s="5">
        <f t="shared" si="14"/>
        <v>2.8194154615029325E-2</v>
      </c>
      <c r="K127" s="1"/>
      <c r="L127" s="1">
        <f t="shared" si="15"/>
        <v>5356.0537671923157</v>
      </c>
      <c r="M127" s="1"/>
      <c r="N127" s="5">
        <f t="shared" si="16"/>
        <v>0.12052595728925498</v>
      </c>
      <c r="O127" s="14"/>
      <c r="P127" s="1">
        <f>SUM(OSRRefP22_0x_0)</f>
        <v>141479.31000000003</v>
      </c>
      <c r="Q127" s="1"/>
      <c r="R127" s="5">
        <f t="shared" si="17"/>
        <v>4.4811839338092102E-2</v>
      </c>
      <c r="S127" s="1"/>
      <c r="T127" s="1">
        <f>SUM(OSRRefT22_0x_0)</f>
        <v>150413.46503562498</v>
      </c>
      <c r="U127" s="1"/>
      <c r="V127" s="5">
        <f t="shared" si="18"/>
        <v>3.2302355849816292E-2</v>
      </c>
      <c r="W127" s="1"/>
      <c r="X127" s="1">
        <f t="shared" si="19"/>
        <v>-8934.15503562495</v>
      </c>
      <c r="Y127" s="1"/>
      <c r="Z127" s="5">
        <f t="shared" si="20"/>
        <v>-5.9397308834743763E-2</v>
      </c>
    </row>
    <row r="128" spans="1:26" s="24" customFormat="1" hidden="1" outlineLevel="2" x14ac:dyDescent="0.25">
      <c r="A128" s="29"/>
      <c r="B128" s="11" t="str">
        <f>CONCATENATE("          ", "6111", " - ", "F.I.C.A.")</f>
        <v xml:space="preserve">          6111 - F.I.C.A.</v>
      </c>
      <c r="C128" s="11"/>
      <c r="D128" s="6">
        <v>11834.62</v>
      </c>
      <c r="E128" s="2"/>
      <c r="F128" s="7">
        <f t="shared" si="13"/>
        <v>1.8702245025734462E-2</v>
      </c>
      <c r="G128" s="2"/>
      <c r="H128" s="6">
        <v>6771.8815584230788</v>
      </c>
      <c r="I128" s="2"/>
      <c r="J128" s="7">
        <f t="shared" si="14"/>
        <v>4.296393908824434E-3</v>
      </c>
      <c r="K128" s="2"/>
      <c r="L128" s="6">
        <f t="shared" si="15"/>
        <v>5062.738441576922</v>
      </c>
      <c r="M128" s="2"/>
      <c r="N128" s="7">
        <f t="shared" si="16"/>
        <v>0.74761178232358905</v>
      </c>
      <c r="O128" s="11"/>
      <c r="P128" s="6">
        <v>31176.390000000003</v>
      </c>
      <c r="Q128" s="2"/>
      <c r="R128" s="7">
        <f t="shared" si="17"/>
        <v>9.8747398458594472E-3</v>
      </c>
      <c r="S128" s="2"/>
      <c r="T128" s="6">
        <v>32816.682936375</v>
      </c>
      <c r="U128" s="2"/>
      <c r="V128" s="7">
        <f t="shared" si="18"/>
        <v>7.0476148513054226E-3</v>
      </c>
      <c r="W128" s="2"/>
      <c r="X128" s="6">
        <f t="shared" si="19"/>
        <v>-1640.2929363749972</v>
      </c>
      <c r="Y128" s="2"/>
      <c r="Z128" s="7">
        <f t="shared" si="20"/>
        <v>-4.9983508069819181E-2</v>
      </c>
    </row>
    <row r="129" spans="1:26" s="24" customFormat="1" hidden="1" outlineLevel="2" x14ac:dyDescent="0.25">
      <c r="A129" s="29"/>
      <c r="B129" s="11" t="str">
        <f>CONCATENATE("          ", "6112", " - ", "COMPENSATION INSURANCE")</f>
        <v xml:space="preserve">          6112 - COMPENSATION INSURANCE</v>
      </c>
      <c r="C129" s="11"/>
      <c r="D129" s="6">
        <v>4238.91</v>
      </c>
      <c r="E129" s="2"/>
      <c r="F129" s="7">
        <f t="shared" si="13"/>
        <v>6.6987476963380364E-3</v>
      </c>
      <c r="G129" s="2"/>
      <c r="H129" s="6">
        <v>3375.3946880769213</v>
      </c>
      <c r="I129" s="2"/>
      <c r="J129" s="7">
        <f t="shared" si="14"/>
        <v>2.141506027921289E-3</v>
      </c>
      <c r="K129" s="2"/>
      <c r="L129" s="6">
        <f t="shared" si="15"/>
        <v>863.51531192307857</v>
      </c>
      <c r="M129" s="2"/>
      <c r="N129" s="7">
        <f t="shared" si="16"/>
        <v>0.25582647118967089</v>
      </c>
      <c r="O129" s="11"/>
      <c r="P129" s="6">
        <v>8526.9500000000007</v>
      </c>
      <c r="Q129" s="2"/>
      <c r="R129" s="7">
        <f t="shared" si="17"/>
        <v>2.7008070186654459E-3</v>
      </c>
      <c r="S129" s="2"/>
      <c r="T129" s="6">
        <v>10726.643498749992</v>
      </c>
      <c r="U129" s="2"/>
      <c r="V129" s="7">
        <f t="shared" si="18"/>
        <v>2.3036225865062957E-3</v>
      </c>
      <c r="W129" s="2"/>
      <c r="X129" s="6">
        <f t="shared" si="19"/>
        <v>-2199.6934987499917</v>
      </c>
      <c r="Y129" s="2"/>
      <c r="Z129" s="7">
        <f t="shared" si="20"/>
        <v>-0.20506820227653957</v>
      </c>
    </row>
    <row r="130" spans="1:26" s="24" customFormat="1" hidden="1" outlineLevel="2" x14ac:dyDescent="0.25">
      <c r="A130" s="29"/>
      <c r="B130" s="11" t="str">
        <f>CONCATENATE("          ", "6113", " - ", "GROUP INSURANCE")</f>
        <v xml:space="preserve">          6113 - GROUP INSURANCE</v>
      </c>
      <c r="C130" s="11"/>
      <c r="D130" s="6">
        <v>15816.609999999999</v>
      </c>
      <c r="E130" s="2"/>
      <c r="F130" s="7">
        <f t="shared" si="13"/>
        <v>2.4994982153755837E-2</v>
      </c>
      <c r="G130" s="2"/>
      <c r="H130" s="6">
        <v>18233.846153846156</v>
      </c>
      <c r="I130" s="2"/>
      <c r="J130" s="7">
        <f t="shared" si="14"/>
        <v>1.1568392753766489E-2</v>
      </c>
      <c r="K130" s="2"/>
      <c r="L130" s="6">
        <f t="shared" si="15"/>
        <v>-2417.2361538461573</v>
      </c>
      <c r="M130" s="2"/>
      <c r="N130" s="7">
        <f t="shared" si="16"/>
        <v>-0.13256863820452261</v>
      </c>
      <c r="O130" s="11"/>
      <c r="P130" s="6">
        <v>46892.060000000005</v>
      </c>
      <c r="Q130" s="2"/>
      <c r="R130" s="7">
        <f t="shared" si="17"/>
        <v>1.4852485914386881E-2</v>
      </c>
      <c r="S130" s="2"/>
      <c r="T130" s="6">
        <v>55634.999999999985</v>
      </c>
      <c r="U130" s="2"/>
      <c r="V130" s="7">
        <f t="shared" si="18"/>
        <v>1.1948009889133804E-2</v>
      </c>
      <c r="W130" s="2"/>
      <c r="X130" s="6">
        <f t="shared" si="19"/>
        <v>-8742.9399999999805</v>
      </c>
      <c r="Y130" s="2"/>
      <c r="Z130" s="7">
        <f t="shared" si="20"/>
        <v>-0.15714819807674993</v>
      </c>
    </row>
    <row r="131" spans="1:26" s="24" customFormat="1" hidden="1" outlineLevel="2" x14ac:dyDescent="0.25">
      <c r="A131" s="29"/>
      <c r="B131" s="11" t="str">
        <f>CONCATENATE("          ", "6114", " - ", "STATE UNEMPLOYMENT INSURANCE")</f>
        <v xml:space="preserve">          6114 - STATE UNEMPLOYMENT INSURANCE</v>
      </c>
      <c r="C131" s="11"/>
      <c r="D131" s="6">
        <v>511.26</v>
      </c>
      <c r="E131" s="2"/>
      <c r="F131" s="7">
        <f t="shared" si="13"/>
        <v>8.0794396371467771E-4</v>
      </c>
      <c r="G131" s="2"/>
      <c r="H131" s="6">
        <v>479.07799399999999</v>
      </c>
      <c r="I131" s="2"/>
      <c r="J131" s="7">
        <f t="shared" si="14"/>
        <v>3.0394916944659806E-4</v>
      </c>
      <c r="K131" s="2"/>
      <c r="L131" s="6">
        <f t="shared" si="15"/>
        <v>32.182006000000001</v>
      </c>
      <c r="M131" s="2"/>
      <c r="N131" s="7">
        <f t="shared" si="16"/>
        <v>6.717487841864847E-2</v>
      </c>
      <c r="O131" s="11"/>
      <c r="P131" s="6">
        <v>1194.46</v>
      </c>
      <c r="Q131" s="2"/>
      <c r="R131" s="7">
        <f t="shared" si="17"/>
        <v>3.7833058145235145E-4</v>
      </c>
      <c r="S131" s="2"/>
      <c r="T131" s="6">
        <v>1515.3698755</v>
      </c>
      <c r="U131" s="2"/>
      <c r="V131" s="7">
        <f t="shared" si="18"/>
        <v>3.2543640259134478E-4</v>
      </c>
      <c r="W131" s="2"/>
      <c r="X131" s="6">
        <f t="shared" si="19"/>
        <v>-320.9098755</v>
      </c>
      <c r="Y131" s="2"/>
      <c r="Z131" s="7">
        <f t="shared" si="20"/>
        <v>-0.21176999799742949</v>
      </c>
    </row>
    <row r="132" spans="1:26" s="24" customFormat="1" hidden="1" outlineLevel="2" x14ac:dyDescent="0.25">
      <c r="A132" s="29"/>
      <c r="B132" s="11" t="str">
        <f>CONCATENATE("          ", "6115", " - ", "P.E.R.S.")</f>
        <v xml:space="preserve">          6115 - P.E.R.S.</v>
      </c>
      <c r="C132" s="11"/>
      <c r="D132" s="6">
        <v>6106.89</v>
      </c>
      <c r="E132" s="2"/>
      <c r="F132" s="7">
        <f t="shared" si="13"/>
        <v>9.6507157074082247E-3</v>
      </c>
      <c r="G132" s="2"/>
      <c r="H132" s="6">
        <v>4889.0335153846154</v>
      </c>
      <c r="I132" s="2"/>
      <c r="J132" s="7">
        <f t="shared" si="14"/>
        <v>3.1018282931144932E-3</v>
      </c>
      <c r="K132" s="2"/>
      <c r="L132" s="6">
        <f t="shared" si="15"/>
        <v>1217.8564846153849</v>
      </c>
      <c r="M132" s="2"/>
      <c r="N132" s="7">
        <f t="shared" si="16"/>
        <v>0.24909963917880351</v>
      </c>
      <c r="O132" s="11"/>
      <c r="P132" s="6">
        <v>20862</v>
      </c>
      <c r="Q132" s="2"/>
      <c r="R132" s="7">
        <f t="shared" si="17"/>
        <v>6.6077830904835285E-3</v>
      </c>
      <c r="S132" s="2"/>
      <c r="T132" s="6">
        <v>15889.358925000002</v>
      </c>
      <c r="U132" s="2"/>
      <c r="V132" s="7">
        <f t="shared" si="18"/>
        <v>3.4123522525010613E-3</v>
      </c>
      <c r="W132" s="2"/>
      <c r="X132" s="6">
        <f t="shared" si="19"/>
        <v>4972.6410749999977</v>
      </c>
      <c r="Y132" s="2"/>
      <c r="Z132" s="7">
        <f t="shared" si="20"/>
        <v>0.31295416627389183</v>
      </c>
    </row>
    <row r="133" spans="1:26" s="24" customFormat="1" hidden="1" outlineLevel="2" x14ac:dyDescent="0.25">
      <c r="A133" s="29"/>
      <c r="B133" s="11" t="str">
        <f>CONCATENATE("          ", "6116", " - ", "EDUCATIONAL BENEFITS")</f>
        <v xml:space="preserve">          6116 - EDUCATIONAL BENEFITS</v>
      </c>
      <c r="C133" s="11"/>
      <c r="D133" s="6"/>
      <c r="E133" s="2"/>
      <c r="F133" s="7">
        <f t="shared" si="13"/>
        <v>0</v>
      </c>
      <c r="G133" s="2"/>
      <c r="H133" s="6">
        <v>0</v>
      </c>
      <c r="I133" s="2"/>
      <c r="J133" s="7">
        <f t="shared" si="14"/>
        <v>0</v>
      </c>
      <c r="K133" s="2"/>
      <c r="L133" s="6">
        <f t="shared" si="15"/>
        <v>0</v>
      </c>
      <c r="M133" s="2"/>
      <c r="N133" s="7">
        <f t="shared" si="16"/>
        <v>0</v>
      </c>
      <c r="O133" s="11"/>
      <c r="P133" s="6">
        <v>0</v>
      </c>
      <c r="Q133" s="2"/>
      <c r="R133" s="7">
        <f t="shared" si="17"/>
        <v>0</v>
      </c>
      <c r="S133" s="2"/>
      <c r="T133" s="6">
        <v>0</v>
      </c>
      <c r="U133" s="2"/>
      <c r="V133" s="7">
        <f t="shared" si="18"/>
        <v>0</v>
      </c>
      <c r="W133" s="2"/>
      <c r="X133" s="6">
        <f t="shared" si="19"/>
        <v>0</v>
      </c>
      <c r="Y133" s="2"/>
      <c r="Z133" s="7">
        <f t="shared" si="20"/>
        <v>0</v>
      </c>
    </row>
    <row r="134" spans="1:26" s="24" customFormat="1" hidden="1" outlineLevel="2" x14ac:dyDescent="0.25">
      <c r="A134" s="29"/>
      <c r="B134" s="11" t="str">
        <f>CONCATENATE("          ", "6117", " - ", "RETIREMENT STAFF HOURLY")</f>
        <v xml:space="preserve">          6117 - RETIREMENT STAFF HOURLY</v>
      </c>
      <c r="C134" s="11"/>
      <c r="D134" s="6">
        <v>434.71</v>
      </c>
      <c r="E134" s="2"/>
      <c r="F134" s="7">
        <f t="shared" si="13"/>
        <v>6.869720307992168E-4</v>
      </c>
      <c r="G134" s="2"/>
      <c r="H134" s="6"/>
      <c r="I134" s="2"/>
      <c r="J134" s="7">
        <f t="shared" si="14"/>
        <v>0</v>
      </c>
      <c r="K134" s="2"/>
      <c r="L134" s="6">
        <f t="shared" si="15"/>
        <v>434.71</v>
      </c>
      <c r="M134" s="2"/>
      <c r="N134" s="7">
        <f t="shared" si="16"/>
        <v>0</v>
      </c>
      <c r="O134" s="11"/>
      <c r="P134" s="6">
        <v>1461.58</v>
      </c>
      <c r="Q134" s="2"/>
      <c r="R134" s="7">
        <f t="shared" si="17"/>
        <v>4.6293757115276171E-4</v>
      </c>
      <c r="S134" s="2"/>
      <c r="T134" s="6"/>
      <c r="U134" s="2"/>
      <c r="V134" s="7">
        <f t="shared" si="18"/>
        <v>0</v>
      </c>
      <c r="W134" s="2"/>
      <c r="X134" s="6">
        <f t="shared" si="19"/>
        <v>1461.58</v>
      </c>
      <c r="Y134" s="2"/>
      <c r="Z134" s="7">
        <f t="shared" si="20"/>
        <v>0</v>
      </c>
    </row>
    <row r="135" spans="1:26" s="24" customFormat="1" hidden="1" outlineLevel="2" x14ac:dyDescent="0.25">
      <c r="A135" s="29"/>
      <c r="B135" s="11" t="str">
        <f>CONCATENATE("          ", "6118", " - ", "VACATION")</f>
        <v xml:space="preserve">          6118 - VACATION</v>
      </c>
      <c r="C135" s="11"/>
      <c r="D135" s="6">
        <v>4962.71</v>
      </c>
      <c r="E135" s="2"/>
      <c r="F135" s="7">
        <f t="shared" si="13"/>
        <v>7.8425685329704432E-3</v>
      </c>
      <c r="G135" s="2"/>
      <c r="H135" s="6">
        <v>4140.4924200000014</v>
      </c>
      <c r="I135" s="2"/>
      <c r="J135" s="7">
        <f t="shared" si="14"/>
        <v>2.6269193073371164E-3</v>
      </c>
      <c r="K135" s="2"/>
      <c r="L135" s="6">
        <f t="shared" si="15"/>
        <v>822.21757999999863</v>
      </c>
      <c r="M135" s="2"/>
      <c r="N135" s="7">
        <f t="shared" si="16"/>
        <v>0.19857966072547437</v>
      </c>
      <c r="O135" s="11"/>
      <c r="P135" s="6">
        <v>15202.969999999998</v>
      </c>
      <c r="Q135" s="2"/>
      <c r="R135" s="7">
        <f t="shared" si="17"/>
        <v>4.8153546204164682E-3</v>
      </c>
      <c r="S135" s="2"/>
      <c r="T135" s="6">
        <v>13456.600364999998</v>
      </c>
      <c r="U135" s="2"/>
      <c r="V135" s="7">
        <f t="shared" si="18"/>
        <v>2.8899001390337302E-3</v>
      </c>
      <c r="W135" s="2"/>
      <c r="X135" s="6">
        <f t="shared" si="19"/>
        <v>1746.3696349999991</v>
      </c>
      <c r="Y135" s="2"/>
      <c r="Z135" s="7">
        <f t="shared" si="20"/>
        <v>0.12977792218175896</v>
      </c>
    </row>
    <row r="136" spans="1:26" s="24" customFormat="1" hidden="1" outlineLevel="2" x14ac:dyDescent="0.25">
      <c r="A136" s="29"/>
      <c r="B136" s="11" t="str">
        <f>CONCATENATE("          ", "6119", " - ", "SICK LEAVE")</f>
        <v xml:space="preserve">          6119 - SICK LEAVE</v>
      </c>
      <c r="C136" s="11"/>
      <c r="D136" s="6">
        <v>3779.84</v>
      </c>
      <c r="E136" s="2"/>
      <c r="F136" s="7">
        <f t="shared" si="13"/>
        <v>5.9732795677488711E-3</v>
      </c>
      <c r="G136" s="2"/>
      <c r="H136" s="6">
        <v>4749.2799030769202</v>
      </c>
      <c r="I136" s="2"/>
      <c r="J136" s="7">
        <f t="shared" si="14"/>
        <v>3.0131621574954861E-3</v>
      </c>
      <c r="K136" s="2"/>
      <c r="L136" s="6">
        <f t="shared" si="15"/>
        <v>-969.43990307692002</v>
      </c>
      <c r="M136" s="2"/>
      <c r="N136" s="7">
        <f t="shared" si="16"/>
        <v>-0.20412355617297859</v>
      </c>
      <c r="O136" s="11"/>
      <c r="P136" s="6">
        <v>11248.17</v>
      </c>
      <c r="Q136" s="2"/>
      <c r="R136" s="7">
        <f t="shared" si="17"/>
        <v>3.5627201382841586E-3</v>
      </c>
      <c r="S136" s="2"/>
      <c r="T136" s="6">
        <v>14973.80943499999</v>
      </c>
      <c r="U136" s="2"/>
      <c r="V136" s="7">
        <f t="shared" si="18"/>
        <v>3.2157315216569606E-3</v>
      </c>
      <c r="W136" s="2"/>
      <c r="X136" s="6">
        <f t="shared" si="19"/>
        <v>-3725.63943499999</v>
      </c>
      <c r="Y136" s="2"/>
      <c r="Z136" s="7">
        <f t="shared" si="20"/>
        <v>-0.24881039465425736</v>
      </c>
    </row>
    <row r="137" spans="1:26" s="24" customFormat="1" hidden="1" outlineLevel="2" x14ac:dyDescent="0.25">
      <c r="A137" s="29"/>
      <c r="B137" s="11" t="str">
        <f>CONCATENATE("          ", "6156", " - ", "EMPLOYEE MEALS")</f>
        <v xml:space="preserve">          6156 - EMPLOYEE MEALS</v>
      </c>
      <c r="C137" s="11"/>
      <c r="D137" s="6">
        <v>2109.5100000000002</v>
      </c>
      <c r="E137" s="2"/>
      <c r="F137" s="7">
        <f t="shared" si="13"/>
        <v>3.3336577688372845E-3</v>
      </c>
      <c r="G137" s="2"/>
      <c r="H137" s="6">
        <v>1800</v>
      </c>
      <c r="I137" s="2"/>
      <c r="J137" s="7">
        <f t="shared" si="14"/>
        <v>1.1420029971234214E-3</v>
      </c>
      <c r="K137" s="2"/>
      <c r="L137" s="6">
        <f t="shared" si="15"/>
        <v>309.51000000000022</v>
      </c>
      <c r="M137" s="2"/>
      <c r="N137" s="7">
        <f t="shared" si="16"/>
        <v>0.17195000000000013</v>
      </c>
      <c r="O137" s="11"/>
      <c r="P137" s="6">
        <v>4914.7299999999996</v>
      </c>
      <c r="Q137" s="2"/>
      <c r="R137" s="7">
        <f t="shared" si="17"/>
        <v>1.5566805573910512E-3</v>
      </c>
      <c r="S137" s="2"/>
      <c r="T137" s="6">
        <v>5400</v>
      </c>
      <c r="U137" s="2"/>
      <c r="V137" s="7">
        <f t="shared" si="18"/>
        <v>1.1596882070876707E-3</v>
      </c>
      <c r="W137" s="2"/>
      <c r="X137" s="6">
        <f t="shared" si="19"/>
        <v>-485.27000000000044</v>
      </c>
      <c r="Y137" s="2"/>
      <c r="Z137" s="7">
        <f t="shared" si="20"/>
        <v>-8.9864814814814897E-2</v>
      </c>
    </row>
    <row r="138" spans="1:26" s="28" customFormat="1" outlineLevel="1" collapsed="1" x14ac:dyDescent="0.25">
      <c r="A138" s="27"/>
      <c r="B138" s="14" t="str">
        <f>CONCATENATE("     ","*Payroll                                          ")</f>
        <v xml:space="preserve">     *Payroll                                          </v>
      </c>
      <c r="C138" s="14"/>
      <c r="D138" s="1">
        <f>SUM(OSRRefD22_1x_0)</f>
        <v>127866.68000000001</v>
      </c>
      <c r="E138" s="1"/>
      <c r="F138" s="5">
        <f t="shared" ref="F138:F148" si="21">IF(D$12=0,0,D138/D$12)</f>
        <v>0.20206766081100871</v>
      </c>
      <c r="G138" s="1"/>
      <c r="H138" s="1">
        <f>SUM(OSRRefH22_1x_0)</f>
        <v>171275.33278215386</v>
      </c>
      <c r="I138" s="1"/>
      <c r="J138" s="5">
        <f t="shared" ref="J138:J148" si="22">IF(H$12=0,0,H138/H$12)</f>
        <v>0.10866496853918393</v>
      </c>
      <c r="K138" s="1"/>
      <c r="L138" s="1">
        <f t="shared" ref="L138:L148" si="23">+D138-H138</f>
        <v>-43408.652782153848</v>
      </c>
      <c r="M138" s="1"/>
      <c r="N138" s="5">
        <f t="shared" ref="N138:N148" si="24">IF(H138=0,0,L138/H138)</f>
        <v>-0.25344369254483118</v>
      </c>
      <c r="O138" s="14"/>
      <c r="P138" s="1">
        <f>SUM(OSRRefP22_1x_0)</f>
        <v>423987.74000000005</v>
      </c>
      <c r="Q138" s="1"/>
      <c r="R138" s="5">
        <f t="shared" ref="R138:R148" si="25">IF(P$12=0,0,P138/P$12)</f>
        <v>0.13429292584336722</v>
      </c>
      <c r="S138" s="1"/>
      <c r="T138" s="1">
        <f>SUM(OSRRefT22_1x_0)</f>
        <v>546423.50404200004</v>
      </c>
      <c r="U138" s="1"/>
      <c r="V138" s="5">
        <f t="shared" ref="V138:V148" si="26">IF(T$12=0,0,T138/T$12)</f>
        <v>0.11734831365056105</v>
      </c>
      <c r="W138" s="1"/>
      <c r="X138" s="1">
        <f t="shared" ref="X138:X148" si="27">+P138-T138</f>
        <v>-122435.764042</v>
      </c>
      <c r="Y138" s="1"/>
      <c r="Z138" s="5">
        <f t="shared" ref="Z138:Z148" si="28">IF(T138=0,0,X138/T138)</f>
        <v>-0.22406752845790681</v>
      </c>
    </row>
    <row r="139" spans="1:26" s="24" customFormat="1" hidden="1" outlineLevel="2" x14ac:dyDescent="0.25">
      <c r="A139" s="29"/>
      <c r="B139" s="11" t="str">
        <f>CONCATENATE("          ", "6001", " - ", "ADMINISTRATIVE SALARIES")</f>
        <v xml:space="preserve">          6001 - ADMINISTRATIVE SALARIES</v>
      </c>
      <c r="C139" s="11"/>
      <c r="D139" s="6">
        <v>4205.74</v>
      </c>
      <c r="E139" s="2"/>
      <c r="F139" s="7">
        <f t="shared" si="21"/>
        <v>6.6463291592406383E-3</v>
      </c>
      <c r="G139" s="2"/>
      <c r="H139" s="6">
        <v>7759.6923076923094</v>
      </c>
      <c r="I139" s="2"/>
      <c r="J139" s="7">
        <f t="shared" si="22"/>
        <v>4.9231065956334306E-3</v>
      </c>
      <c r="K139" s="2"/>
      <c r="L139" s="6">
        <f t="shared" si="23"/>
        <v>-3553.9523076923097</v>
      </c>
      <c r="M139" s="2"/>
      <c r="N139" s="7">
        <f t="shared" si="24"/>
        <v>-0.45800170506364263</v>
      </c>
      <c r="O139" s="11"/>
      <c r="P139" s="6">
        <v>12937.33</v>
      </c>
      <c r="Q139" s="2"/>
      <c r="R139" s="7">
        <f t="shared" si="25"/>
        <v>4.097740888218065E-3</v>
      </c>
      <c r="S139" s="2"/>
      <c r="T139" s="6">
        <v>25219.000000000011</v>
      </c>
      <c r="U139" s="2"/>
      <c r="V139" s="7">
        <f t="shared" si="26"/>
        <v>5.4159586841748108E-3</v>
      </c>
      <c r="W139" s="2"/>
      <c r="X139" s="6">
        <f t="shared" si="27"/>
        <v>-12281.670000000011</v>
      </c>
      <c r="Y139" s="2"/>
      <c r="Z139" s="7">
        <f t="shared" si="28"/>
        <v>-0.48700067409492864</v>
      </c>
    </row>
    <row r="140" spans="1:26" s="24" customFormat="1" hidden="1" outlineLevel="2" x14ac:dyDescent="0.25">
      <c r="A140" s="29"/>
      <c r="B140" s="11" t="str">
        <f>CONCATENATE("          ", "6002", " - ", "STAFF SALARIES")</f>
        <v xml:space="preserve">          6002 - STAFF SALARIES</v>
      </c>
      <c r="C140" s="11"/>
      <c r="D140" s="6">
        <v>55721.020000000004</v>
      </c>
      <c r="E140" s="2"/>
      <c r="F140" s="7">
        <f t="shared" si="21"/>
        <v>8.8055904551548797E-2</v>
      </c>
      <c r="G140" s="2"/>
      <c r="H140" s="6">
        <v>43375.460394461545</v>
      </c>
      <c r="I140" s="2"/>
      <c r="J140" s="7">
        <f t="shared" si="22"/>
        <v>2.7519392095601856E-2</v>
      </c>
      <c r="K140" s="2"/>
      <c r="L140" s="6">
        <f t="shared" si="23"/>
        <v>12345.559605538459</v>
      </c>
      <c r="M140" s="2"/>
      <c r="N140" s="7">
        <f t="shared" si="24"/>
        <v>0.28462083153161916</v>
      </c>
      <c r="O140" s="11"/>
      <c r="P140" s="6">
        <v>178895.32</v>
      </c>
      <c r="Q140" s="2"/>
      <c r="R140" s="7">
        <f t="shared" si="25"/>
        <v>5.6662902428465146E-2</v>
      </c>
      <c r="S140" s="2"/>
      <c r="T140" s="6">
        <v>140970.24628200009</v>
      </c>
      <c r="U140" s="2"/>
      <c r="V140" s="7">
        <f t="shared" si="26"/>
        <v>3.0274357808051863E-2</v>
      </c>
      <c r="W140" s="2"/>
      <c r="X140" s="6">
        <f t="shared" si="27"/>
        <v>37925.073717999912</v>
      </c>
      <c r="Y140" s="2"/>
      <c r="Z140" s="7">
        <f t="shared" si="28"/>
        <v>0.26902892431736075</v>
      </c>
    </row>
    <row r="141" spans="1:26" s="24" customFormat="1" hidden="1" outlineLevel="2" x14ac:dyDescent="0.25">
      <c r="A141" s="29"/>
      <c r="B141" s="11" t="str">
        <f>CONCATENATE("          ", "6003", " - ", "STAFF HOURLY-9 MONTH")</f>
        <v xml:space="preserve">          6003 - STAFF HOURLY-9 MONTH</v>
      </c>
      <c r="C141" s="11"/>
      <c r="D141" s="6"/>
      <c r="E141" s="2"/>
      <c r="F141" s="7">
        <f t="shared" si="21"/>
        <v>0</v>
      </c>
      <c r="G141" s="2"/>
      <c r="H141" s="6">
        <v>0</v>
      </c>
      <c r="I141" s="2"/>
      <c r="J141" s="7">
        <f t="shared" si="22"/>
        <v>0</v>
      </c>
      <c r="K141" s="2"/>
      <c r="L141" s="6">
        <f t="shared" si="23"/>
        <v>0</v>
      </c>
      <c r="M141" s="2"/>
      <c r="N141" s="7">
        <f t="shared" si="24"/>
        <v>0</v>
      </c>
      <c r="O141" s="11"/>
      <c r="P141" s="6"/>
      <c r="Q141" s="2"/>
      <c r="R141" s="7">
        <f t="shared" si="25"/>
        <v>0</v>
      </c>
      <c r="S141" s="2"/>
      <c r="T141" s="6">
        <v>0</v>
      </c>
      <c r="U141" s="2"/>
      <c r="V141" s="7">
        <f t="shared" si="26"/>
        <v>0</v>
      </c>
      <c r="W141" s="2"/>
      <c r="X141" s="6">
        <f t="shared" si="27"/>
        <v>0</v>
      </c>
      <c r="Y141" s="2"/>
      <c r="Z141" s="7">
        <f t="shared" si="28"/>
        <v>0</v>
      </c>
    </row>
    <row r="142" spans="1:26" s="24" customFormat="1" hidden="1" outlineLevel="2" x14ac:dyDescent="0.25">
      <c r="A142" s="29"/>
      <c r="B142" s="11" t="str">
        <f>CONCATENATE("          ", "6004", " - ", "STAFF HOURLY")</f>
        <v xml:space="preserve">          6004 - STAFF HOURLY</v>
      </c>
      <c r="C142" s="11"/>
      <c r="D142" s="6">
        <v>19602.670000000002</v>
      </c>
      <c r="E142" s="2"/>
      <c r="F142" s="7">
        <f t="shared" si="21"/>
        <v>3.0978091184897711E-2</v>
      </c>
      <c r="G142" s="2"/>
      <c r="H142" s="6">
        <v>27875.870080000001</v>
      </c>
      <c r="I142" s="2"/>
      <c r="J142" s="7">
        <f t="shared" si="22"/>
        <v>1.7685737321546172E-2</v>
      </c>
      <c r="K142" s="2"/>
      <c r="L142" s="6">
        <f t="shared" si="23"/>
        <v>-8273.2000799999987</v>
      </c>
      <c r="M142" s="2"/>
      <c r="N142" s="7">
        <f t="shared" si="24"/>
        <v>-0.29678715162099073</v>
      </c>
      <c r="O142" s="11"/>
      <c r="P142" s="6">
        <v>56027.26</v>
      </c>
      <c r="Q142" s="2"/>
      <c r="R142" s="7">
        <f t="shared" si="25"/>
        <v>1.7745948673862727E-2</v>
      </c>
      <c r="S142" s="2"/>
      <c r="T142" s="6">
        <v>89655.627760000003</v>
      </c>
      <c r="U142" s="2"/>
      <c r="V142" s="7">
        <f t="shared" si="26"/>
        <v>1.9254180409687779E-2</v>
      </c>
      <c r="W142" s="2"/>
      <c r="X142" s="6">
        <f t="shared" si="27"/>
        <v>-33628.367760000001</v>
      </c>
      <c r="Y142" s="2"/>
      <c r="Z142" s="7">
        <f t="shared" si="28"/>
        <v>-0.37508373540164258</v>
      </c>
    </row>
    <row r="143" spans="1:26" s="24" customFormat="1" hidden="1" outlineLevel="2" x14ac:dyDescent="0.25">
      <c r="A143" s="29"/>
      <c r="B143" s="11" t="str">
        <f>CONCATENATE("          ", "6005", " - ", "TEMPORARY WAGES-HOURLY")</f>
        <v xml:space="preserve">          6005 - TEMPORARY WAGES-HOURLY</v>
      </c>
      <c r="C143" s="11"/>
      <c r="D143" s="6">
        <v>25841.46</v>
      </c>
      <c r="E143" s="2"/>
      <c r="F143" s="7">
        <f t="shared" si="21"/>
        <v>4.083724840702245E-2</v>
      </c>
      <c r="G143" s="2"/>
      <c r="H143" s="6">
        <v>3391.5</v>
      </c>
      <c r="I143" s="2"/>
      <c r="J143" s="7">
        <f t="shared" si="22"/>
        <v>2.1517239804133797E-3</v>
      </c>
      <c r="K143" s="2"/>
      <c r="L143" s="6">
        <f t="shared" si="23"/>
        <v>22449.96</v>
      </c>
      <c r="M143" s="2"/>
      <c r="N143" s="7">
        <f t="shared" si="24"/>
        <v>6.6194781070322861</v>
      </c>
      <c r="O143" s="11"/>
      <c r="P143" s="6">
        <v>60732.5</v>
      </c>
      <c r="Q143" s="2"/>
      <c r="R143" s="7">
        <f t="shared" si="25"/>
        <v>1.9236275838500187E-2</v>
      </c>
      <c r="S143" s="2"/>
      <c r="T143" s="6">
        <v>10687.5</v>
      </c>
      <c r="U143" s="2"/>
      <c r="V143" s="7">
        <f t="shared" si="26"/>
        <v>2.2952162431943484E-3</v>
      </c>
      <c r="W143" s="2"/>
      <c r="X143" s="6">
        <f t="shared" si="27"/>
        <v>50045</v>
      </c>
      <c r="Y143" s="2"/>
      <c r="Z143" s="7">
        <f t="shared" si="28"/>
        <v>4.6825730994152046</v>
      </c>
    </row>
    <row r="144" spans="1:26" s="24" customFormat="1" hidden="1" outlineLevel="2" x14ac:dyDescent="0.25">
      <c r="A144" s="29"/>
      <c r="B144" s="11" t="str">
        <f>CONCATENATE("          ", "6006", " - ", "TEMPORARY PART TIME")</f>
        <v xml:space="preserve">          6006 - TEMPORARY PART TIME</v>
      </c>
      <c r="C144" s="11"/>
      <c r="D144" s="6">
        <v>1728.86</v>
      </c>
      <c r="E144" s="2"/>
      <c r="F144" s="7">
        <f t="shared" si="21"/>
        <v>2.7321167333798023E-3</v>
      </c>
      <c r="G144" s="2"/>
      <c r="H144" s="6">
        <v>0</v>
      </c>
      <c r="I144" s="2"/>
      <c r="J144" s="7">
        <f t="shared" si="22"/>
        <v>0</v>
      </c>
      <c r="K144" s="2"/>
      <c r="L144" s="6">
        <f t="shared" si="23"/>
        <v>1728.86</v>
      </c>
      <c r="M144" s="2"/>
      <c r="N144" s="7">
        <f t="shared" si="24"/>
        <v>0</v>
      </c>
      <c r="O144" s="11"/>
      <c r="P144" s="6">
        <v>5704.41</v>
      </c>
      <c r="Q144" s="2"/>
      <c r="R144" s="7">
        <f t="shared" si="25"/>
        <v>1.806802029488311E-3</v>
      </c>
      <c r="S144" s="2"/>
      <c r="T144" s="6">
        <v>0</v>
      </c>
      <c r="U144" s="2"/>
      <c r="V144" s="7">
        <f t="shared" si="26"/>
        <v>0</v>
      </c>
      <c r="W144" s="2"/>
      <c r="X144" s="6">
        <f t="shared" si="27"/>
        <v>5704.41</v>
      </c>
      <c r="Y144" s="2"/>
      <c r="Z144" s="7">
        <f t="shared" si="28"/>
        <v>0</v>
      </c>
    </row>
    <row r="145" spans="1:26" s="24" customFormat="1" hidden="1" outlineLevel="2" x14ac:dyDescent="0.25">
      <c r="A145" s="29"/>
      <c r="B145" s="11" t="str">
        <f>CONCATENATE("          ", "6007", " - ", "STUDENT HOURLY")</f>
        <v xml:space="preserve">          6007 - STUDENT HOURLY</v>
      </c>
      <c r="C145" s="11"/>
      <c r="D145" s="6">
        <v>19711.259999999998</v>
      </c>
      <c r="E145" s="2"/>
      <c r="F145" s="7">
        <f t="shared" si="21"/>
        <v>3.1149695916384185E-2</v>
      </c>
      <c r="G145" s="2"/>
      <c r="H145" s="6">
        <v>0</v>
      </c>
      <c r="I145" s="2"/>
      <c r="J145" s="7">
        <f t="shared" si="22"/>
        <v>0</v>
      </c>
      <c r="K145" s="2"/>
      <c r="L145" s="6">
        <f t="shared" si="23"/>
        <v>19711.259999999998</v>
      </c>
      <c r="M145" s="2"/>
      <c r="N145" s="7">
        <f t="shared" si="24"/>
        <v>0</v>
      </c>
      <c r="O145" s="11"/>
      <c r="P145" s="6">
        <v>108202.22</v>
      </c>
      <c r="Q145" s="2"/>
      <c r="R145" s="7">
        <f t="shared" si="25"/>
        <v>3.4271728485705047E-2</v>
      </c>
      <c r="S145" s="2"/>
      <c r="T145" s="6">
        <v>142161.47999999998</v>
      </c>
      <c r="U145" s="2"/>
      <c r="V145" s="7">
        <f t="shared" si="26"/>
        <v>3.0530183677431433E-2</v>
      </c>
      <c r="W145" s="2"/>
      <c r="X145" s="6">
        <f t="shared" si="27"/>
        <v>-33959.25999999998</v>
      </c>
      <c r="Y145" s="2"/>
      <c r="Z145" s="7">
        <f t="shared" si="28"/>
        <v>-0.23887807020579685</v>
      </c>
    </row>
    <row r="146" spans="1:26" s="24" customFormat="1" hidden="1" outlineLevel="2" x14ac:dyDescent="0.25">
      <c r="A146" s="29"/>
      <c r="B146" s="11" t="str">
        <f>CONCATENATE("          ", "6008", " - ", "STUDENT HOURLY-FICA EXEMPT")</f>
        <v xml:space="preserve">          6008 - STUDENT HOURLY-FICA EXEMPT</v>
      </c>
      <c r="C146" s="11"/>
      <c r="D146" s="6">
        <v>1055.67</v>
      </c>
      <c r="E146" s="2"/>
      <c r="F146" s="7">
        <f t="shared" si="21"/>
        <v>1.6682748585351366E-3</v>
      </c>
      <c r="G146" s="2"/>
      <c r="H146" s="6">
        <v>88872.81</v>
      </c>
      <c r="I146" s="2"/>
      <c r="J146" s="7">
        <f t="shared" si="22"/>
        <v>5.6385008545989095E-2</v>
      </c>
      <c r="K146" s="2"/>
      <c r="L146" s="6">
        <f t="shared" si="23"/>
        <v>-87817.14</v>
      </c>
      <c r="M146" s="2"/>
      <c r="N146" s="7">
        <f t="shared" si="24"/>
        <v>-0.98812156383937899</v>
      </c>
      <c r="O146" s="11"/>
      <c r="P146" s="6">
        <v>1488.7</v>
      </c>
      <c r="Q146" s="2"/>
      <c r="R146" s="7">
        <f t="shared" si="25"/>
        <v>4.7152749912773606E-4</v>
      </c>
      <c r="S146" s="2"/>
      <c r="T146" s="6">
        <v>137729.65</v>
      </c>
      <c r="U146" s="2"/>
      <c r="V146" s="7">
        <f t="shared" si="26"/>
        <v>2.9578416828020815E-2</v>
      </c>
      <c r="W146" s="2"/>
      <c r="X146" s="6">
        <f t="shared" si="27"/>
        <v>-136240.94999999998</v>
      </c>
      <c r="Y146" s="2"/>
      <c r="Z146" s="7">
        <f t="shared" si="28"/>
        <v>-0.98919114366441785</v>
      </c>
    </row>
    <row r="147" spans="1:26" s="24" customFormat="1" hidden="1" outlineLevel="2" x14ac:dyDescent="0.25">
      <c r="A147" s="29"/>
      <c r="B147" s="11" t="str">
        <f>CONCATENATE("          ", "6009", " - ", "TEMPORARY-SEASONAL")</f>
        <v xml:space="preserve">          6009 - TEMPORARY-SEASONAL</v>
      </c>
      <c r="C147" s="11"/>
      <c r="D147" s="6"/>
      <c r="E147" s="2"/>
      <c r="F147" s="7">
        <f t="shared" si="21"/>
        <v>0</v>
      </c>
      <c r="G147" s="2"/>
      <c r="H147" s="6">
        <v>0</v>
      </c>
      <c r="I147" s="2"/>
      <c r="J147" s="7">
        <f t="shared" si="22"/>
        <v>0</v>
      </c>
      <c r="K147" s="2"/>
      <c r="L147" s="6">
        <f t="shared" si="23"/>
        <v>0</v>
      </c>
      <c r="M147" s="2"/>
      <c r="N147" s="7">
        <f t="shared" si="24"/>
        <v>0</v>
      </c>
      <c r="O147" s="11"/>
      <c r="P147" s="6"/>
      <c r="Q147" s="2"/>
      <c r="R147" s="7">
        <f t="shared" si="25"/>
        <v>0</v>
      </c>
      <c r="S147" s="2"/>
      <c r="T147" s="6">
        <v>0</v>
      </c>
      <c r="U147" s="2"/>
      <c r="V147" s="7">
        <f t="shared" si="26"/>
        <v>0</v>
      </c>
      <c r="W147" s="2"/>
      <c r="X147" s="6">
        <f t="shared" si="27"/>
        <v>0</v>
      </c>
      <c r="Y147" s="2"/>
      <c r="Z147" s="7">
        <f t="shared" si="28"/>
        <v>0</v>
      </c>
    </row>
    <row r="148" spans="1:26" s="24" customFormat="1" hidden="1" outlineLevel="2" x14ac:dyDescent="0.25">
      <c r="A148" s="29"/>
      <c r="B148" s="11" t="str">
        <f>CONCATENATE("          ", "6010", " - ", "GRATUITY")</f>
        <v xml:space="preserve">          6010 - GRATUITY</v>
      </c>
      <c r="C148" s="11"/>
      <c r="D148" s="6"/>
      <c r="E148" s="2"/>
      <c r="F148" s="7">
        <f t="shared" si="21"/>
        <v>0</v>
      </c>
      <c r="G148" s="2"/>
      <c r="H148" s="6">
        <v>0</v>
      </c>
      <c r="I148" s="2"/>
      <c r="J148" s="7">
        <f t="shared" si="22"/>
        <v>0</v>
      </c>
      <c r="K148" s="2"/>
      <c r="L148" s="6">
        <f t="shared" si="23"/>
        <v>0</v>
      </c>
      <c r="M148" s="2"/>
      <c r="N148" s="7">
        <f t="shared" si="24"/>
        <v>0</v>
      </c>
      <c r="O148" s="11"/>
      <c r="P148" s="6"/>
      <c r="Q148" s="2"/>
      <c r="R148" s="7">
        <f t="shared" si="25"/>
        <v>0</v>
      </c>
      <c r="S148" s="2"/>
      <c r="T148" s="6">
        <v>0</v>
      </c>
      <c r="U148" s="2"/>
      <c r="V148" s="7">
        <f t="shared" si="26"/>
        <v>0</v>
      </c>
      <c r="W148" s="2"/>
      <c r="X148" s="6">
        <f t="shared" si="27"/>
        <v>0</v>
      </c>
      <c r="Y148" s="2"/>
      <c r="Z148" s="7">
        <f t="shared" si="28"/>
        <v>0</v>
      </c>
    </row>
    <row r="149" spans="1:26" s="28" customFormat="1" outlineLevel="1" collapsed="1" x14ac:dyDescent="0.25">
      <c r="A149" s="27"/>
      <c r="B149" s="14" t="str">
        <f>CONCATENATE("     ","Advertising/Promo                                 ")</f>
        <v xml:space="preserve">     Advertising/Promo                                 </v>
      </c>
      <c r="C149" s="14"/>
      <c r="D149" s="1">
        <f>SUM(OSRRefD22_2x_0)</f>
        <v>391.39</v>
      </c>
      <c r="E149" s="1"/>
      <c r="F149" s="5">
        <f t="shared" ref="F149:F153" si="29">IF(D$12=0,0,D149/D$12)</f>
        <v>6.1851345295600615E-4</v>
      </c>
      <c r="G149" s="1"/>
      <c r="H149" s="1">
        <f>SUM(OSRRefH22_2x_0)</f>
        <v>1230</v>
      </c>
      <c r="I149" s="1"/>
      <c r="J149" s="5">
        <f t="shared" ref="J149:J153" si="30">IF(H$12=0,0,H149/H$12)</f>
        <v>7.8036871470100458E-4</v>
      </c>
      <c r="K149" s="1"/>
      <c r="L149" s="1">
        <f t="shared" ref="L149:L153" si="31">+D149-H149</f>
        <v>-838.61</v>
      </c>
      <c r="M149" s="1"/>
      <c r="N149" s="5">
        <f t="shared" ref="N149:N153" si="32">IF(H149=0,0,L149/H149)</f>
        <v>-0.68179674796747969</v>
      </c>
      <c r="O149" s="14"/>
      <c r="P149" s="1">
        <f>SUM(OSRRefP22_2x_0)</f>
        <v>12642.47</v>
      </c>
      <c r="Q149" s="1"/>
      <c r="R149" s="5">
        <f t="shared" ref="R149:R153" si="33">IF(P$12=0,0,P149/P$12)</f>
        <v>4.0043475931332223E-3</v>
      </c>
      <c r="S149" s="1"/>
      <c r="T149" s="1">
        <f>SUM(OSRRefT22_2x_0)</f>
        <v>3990</v>
      </c>
      <c r="U149" s="1"/>
      <c r="V149" s="5">
        <f t="shared" ref="V149:V153" si="34">IF(T$12=0,0,T149/T$12)</f>
        <v>8.5688073079255665E-4</v>
      </c>
      <c r="W149" s="1"/>
      <c r="X149" s="1">
        <f t="shared" ref="X149:X153" si="35">+P149-T149</f>
        <v>8652.4699999999993</v>
      </c>
      <c r="Y149" s="1"/>
      <c r="Z149" s="5">
        <f t="shared" ref="Z149:Z153" si="36">IF(T149=0,0,X149/T149)</f>
        <v>2.1685388471177944</v>
      </c>
    </row>
    <row r="150" spans="1:26" s="24" customFormat="1" hidden="1" outlineLevel="2" x14ac:dyDescent="0.25">
      <c r="A150" s="29"/>
      <c r="B150" s="11" t="str">
        <f>CONCATENATE("          ", "6362", " - ", "ADVERTISING EXPENSE")</f>
        <v xml:space="preserve">          6362 - ADVERTISING EXPENSE</v>
      </c>
      <c r="C150" s="11"/>
      <c r="D150" s="6">
        <v>391.39</v>
      </c>
      <c r="E150" s="2"/>
      <c r="F150" s="7">
        <f t="shared" si="29"/>
        <v>6.1851345295600615E-4</v>
      </c>
      <c r="G150" s="2"/>
      <c r="H150" s="6">
        <v>1230</v>
      </c>
      <c r="I150" s="2"/>
      <c r="J150" s="7">
        <f t="shared" si="30"/>
        <v>7.8036871470100458E-4</v>
      </c>
      <c r="K150" s="2"/>
      <c r="L150" s="6">
        <f t="shared" si="31"/>
        <v>-838.61</v>
      </c>
      <c r="M150" s="2"/>
      <c r="N150" s="7">
        <f t="shared" si="32"/>
        <v>-0.68179674796747969</v>
      </c>
      <c r="O150" s="11"/>
      <c r="P150" s="6">
        <v>12642.47</v>
      </c>
      <c r="Q150" s="2"/>
      <c r="R150" s="7">
        <f t="shared" si="33"/>
        <v>4.0043475931332223E-3</v>
      </c>
      <c r="S150" s="2"/>
      <c r="T150" s="6">
        <v>3990</v>
      </c>
      <c r="U150" s="2"/>
      <c r="V150" s="7">
        <f t="shared" si="34"/>
        <v>8.5688073079255665E-4</v>
      </c>
      <c r="W150" s="2"/>
      <c r="X150" s="6">
        <f t="shared" si="35"/>
        <v>8652.4699999999993</v>
      </c>
      <c r="Y150" s="2"/>
      <c r="Z150" s="7">
        <f t="shared" si="36"/>
        <v>2.1685388471177944</v>
      </c>
    </row>
    <row r="151" spans="1:26" s="28" customFormat="1" outlineLevel="1" collapsed="1" x14ac:dyDescent="0.25">
      <c r="A151" s="27"/>
      <c r="B151" s="14" t="str">
        <f>CONCATENATE("     ","Bad Debts/Over/Short                              ")</f>
        <v xml:space="preserve">     Bad Debts/Over/Short                              </v>
      </c>
      <c r="C151" s="14"/>
      <c r="D151" s="1">
        <f>SUM(OSRRefD22_3x_0)</f>
        <v>8.2200000000000006</v>
      </c>
      <c r="E151" s="1"/>
      <c r="F151" s="5">
        <f t="shared" si="29"/>
        <v>1.2990062554736635E-5</v>
      </c>
      <c r="G151" s="1"/>
      <c r="H151" s="1">
        <f>SUM(OSRRefH22_3x_0)</f>
        <v>110</v>
      </c>
      <c r="I151" s="1"/>
      <c r="J151" s="5">
        <f t="shared" si="30"/>
        <v>6.9789072046431299E-5</v>
      </c>
      <c r="K151" s="1"/>
      <c r="L151" s="1">
        <f t="shared" si="31"/>
        <v>-101.78</v>
      </c>
      <c r="M151" s="1"/>
      <c r="N151" s="5">
        <f t="shared" si="32"/>
        <v>-0.92527272727272725</v>
      </c>
      <c r="O151" s="14"/>
      <c r="P151" s="1">
        <f>SUM(OSRRefP22_3x_0)</f>
        <v>80.010000000000005</v>
      </c>
      <c r="Q151" s="1"/>
      <c r="R151" s="5">
        <f t="shared" si="33"/>
        <v>2.5342187952717245E-5</v>
      </c>
      <c r="S151" s="1"/>
      <c r="T151" s="1">
        <f>SUM(OSRRefT22_3x_0)</f>
        <v>330</v>
      </c>
      <c r="U151" s="1"/>
      <c r="V151" s="5">
        <f t="shared" si="34"/>
        <v>7.0869834877579873E-5</v>
      </c>
      <c r="W151" s="1"/>
      <c r="X151" s="1">
        <f t="shared" si="35"/>
        <v>-249.99</v>
      </c>
      <c r="Y151" s="1"/>
      <c r="Z151" s="5">
        <f t="shared" si="36"/>
        <v>-0.75754545454545452</v>
      </c>
    </row>
    <row r="152" spans="1:26" s="24" customFormat="1" hidden="1" outlineLevel="2" x14ac:dyDescent="0.25">
      <c r="A152" s="29"/>
      <c r="B152" s="11" t="str">
        <f>CONCATENATE("          ", "6272", " - ", "CASH (OVER/SHORT)")</f>
        <v xml:space="preserve">          6272 - CASH (OVER/SHORT)</v>
      </c>
      <c r="C152" s="11"/>
      <c r="D152" s="6">
        <v>8.2200000000000006</v>
      </c>
      <c r="E152" s="2"/>
      <c r="F152" s="7">
        <f t="shared" si="29"/>
        <v>1.2990062554736635E-5</v>
      </c>
      <c r="G152" s="2"/>
      <c r="H152" s="6">
        <v>60</v>
      </c>
      <c r="I152" s="2"/>
      <c r="J152" s="7">
        <f t="shared" si="30"/>
        <v>3.8066766570780714E-5</v>
      </c>
      <c r="K152" s="2"/>
      <c r="L152" s="6">
        <f t="shared" si="31"/>
        <v>-51.78</v>
      </c>
      <c r="M152" s="2"/>
      <c r="N152" s="7">
        <f t="shared" si="32"/>
        <v>-0.86299999999999999</v>
      </c>
      <c r="O152" s="11"/>
      <c r="P152" s="6">
        <v>80.010000000000005</v>
      </c>
      <c r="Q152" s="2"/>
      <c r="R152" s="7">
        <f t="shared" si="33"/>
        <v>2.5342187952717245E-5</v>
      </c>
      <c r="S152" s="2"/>
      <c r="T152" s="6">
        <v>180</v>
      </c>
      <c r="U152" s="2"/>
      <c r="V152" s="7">
        <f t="shared" si="34"/>
        <v>3.8656273569589024E-5</v>
      </c>
      <c r="W152" s="2"/>
      <c r="X152" s="6">
        <f t="shared" si="35"/>
        <v>-99.99</v>
      </c>
      <c r="Y152" s="2"/>
      <c r="Z152" s="7">
        <f t="shared" si="36"/>
        <v>-0.55549999999999999</v>
      </c>
    </row>
    <row r="153" spans="1:26" s="24" customFormat="1" hidden="1" outlineLevel="2" x14ac:dyDescent="0.25">
      <c r="A153" s="29"/>
      <c r="B153" s="11" t="str">
        <f>CONCATENATE("          ", "6342", " - ", "BAD DEBT")</f>
        <v xml:space="preserve">          6342 - BAD DEBT</v>
      </c>
      <c r="C153" s="11"/>
      <c r="D153" s="6"/>
      <c r="E153" s="2"/>
      <c r="F153" s="7">
        <f t="shared" si="29"/>
        <v>0</v>
      </c>
      <c r="G153" s="2"/>
      <c r="H153" s="6">
        <v>50</v>
      </c>
      <c r="I153" s="2"/>
      <c r="J153" s="7">
        <f t="shared" si="30"/>
        <v>3.1722305475650592E-5</v>
      </c>
      <c r="K153" s="2"/>
      <c r="L153" s="6">
        <f t="shared" si="31"/>
        <v>-50</v>
      </c>
      <c r="M153" s="2"/>
      <c r="N153" s="7">
        <f t="shared" si="32"/>
        <v>-1</v>
      </c>
      <c r="O153" s="11"/>
      <c r="P153" s="6"/>
      <c r="Q153" s="2"/>
      <c r="R153" s="7">
        <f t="shared" si="33"/>
        <v>0</v>
      </c>
      <c r="S153" s="2"/>
      <c r="T153" s="6">
        <v>150</v>
      </c>
      <c r="U153" s="2"/>
      <c r="V153" s="7">
        <f t="shared" si="34"/>
        <v>3.2213561307990855E-5</v>
      </c>
      <c r="W153" s="2"/>
      <c r="X153" s="6">
        <f t="shared" si="35"/>
        <v>-150</v>
      </c>
      <c r="Y153" s="2"/>
      <c r="Z153" s="7">
        <f t="shared" si="36"/>
        <v>-1</v>
      </c>
    </row>
    <row r="154" spans="1:26" s="28" customFormat="1" outlineLevel="1" collapsed="1" x14ac:dyDescent="0.25">
      <c r="A154" s="27"/>
      <c r="B154" s="14" t="str">
        <f>CONCATENATE("     ","Bank/card Fees                                    ")</f>
        <v xml:space="preserve">     Bank/card Fees                                    </v>
      </c>
      <c r="C154" s="14"/>
      <c r="D154" s="1">
        <f>SUM(OSRRefD22_4x_0)</f>
        <v>9050.2199999999993</v>
      </c>
      <c r="E154" s="1"/>
      <c r="F154" s="5">
        <f t="shared" ref="F154:F158" si="37">IF(D$12=0,0,D154/D$12)</f>
        <v>1.4302058872765033E-2</v>
      </c>
      <c r="G154" s="1"/>
      <c r="H154" s="1">
        <f>SUM(OSRRefH22_4x_0)</f>
        <v>32471</v>
      </c>
      <c r="I154" s="1"/>
      <c r="J154" s="5">
        <f t="shared" ref="J154:J158" si="38">IF(H$12=0,0,H154/H$12)</f>
        <v>2.0601099621997007E-2</v>
      </c>
      <c r="K154" s="1"/>
      <c r="L154" s="1">
        <f t="shared" ref="L154:L158" si="39">+D154-H154</f>
        <v>-23420.78</v>
      </c>
      <c r="M154" s="1"/>
      <c r="N154" s="5">
        <f t="shared" ref="N154:N158" si="40">IF(H154=0,0,L154/H154)</f>
        <v>-0.72128299097656368</v>
      </c>
      <c r="O154" s="14"/>
      <c r="P154" s="1">
        <f>SUM(OSRRefP22_4x_0)</f>
        <v>34247.769999999997</v>
      </c>
      <c r="Q154" s="1"/>
      <c r="R154" s="5">
        <f t="shared" ref="R154:R158" si="41">IF(P$12=0,0,P154/P$12)</f>
        <v>1.0847561858535569E-2</v>
      </c>
      <c r="S154" s="1"/>
      <c r="T154" s="1">
        <f>SUM(OSRRefT22_4x_0)</f>
        <v>70857</v>
      </c>
      <c r="U154" s="1"/>
      <c r="V154" s="5">
        <f t="shared" ref="V154:V158" si="42">IF(T$12=0,0,T154/T$12)</f>
        <v>1.5217042090668719E-2</v>
      </c>
      <c r="W154" s="1"/>
      <c r="X154" s="1">
        <f t="shared" ref="X154:X158" si="43">+P154-T154</f>
        <v>-36609.230000000003</v>
      </c>
      <c r="Y154" s="1"/>
      <c r="Z154" s="5">
        <f t="shared" ref="Z154:Z158" si="44">IF(T154=0,0,X154/T154)</f>
        <v>-0.51666356182169726</v>
      </c>
    </row>
    <row r="155" spans="1:26" s="24" customFormat="1" hidden="1" outlineLevel="2" x14ac:dyDescent="0.25">
      <c r="A155" s="29"/>
      <c r="B155" s="11" t="str">
        <f>CONCATENATE("          ", "6381", " - ", "BANK/CREDIT CARD FEES")</f>
        <v xml:space="preserve">          6381 - BANK/CREDIT CARD FEES</v>
      </c>
      <c r="C155" s="11"/>
      <c r="D155" s="6">
        <v>9050.2199999999993</v>
      </c>
      <c r="E155" s="2"/>
      <c r="F155" s="7">
        <f t="shared" si="37"/>
        <v>1.4302058872765033E-2</v>
      </c>
      <c r="G155" s="2"/>
      <c r="H155" s="6">
        <v>32471</v>
      </c>
      <c r="I155" s="2"/>
      <c r="J155" s="7">
        <f t="shared" si="38"/>
        <v>2.0601099621997007E-2</v>
      </c>
      <c r="K155" s="2"/>
      <c r="L155" s="6">
        <f t="shared" si="39"/>
        <v>-23420.78</v>
      </c>
      <c r="M155" s="2"/>
      <c r="N155" s="7">
        <f t="shared" si="40"/>
        <v>-0.72128299097656368</v>
      </c>
      <c r="O155" s="11"/>
      <c r="P155" s="6">
        <v>34247.769999999997</v>
      </c>
      <c r="Q155" s="2"/>
      <c r="R155" s="7">
        <f t="shared" si="41"/>
        <v>1.0847561858535569E-2</v>
      </c>
      <c r="S155" s="2"/>
      <c r="T155" s="6">
        <v>70857</v>
      </c>
      <c r="U155" s="2"/>
      <c r="V155" s="7">
        <f t="shared" si="42"/>
        <v>1.5217042090668719E-2</v>
      </c>
      <c r="W155" s="2"/>
      <c r="X155" s="6">
        <f t="shared" si="43"/>
        <v>-36609.230000000003</v>
      </c>
      <c r="Y155" s="2"/>
      <c r="Z155" s="7">
        <f t="shared" si="44"/>
        <v>-0.51666356182169726</v>
      </c>
    </row>
    <row r="156" spans="1:26" s="28" customFormat="1" outlineLevel="1" collapsed="1" x14ac:dyDescent="0.25">
      <c r="A156" s="27"/>
      <c r="B156" s="14" t="str">
        <f>CONCATENATE("     ","Depreciation                                      ")</f>
        <v xml:space="preserve">     Depreciation                                      </v>
      </c>
      <c r="C156" s="14"/>
      <c r="D156" s="1">
        <f>SUM(OSRRefD22_5x_0)</f>
        <v>31347.279999999999</v>
      </c>
      <c r="E156" s="1"/>
      <c r="F156" s="5">
        <f t="shared" si="37"/>
        <v>4.9538093445358221E-2</v>
      </c>
      <c r="G156" s="1"/>
      <c r="H156" s="1">
        <f>SUM(OSRRefH22_5x_0)</f>
        <v>30930</v>
      </c>
      <c r="I156" s="1"/>
      <c r="J156" s="5">
        <f t="shared" si="38"/>
        <v>1.9623418167237457E-2</v>
      </c>
      <c r="K156" s="1"/>
      <c r="L156" s="1">
        <f t="shared" si="39"/>
        <v>417.27999999999884</v>
      </c>
      <c r="M156" s="1"/>
      <c r="N156" s="5">
        <f t="shared" si="40"/>
        <v>1.3491108955706396E-2</v>
      </c>
      <c r="O156" s="14"/>
      <c r="P156" s="1">
        <f>SUM(OSRRefP22_5x_0)</f>
        <v>93344.35</v>
      </c>
      <c r="Q156" s="1"/>
      <c r="R156" s="5">
        <f t="shared" si="41"/>
        <v>2.9565680065294614E-2</v>
      </c>
      <c r="S156" s="1"/>
      <c r="T156" s="1">
        <f>SUM(OSRRefT22_5x_0)</f>
        <v>92790</v>
      </c>
      <c r="U156" s="1"/>
      <c r="V156" s="5">
        <f t="shared" si="42"/>
        <v>1.992730902512314E-2</v>
      </c>
      <c r="W156" s="1"/>
      <c r="X156" s="1">
        <f t="shared" si="43"/>
        <v>554.35000000000582</v>
      </c>
      <c r="Y156" s="1"/>
      <c r="Z156" s="5">
        <f t="shared" si="44"/>
        <v>5.974242914107186E-3</v>
      </c>
    </row>
    <row r="157" spans="1:26" s="24" customFormat="1" hidden="1" outlineLevel="2" x14ac:dyDescent="0.25">
      <c r="A157" s="29"/>
      <c r="B157" s="11" t="str">
        <f>CONCATENATE("          ", "6321", " - ", "BUILDING DEPRECIATION")</f>
        <v xml:space="preserve">          6321 - BUILDING DEPRECIATION</v>
      </c>
      <c r="C157" s="11"/>
      <c r="D157" s="6">
        <v>16396.52</v>
      </c>
      <c r="E157" s="2"/>
      <c r="F157" s="7">
        <f t="shared" si="37"/>
        <v>2.5911413683697117E-2</v>
      </c>
      <c r="G157" s="2"/>
      <c r="H157" s="6"/>
      <c r="I157" s="2"/>
      <c r="J157" s="7">
        <f t="shared" si="38"/>
        <v>0</v>
      </c>
      <c r="K157" s="2"/>
      <c r="L157" s="6">
        <f t="shared" si="39"/>
        <v>16396.52</v>
      </c>
      <c r="M157" s="2"/>
      <c r="N157" s="7">
        <f t="shared" si="40"/>
        <v>0</v>
      </c>
      <c r="O157" s="11"/>
      <c r="P157" s="6">
        <v>49189.56</v>
      </c>
      <c r="Q157" s="2"/>
      <c r="R157" s="7">
        <f t="shared" si="41"/>
        <v>1.5580190911529334E-2</v>
      </c>
      <c r="S157" s="2"/>
      <c r="T157" s="6"/>
      <c r="U157" s="2"/>
      <c r="V157" s="7">
        <f t="shared" si="42"/>
        <v>0</v>
      </c>
      <c r="W157" s="2"/>
      <c r="X157" s="6">
        <f t="shared" si="43"/>
        <v>49189.56</v>
      </c>
      <c r="Y157" s="2"/>
      <c r="Z157" s="7">
        <f t="shared" si="44"/>
        <v>0</v>
      </c>
    </row>
    <row r="158" spans="1:26" s="24" customFormat="1" hidden="1" outlineLevel="2" x14ac:dyDescent="0.25">
      <c r="A158" s="29"/>
      <c r="B158" s="11" t="str">
        <f>CONCATENATE("          ", "6322", " - ", "EQUIPMENT DEPRECIATION EXPENSE")</f>
        <v xml:space="preserve">          6322 - EQUIPMENT DEPRECIATION EXPENSE</v>
      </c>
      <c r="C158" s="11"/>
      <c r="D158" s="6">
        <v>14950.76</v>
      </c>
      <c r="E158" s="2"/>
      <c r="F158" s="7">
        <f t="shared" si="37"/>
        <v>2.3626679761661103E-2</v>
      </c>
      <c r="G158" s="2"/>
      <c r="H158" s="6">
        <v>30930</v>
      </c>
      <c r="I158" s="2"/>
      <c r="J158" s="7">
        <f t="shared" si="38"/>
        <v>1.9623418167237457E-2</v>
      </c>
      <c r="K158" s="2"/>
      <c r="L158" s="6">
        <f t="shared" si="39"/>
        <v>-15979.24</v>
      </c>
      <c r="M158" s="2"/>
      <c r="N158" s="7">
        <f t="shared" si="40"/>
        <v>-0.51662592951826702</v>
      </c>
      <c r="O158" s="11"/>
      <c r="P158" s="6">
        <v>44154.79</v>
      </c>
      <c r="Q158" s="2"/>
      <c r="R158" s="7">
        <f t="shared" si="41"/>
        <v>1.3985489153765277E-2</v>
      </c>
      <c r="S158" s="2"/>
      <c r="T158" s="6">
        <v>92790</v>
      </c>
      <c r="U158" s="2"/>
      <c r="V158" s="7">
        <f t="shared" si="42"/>
        <v>1.992730902512314E-2</v>
      </c>
      <c r="W158" s="2"/>
      <c r="X158" s="6">
        <f t="shared" si="43"/>
        <v>-48635.21</v>
      </c>
      <c r="Y158" s="2"/>
      <c r="Z158" s="7">
        <f t="shared" si="44"/>
        <v>-0.52414279555986631</v>
      </c>
    </row>
    <row r="159" spans="1:26" s="28" customFormat="1" outlineLevel="1" collapsed="1" x14ac:dyDescent="0.25">
      <c r="A159" s="27"/>
      <c r="B159" s="14" t="str">
        <f>CONCATENATE("     ","Discounts and Markdowns                           ")</f>
        <v xml:space="preserve">     Discounts and Markdowns                           </v>
      </c>
      <c r="C159" s="14"/>
      <c r="D159" s="1">
        <f>SUM(OSRRefD22_6x_0)</f>
        <v>830.95</v>
      </c>
      <c r="E159" s="1"/>
      <c r="F159" s="5">
        <f t="shared" ref="F159:F163" si="45">IF(D$12=0,0,D159/D$12)</f>
        <v>1.3131499367224338E-3</v>
      </c>
      <c r="G159" s="1"/>
      <c r="H159" s="1">
        <f>SUM(OSRRefH22_6x_0)</f>
        <v>32776</v>
      </c>
      <c r="I159" s="1"/>
      <c r="J159" s="5">
        <f t="shared" ref="J159:J163" si="46">IF(H$12=0,0,H159/H$12)</f>
        <v>2.0794605685398478E-2</v>
      </c>
      <c r="K159" s="1"/>
      <c r="L159" s="1">
        <f t="shared" ref="L159:L163" si="47">+D159-H159</f>
        <v>-31945.05</v>
      </c>
      <c r="M159" s="1"/>
      <c r="N159" s="5">
        <f t="shared" ref="N159:N163" si="48">IF(H159=0,0,L159/H159)</f>
        <v>-0.97464760800585792</v>
      </c>
      <c r="O159" s="14"/>
      <c r="P159" s="1">
        <f>SUM(OSRRefP22_6x_0)</f>
        <v>830.95</v>
      </c>
      <c r="Q159" s="1"/>
      <c r="R159" s="5">
        <f t="shared" ref="R159:R163" si="49">IF(P$12=0,0,P159/P$12)</f>
        <v>2.6319323933646287E-4</v>
      </c>
      <c r="S159" s="1"/>
      <c r="T159" s="1">
        <f>SUM(OSRRefT22_6x_0)</f>
        <v>98724</v>
      </c>
      <c r="U159" s="1"/>
      <c r="V159" s="5">
        <f t="shared" ref="V159:V163" si="50">IF(T$12=0,0,T159/T$12)</f>
        <v>2.1201677510467261E-2</v>
      </c>
      <c r="W159" s="1"/>
      <c r="X159" s="1">
        <f t="shared" ref="X159:X163" si="51">+P159-T159</f>
        <v>-97893.05</v>
      </c>
      <c r="Y159" s="1"/>
      <c r="Z159" s="5">
        <f t="shared" ref="Z159:Z163" si="52">IF(T159=0,0,X159/T159)</f>
        <v>-0.99158310036060127</v>
      </c>
    </row>
    <row r="160" spans="1:26" s="24" customFormat="1" hidden="1" outlineLevel="2" x14ac:dyDescent="0.25">
      <c r="A160" s="29"/>
      <c r="B160" s="11" t="str">
        <f>CONCATENATE("          ", "6382", " - ", "DISCOUNTS/MARK DOWNS")</f>
        <v xml:space="preserve">          6382 - DISCOUNTS/MARK DOWNS</v>
      </c>
      <c r="C160" s="11"/>
      <c r="D160" s="6">
        <v>830.95</v>
      </c>
      <c r="E160" s="2"/>
      <c r="F160" s="7">
        <f t="shared" si="45"/>
        <v>1.3131499367224338E-3</v>
      </c>
      <c r="G160" s="2"/>
      <c r="H160" s="6">
        <v>32776</v>
      </c>
      <c r="I160" s="2"/>
      <c r="J160" s="7">
        <f t="shared" si="46"/>
        <v>2.0794605685398478E-2</v>
      </c>
      <c r="K160" s="2"/>
      <c r="L160" s="6">
        <f t="shared" si="47"/>
        <v>-31945.05</v>
      </c>
      <c r="M160" s="2"/>
      <c r="N160" s="7">
        <f t="shared" si="48"/>
        <v>-0.97464760800585792</v>
      </c>
      <c r="O160" s="11"/>
      <c r="P160" s="6">
        <v>830.95</v>
      </c>
      <c r="Q160" s="2"/>
      <c r="R160" s="7">
        <f t="shared" si="49"/>
        <v>2.6319323933646287E-4</v>
      </c>
      <c r="S160" s="2"/>
      <c r="T160" s="6">
        <v>98724</v>
      </c>
      <c r="U160" s="2"/>
      <c r="V160" s="7">
        <f t="shared" si="50"/>
        <v>2.1201677510467261E-2</v>
      </c>
      <c r="W160" s="2"/>
      <c r="X160" s="6">
        <f t="shared" si="51"/>
        <v>-97893.05</v>
      </c>
      <c r="Y160" s="2"/>
      <c r="Z160" s="7">
        <f t="shared" si="52"/>
        <v>-0.99158310036060127</v>
      </c>
    </row>
    <row r="161" spans="1:26" s="28" customFormat="1" outlineLevel="1" collapsed="1" x14ac:dyDescent="0.25">
      <c r="A161" s="27"/>
      <c r="B161" s="14" t="str">
        <f>CONCATENATE("     ","Donations                                         ")</f>
        <v xml:space="preserve">     Donations                                         </v>
      </c>
      <c r="C161" s="14"/>
      <c r="D161" s="1">
        <f>SUM(OSRRefD22_7x_0)</f>
        <v>0</v>
      </c>
      <c r="E161" s="1"/>
      <c r="F161" s="5">
        <f t="shared" si="45"/>
        <v>0</v>
      </c>
      <c r="G161" s="1"/>
      <c r="H161" s="1">
        <f>SUM(OSRRefH22_7x_0)</f>
        <v>1000</v>
      </c>
      <c r="I161" s="1"/>
      <c r="J161" s="5">
        <f t="shared" si="46"/>
        <v>6.3444610951301182E-4</v>
      </c>
      <c r="K161" s="1"/>
      <c r="L161" s="1">
        <f t="shared" si="47"/>
        <v>-1000</v>
      </c>
      <c r="M161" s="1"/>
      <c r="N161" s="5">
        <f t="shared" si="48"/>
        <v>-1</v>
      </c>
      <c r="O161" s="14"/>
      <c r="P161" s="1">
        <f>SUM(OSRRefP22_7x_0)</f>
        <v>0</v>
      </c>
      <c r="Q161" s="1"/>
      <c r="R161" s="5">
        <f t="shared" si="49"/>
        <v>0</v>
      </c>
      <c r="S161" s="1"/>
      <c r="T161" s="1">
        <f>SUM(OSRRefT22_7x_0)</f>
        <v>3000</v>
      </c>
      <c r="U161" s="1"/>
      <c r="V161" s="5">
        <f t="shared" si="50"/>
        <v>6.4427122615981708E-4</v>
      </c>
      <c r="W161" s="1"/>
      <c r="X161" s="1">
        <f t="shared" si="51"/>
        <v>-3000</v>
      </c>
      <c r="Y161" s="1"/>
      <c r="Z161" s="5">
        <f t="shared" si="52"/>
        <v>-1</v>
      </c>
    </row>
    <row r="162" spans="1:26" s="24" customFormat="1" hidden="1" outlineLevel="2" x14ac:dyDescent="0.25">
      <c r="A162" s="29"/>
      <c r="B162" s="11" t="str">
        <f>CONCATENATE("          ", "6395", " - ", "DONATION-OFF CAMPUS")</f>
        <v xml:space="preserve">          6395 - DONATION-OFF CAMPUS</v>
      </c>
      <c r="C162" s="11"/>
      <c r="D162" s="6"/>
      <c r="E162" s="2"/>
      <c r="F162" s="7">
        <f t="shared" si="45"/>
        <v>0</v>
      </c>
      <c r="G162" s="2"/>
      <c r="H162" s="6"/>
      <c r="I162" s="2"/>
      <c r="J162" s="7">
        <f t="shared" si="46"/>
        <v>0</v>
      </c>
      <c r="K162" s="2"/>
      <c r="L162" s="6">
        <f t="shared" si="47"/>
        <v>0</v>
      </c>
      <c r="M162" s="2"/>
      <c r="N162" s="7">
        <f t="shared" si="48"/>
        <v>0</v>
      </c>
      <c r="O162" s="11"/>
      <c r="P162" s="6"/>
      <c r="Q162" s="2"/>
      <c r="R162" s="7">
        <f t="shared" si="49"/>
        <v>0</v>
      </c>
      <c r="S162" s="2"/>
      <c r="T162" s="6">
        <v>0</v>
      </c>
      <c r="U162" s="2"/>
      <c r="V162" s="7">
        <f t="shared" si="50"/>
        <v>0</v>
      </c>
      <c r="W162" s="2"/>
      <c r="X162" s="6">
        <f t="shared" si="51"/>
        <v>0</v>
      </c>
      <c r="Y162" s="2"/>
      <c r="Z162" s="7">
        <f t="shared" si="52"/>
        <v>0</v>
      </c>
    </row>
    <row r="163" spans="1:26" s="24" customFormat="1" hidden="1" outlineLevel="2" x14ac:dyDescent="0.25">
      <c r="A163" s="29"/>
      <c r="B163" s="11" t="str">
        <f>CONCATENATE("          ", "6399", " - ", "DONATION-ON CAMPUS")</f>
        <v xml:space="preserve">          6399 - DONATION-ON CAMPUS</v>
      </c>
      <c r="C163" s="11"/>
      <c r="D163" s="6"/>
      <c r="E163" s="2"/>
      <c r="F163" s="7">
        <f t="shared" si="45"/>
        <v>0</v>
      </c>
      <c r="G163" s="2"/>
      <c r="H163" s="6">
        <v>1000</v>
      </c>
      <c r="I163" s="2"/>
      <c r="J163" s="7">
        <f t="shared" si="46"/>
        <v>6.3444610951301182E-4</v>
      </c>
      <c r="K163" s="2"/>
      <c r="L163" s="6">
        <f t="shared" si="47"/>
        <v>-1000</v>
      </c>
      <c r="M163" s="2"/>
      <c r="N163" s="7">
        <f t="shared" si="48"/>
        <v>-1</v>
      </c>
      <c r="O163" s="11"/>
      <c r="P163" s="6"/>
      <c r="Q163" s="2"/>
      <c r="R163" s="7">
        <f t="shared" si="49"/>
        <v>0</v>
      </c>
      <c r="S163" s="2"/>
      <c r="T163" s="6">
        <v>3000</v>
      </c>
      <c r="U163" s="2"/>
      <c r="V163" s="7">
        <f t="shared" si="50"/>
        <v>6.4427122615981708E-4</v>
      </c>
      <c r="W163" s="2"/>
      <c r="X163" s="6">
        <f t="shared" si="51"/>
        <v>-3000</v>
      </c>
      <c r="Y163" s="2"/>
      <c r="Z163" s="7">
        <f t="shared" si="52"/>
        <v>-1</v>
      </c>
    </row>
    <row r="164" spans="1:26" s="28" customFormat="1" outlineLevel="1" collapsed="1" x14ac:dyDescent="0.25">
      <c r="A164" s="27"/>
      <c r="B164" s="14" t="str">
        <f>CONCATENATE("     ","Employees' Appreciation                           ")</f>
        <v xml:space="preserve">     Employees' Appreciation                           </v>
      </c>
      <c r="C164" s="14"/>
      <c r="D164" s="1">
        <f>SUM(OSRRefD22_8x_0)</f>
        <v>0</v>
      </c>
      <c r="E164" s="1"/>
      <c r="F164" s="5">
        <f t="shared" ref="F164:F170" si="53">IF(D$12=0,0,D164/D$12)</f>
        <v>0</v>
      </c>
      <c r="G164" s="1"/>
      <c r="H164" s="1">
        <f>SUM(OSRRefH22_8x_0)</f>
        <v>420</v>
      </c>
      <c r="I164" s="1"/>
      <c r="J164" s="5">
        <f t="shared" ref="J164:J170" si="54">IF(H$12=0,0,H164/H$12)</f>
        <v>2.66467365995465E-4</v>
      </c>
      <c r="K164" s="1"/>
      <c r="L164" s="1">
        <f t="shared" ref="L164:L170" si="55">+D164-H164</f>
        <v>-420</v>
      </c>
      <c r="M164" s="1"/>
      <c r="N164" s="5">
        <f t="shared" ref="N164:N170" si="56">IF(H164=0,0,L164/H164)</f>
        <v>-1</v>
      </c>
      <c r="O164" s="14"/>
      <c r="P164" s="1">
        <f>SUM(OSRRefP22_8x_0)</f>
        <v>107.7</v>
      </c>
      <c r="Q164" s="1"/>
      <c r="R164" s="5">
        <f t="shared" ref="R164:R170" si="57">IF(P$12=0,0,P164/P$12)</f>
        <v>3.4112656449289425E-5</v>
      </c>
      <c r="S164" s="1"/>
      <c r="T164" s="1">
        <f>SUM(OSRRefT22_8x_0)</f>
        <v>1310</v>
      </c>
      <c r="U164" s="1"/>
      <c r="V164" s="5">
        <f t="shared" ref="V164:V170" si="58">IF(T$12=0,0,T164/T$12)</f>
        <v>2.8133176875645347E-4</v>
      </c>
      <c r="W164" s="1"/>
      <c r="X164" s="1">
        <f t="shared" ref="X164:X170" si="59">+P164-T164</f>
        <v>-1202.3</v>
      </c>
      <c r="Y164" s="1"/>
      <c r="Z164" s="5">
        <f t="shared" ref="Z164:Z170" si="60">IF(T164=0,0,X164/T164)</f>
        <v>-0.91778625954198467</v>
      </c>
    </row>
    <row r="165" spans="1:26" s="24" customFormat="1" hidden="1" outlineLevel="2" x14ac:dyDescent="0.25">
      <c r="A165" s="29"/>
      <c r="B165" s="11" t="str">
        <f>CONCATENATE("          ", "6277", " - ", "EMPLOYEE APPRECIATION")</f>
        <v xml:space="preserve">          6277 - EMPLOYEE APPRECIATION</v>
      </c>
      <c r="C165" s="11"/>
      <c r="D165" s="6"/>
      <c r="E165" s="2"/>
      <c r="F165" s="7">
        <f t="shared" si="53"/>
        <v>0</v>
      </c>
      <c r="G165" s="2"/>
      <c r="H165" s="6">
        <v>420</v>
      </c>
      <c r="I165" s="2"/>
      <c r="J165" s="7">
        <f t="shared" si="54"/>
        <v>2.66467365995465E-4</v>
      </c>
      <c r="K165" s="2"/>
      <c r="L165" s="6">
        <f t="shared" si="55"/>
        <v>-420</v>
      </c>
      <c r="M165" s="2"/>
      <c r="N165" s="7">
        <f t="shared" si="56"/>
        <v>-1</v>
      </c>
      <c r="O165" s="11"/>
      <c r="P165" s="6">
        <v>107.7</v>
      </c>
      <c r="Q165" s="2"/>
      <c r="R165" s="7">
        <f t="shared" si="57"/>
        <v>3.4112656449289425E-5</v>
      </c>
      <c r="S165" s="2"/>
      <c r="T165" s="6">
        <v>1310</v>
      </c>
      <c r="U165" s="2"/>
      <c r="V165" s="7">
        <f t="shared" si="58"/>
        <v>2.8133176875645347E-4</v>
      </c>
      <c r="W165" s="2"/>
      <c r="X165" s="6">
        <f t="shared" si="59"/>
        <v>-1202.3</v>
      </c>
      <c r="Y165" s="2"/>
      <c r="Z165" s="7">
        <f t="shared" si="60"/>
        <v>-0.91778625954198467</v>
      </c>
    </row>
    <row r="166" spans="1:26" s="28" customFormat="1" outlineLevel="1" collapsed="1" x14ac:dyDescent="0.25">
      <c r="A166" s="27"/>
      <c r="B166" s="14" t="str">
        <f>CONCATENATE("     ","Equipment Rental                                  ")</f>
        <v xml:space="preserve">     Equipment Rental                                  </v>
      </c>
      <c r="C166" s="14"/>
      <c r="D166" s="1">
        <f>SUM(OSRRefD22_9x_0)</f>
        <v>1712.05</v>
      </c>
      <c r="E166" s="1"/>
      <c r="F166" s="5">
        <f t="shared" si="53"/>
        <v>2.7055518974254079E-3</v>
      </c>
      <c r="G166" s="1"/>
      <c r="H166" s="1">
        <f>SUM(OSRRefH22_9x_0)</f>
        <v>3006</v>
      </c>
      <c r="I166" s="1"/>
      <c r="J166" s="5">
        <f t="shared" si="54"/>
        <v>1.9071450051961136E-3</v>
      </c>
      <c r="K166" s="1"/>
      <c r="L166" s="1">
        <f t="shared" si="55"/>
        <v>-1293.95</v>
      </c>
      <c r="M166" s="1"/>
      <c r="N166" s="5">
        <f t="shared" si="56"/>
        <v>-0.43045575515635398</v>
      </c>
      <c r="O166" s="14"/>
      <c r="P166" s="1">
        <f>SUM(OSRRefP22_9x_0)</f>
        <v>4488.37</v>
      </c>
      <c r="Q166" s="1"/>
      <c r="R166" s="5">
        <f t="shared" si="57"/>
        <v>1.4216362472358141E-3</v>
      </c>
      <c r="S166" s="1"/>
      <c r="T166" s="1">
        <f>SUM(OSRRefT22_9x_0)</f>
        <v>9018</v>
      </c>
      <c r="U166" s="1"/>
      <c r="V166" s="5">
        <f t="shared" si="58"/>
        <v>1.93667930583641E-3</v>
      </c>
      <c r="W166" s="1"/>
      <c r="X166" s="1">
        <f t="shared" si="59"/>
        <v>-4529.63</v>
      </c>
      <c r="Y166" s="1"/>
      <c r="Z166" s="5">
        <f t="shared" si="60"/>
        <v>-0.50228764692836547</v>
      </c>
    </row>
    <row r="167" spans="1:26" s="24" customFormat="1" hidden="1" outlineLevel="2" x14ac:dyDescent="0.25">
      <c r="A167" s="29"/>
      <c r="B167" s="11" t="str">
        <f>CONCATENATE("          ", "6351", " - ", "EQUIPMENT RENTAL")</f>
        <v xml:space="preserve">          6351 - EQUIPMENT RENTAL</v>
      </c>
      <c r="C167" s="11"/>
      <c r="D167" s="6">
        <v>1712.05</v>
      </c>
      <c r="E167" s="2"/>
      <c r="F167" s="7">
        <f t="shared" si="53"/>
        <v>2.7055518974254079E-3</v>
      </c>
      <c r="G167" s="2"/>
      <c r="H167" s="6">
        <v>3006</v>
      </c>
      <c r="I167" s="2"/>
      <c r="J167" s="7">
        <f t="shared" si="54"/>
        <v>1.9071450051961136E-3</v>
      </c>
      <c r="K167" s="2"/>
      <c r="L167" s="6">
        <f t="shared" si="55"/>
        <v>-1293.95</v>
      </c>
      <c r="M167" s="2"/>
      <c r="N167" s="7">
        <f t="shared" si="56"/>
        <v>-0.43045575515635398</v>
      </c>
      <c r="O167" s="11"/>
      <c r="P167" s="6">
        <v>4488.37</v>
      </c>
      <c r="Q167" s="2"/>
      <c r="R167" s="7">
        <f t="shared" si="57"/>
        <v>1.4216362472358141E-3</v>
      </c>
      <c r="S167" s="2"/>
      <c r="T167" s="6">
        <v>9018</v>
      </c>
      <c r="U167" s="2"/>
      <c r="V167" s="7">
        <f t="shared" si="58"/>
        <v>1.93667930583641E-3</v>
      </c>
      <c r="W167" s="2"/>
      <c r="X167" s="6">
        <f t="shared" si="59"/>
        <v>-4529.63</v>
      </c>
      <c r="Y167" s="2"/>
      <c r="Z167" s="7">
        <f t="shared" si="60"/>
        <v>-0.50228764692836547</v>
      </c>
    </row>
    <row r="168" spans="1:26" s="28" customFormat="1" outlineLevel="1" collapsed="1" x14ac:dyDescent="0.25">
      <c r="A168" s="27"/>
      <c r="B168" s="14" t="str">
        <f>CONCATENATE("     ","Freight out/Postage                               ")</f>
        <v xml:space="preserve">     Freight out/Postage                               </v>
      </c>
      <c r="C168" s="14"/>
      <c r="D168" s="1">
        <f>SUM(OSRRefD22_10x_0)</f>
        <v>-5852.130000000001</v>
      </c>
      <c r="E168" s="1"/>
      <c r="F168" s="5">
        <f t="shared" si="53"/>
        <v>-9.2481185861862415E-3</v>
      </c>
      <c r="G168" s="1"/>
      <c r="H168" s="1">
        <f>SUM(OSRRefH22_10x_0)</f>
        <v>10818</v>
      </c>
      <c r="I168" s="1"/>
      <c r="J168" s="5">
        <f t="shared" si="54"/>
        <v>6.8634380127117625E-3</v>
      </c>
      <c r="K168" s="1"/>
      <c r="L168" s="1">
        <f t="shared" si="55"/>
        <v>-16670.13</v>
      </c>
      <c r="M168" s="1"/>
      <c r="N168" s="5">
        <f t="shared" si="56"/>
        <v>-1.5409622850804217</v>
      </c>
      <c r="O168" s="14"/>
      <c r="P168" s="1">
        <f>SUM(OSRRefP22_10x_0)</f>
        <v>-80474.25</v>
      </c>
      <c r="Q168" s="1"/>
      <c r="R168" s="5">
        <f t="shared" si="57"/>
        <v>-2.5489233456492382E-2</v>
      </c>
      <c r="S168" s="1"/>
      <c r="T168" s="1">
        <f>SUM(OSRRefT22_10x_0)</f>
        <v>27003</v>
      </c>
      <c r="U168" s="1"/>
      <c r="V168" s="5">
        <f t="shared" si="58"/>
        <v>5.7990853066645131E-3</v>
      </c>
      <c r="W168" s="1"/>
      <c r="X168" s="1">
        <f t="shared" si="59"/>
        <v>-107477.25</v>
      </c>
      <c r="Y168" s="1"/>
      <c r="Z168" s="5">
        <f t="shared" si="60"/>
        <v>-3.9801966448172426</v>
      </c>
    </row>
    <row r="169" spans="1:26" s="24" customFormat="1" hidden="1" outlineLevel="2" x14ac:dyDescent="0.25">
      <c r="A169" s="29"/>
      <c r="B169" s="11" t="str">
        <f>CONCATENATE("          ", "6305", " - ", "FREIGHT OUT")</f>
        <v xml:space="preserve">          6305 - FREIGHT OUT</v>
      </c>
      <c r="C169" s="11"/>
      <c r="D169" s="6">
        <v>5412.16</v>
      </c>
      <c r="E169" s="2"/>
      <c r="F169" s="7">
        <f t="shared" si="53"/>
        <v>8.5528341795916563E-3</v>
      </c>
      <c r="G169" s="2"/>
      <c r="H169" s="6">
        <v>9548</v>
      </c>
      <c r="I169" s="2"/>
      <c r="J169" s="7">
        <f t="shared" si="54"/>
        <v>6.0576914536302371E-3</v>
      </c>
      <c r="K169" s="2"/>
      <c r="L169" s="6">
        <f t="shared" si="55"/>
        <v>-4135.84</v>
      </c>
      <c r="M169" s="2"/>
      <c r="N169" s="7">
        <f t="shared" si="56"/>
        <v>-0.43316296606619187</v>
      </c>
      <c r="O169" s="11"/>
      <c r="P169" s="6">
        <v>25922.720000000001</v>
      </c>
      <c r="Q169" s="2"/>
      <c r="R169" s="7">
        <f t="shared" si="57"/>
        <v>8.2107041930466491E-3</v>
      </c>
      <c r="S169" s="2"/>
      <c r="T169" s="6">
        <v>14693</v>
      </c>
      <c r="U169" s="2"/>
      <c r="V169" s="7">
        <f t="shared" si="58"/>
        <v>3.1554257086553973E-3</v>
      </c>
      <c r="W169" s="2"/>
      <c r="X169" s="6">
        <f t="shared" si="59"/>
        <v>11229.720000000001</v>
      </c>
      <c r="Y169" s="2"/>
      <c r="Z169" s="7">
        <f t="shared" si="60"/>
        <v>0.76429047845913023</v>
      </c>
    </row>
    <row r="170" spans="1:26" s="24" customFormat="1" hidden="1" outlineLevel="2" x14ac:dyDescent="0.25">
      <c r="A170" s="29"/>
      <c r="B170" s="11" t="str">
        <f>CONCATENATE("          ", "6307", " - ", "POSTAGE")</f>
        <v xml:space="preserve">          6307 - POSTAGE</v>
      </c>
      <c r="C170" s="11"/>
      <c r="D170" s="6">
        <v>-11264.29</v>
      </c>
      <c r="E170" s="2"/>
      <c r="F170" s="7">
        <f t="shared" si="53"/>
        <v>-1.7800952765777898E-2</v>
      </c>
      <c r="G170" s="2"/>
      <c r="H170" s="6">
        <v>1270</v>
      </c>
      <c r="I170" s="2"/>
      <c r="J170" s="7">
        <f t="shared" si="54"/>
        <v>8.0574655908152509E-4</v>
      </c>
      <c r="K170" s="2"/>
      <c r="L170" s="6">
        <f t="shared" si="55"/>
        <v>-12534.29</v>
      </c>
      <c r="M170" s="2"/>
      <c r="N170" s="7">
        <f t="shared" si="56"/>
        <v>-9.8695196850393714</v>
      </c>
      <c r="O170" s="11"/>
      <c r="P170" s="6">
        <v>-106396.97</v>
      </c>
      <c r="Q170" s="2"/>
      <c r="R170" s="7">
        <f t="shared" si="57"/>
        <v>-3.3699937649539033E-2</v>
      </c>
      <c r="S170" s="2"/>
      <c r="T170" s="6">
        <v>12310</v>
      </c>
      <c r="U170" s="2"/>
      <c r="V170" s="7">
        <f t="shared" si="58"/>
        <v>2.6436595980091162E-3</v>
      </c>
      <c r="W170" s="2"/>
      <c r="X170" s="6">
        <f t="shared" si="59"/>
        <v>-118706.97</v>
      </c>
      <c r="Y170" s="2"/>
      <c r="Z170" s="7">
        <f t="shared" si="60"/>
        <v>-9.6431332250203088</v>
      </c>
    </row>
    <row r="171" spans="1:26" s="28" customFormat="1" outlineLevel="1" collapsed="1" x14ac:dyDescent="0.25">
      <c r="A171" s="27"/>
      <c r="B171" s="14" t="str">
        <f>CONCATENATE("     ","General                                           ")</f>
        <v xml:space="preserve">     General                                           </v>
      </c>
      <c r="C171" s="14"/>
      <c r="D171" s="1">
        <f>SUM(OSRRefD22_11x_0)</f>
        <v>0</v>
      </c>
      <c r="E171" s="1"/>
      <c r="F171" s="5">
        <f t="shared" ref="F171:F174" si="61">IF(D$12=0,0,D171/D$12)</f>
        <v>0</v>
      </c>
      <c r="G171" s="1"/>
      <c r="H171" s="1">
        <f>SUM(OSRRefH22_11x_0)</f>
        <v>530</v>
      </c>
      <c r="I171" s="1"/>
      <c r="J171" s="5">
        <f t="shared" ref="J171:J174" si="62">IF(H$12=0,0,H171/H$12)</f>
        <v>3.3625643804189627E-4</v>
      </c>
      <c r="K171" s="1"/>
      <c r="L171" s="1">
        <f t="shared" ref="L171:L174" si="63">+D171-H171</f>
        <v>-530</v>
      </c>
      <c r="M171" s="1"/>
      <c r="N171" s="5">
        <f t="shared" ref="N171:N174" si="64">IF(H171=0,0,L171/H171)</f>
        <v>-1</v>
      </c>
      <c r="O171" s="14"/>
      <c r="P171" s="1">
        <f>SUM(OSRRefP22_11x_0)</f>
        <v>-3236.98</v>
      </c>
      <c r="Q171" s="1"/>
      <c r="R171" s="5">
        <f t="shared" ref="R171:R174" si="65">IF(P$12=0,0,P171/P$12)</f>
        <v>-1.025273785266675E-3</v>
      </c>
      <c r="S171" s="1"/>
      <c r="T171" s="1">
        <f>SUM(OSRRefT22_11x_0)</f>
        <v>2865</v>
      </c>
      <c r="U171" s="1"/>
      <c r="V171" s="5">
        <f t="shared" ref="V171:V174" si="66">IF(T$12=0,0,T171/T$12)</f>
        <v>6.1527902098262529E-4</v>
      </c>
      <c r="W171" s="1"/>
      <c r="X171" s="1">
        <f t="shared" ref="X171:X174" si="67">+P171-T171</f>
        <v>-6101.98</v>
      </c>
      <c r="Y171" s="1"/>
      <c r="Z171" s="5">
        <f t="shared" ref="Z171:Z174" si="68">IF(T171=0,0,X171/T171)</f>
        <v>-2.1298359511343805</v>
      </c>
    </row>
    <row r="172" spans="1:26" s="24" customFormat="1" hidden="1" outlineLevel="2" x14ac:dyDescent="0.25">
      <c r="A172" s="29"/>
      <c r="B172" s="11" t="str">
        <f>CONCATENATE("          ", "6269", " - ", "ENTERTAINMENT")</f>
        <v xml:space="preserve">          6269 - ENTERTAINMENT</v>
      </c>
      <c r="C172" s="11"/>
      <c r="D172" s="6"/>
      <c r="E172" s="2"/>
      <c r="F172" s="7">
        <f t="shared" si="61"/>
        <v>0</v>
      </c>
      <c r="G172" s="2"/>
      <c r="H172" s="6">
        <v>0</v>
      </c>
      <c r="I172" s="2"/>
      <c r="J172" s="7">
        <f t="shared" si="62"/>
        <v>0</v>
      </c>
      <c r="K172" s="2"/>
      <c r="L172" s="6">
        <f t="shared" si="63"/>
        <v>0</v>
      </c>
      <c r="M172" s="2"/>
      <c r="N172" s="7">
        <f t="shared" si="64"/>
        <v>0</v>
      </c>
      <c r="O172" s="11"/>
      <c r="P172" s="6"/>
      <c r="Q172" s="2"/>
      <c r="R172" s="7">
        <f t="shared" si="65"/>
        <v>0</v>
      </c>
      <c r="S172" s="2"/>
      <c r="T172" s="6">
        <v>125</v>
      </c>
      <c r="U172" s="2"/>
      <c r="V172" s="7">
        <f t="shared" si="66"/>
        <v>2.6844634423325712E-5</v>
      </c>
      <c r="W172" s="2"/>
      <c r="X172" s="6">
        <f t="shared" si="67"/>
        <v>-125</v>
      </c>
      <c r="Y172" s="2"/>
      <c r="Z172" s="7">
        <f t="shared" si="68"/>
        <v>-1</v>
      </c>
    </row>
    <row r="173" spans="1:26" s="24" customFormat="1" hidden="1" outlineLevel="2" x14ac:dyDescent="0.25">
      <c r="A173" s="29"/>
      <c r="B173" s="11" t="str">
        <f>CONCATENATE("          ", "6276", " - ", "PROPERTY TAX")</f>
        <v xml:space="preserve">          6276 - PROPERTY TAX</v>
      </c>
      <c r="C173" s="11"/>
      <c r="D173" s="6"/>
      <c r="E173" s="2"/>
      <c r="F173" s="7">
        <f t="shared" si="61"/>
        <v>0</v>
      </c>
      <c r="G173" s="2"/>
      <c r="H173" s="6"/>
      <c r="I173" s="2"/>
      <c r="J173" s="7">
        <f t="shared" si="62"/>
        <v>0</v>
      </c>
      <c r="K173" s="2"/>
      <c r="L173" s="6">
        <f t="shared" si="63"/>
        <v>0</v>
      </c>
      <c r="M173" s="2"/>
      <c r="N173" s="7">
        <f t="shared" si="64"/>
        <v>0</v>
      </c>
      <c r="O173" s="11"/>
      <c r="P173" s="6"/>
      <c r="Q173" s="2"/>
      <c r="R173" s="7">
        <f t="shared" si="65"/>
        <v>0</v>
      </c>
      <c r="S173" s="2"/>
      <c r="T173" s="6">
        <v>150</v>
      </c>
      <c r="U173" s="2"/>
      <c r="V173" s="7">
        <f t="shared" si="66"/>
        <v>3.2213561307990855E-5</v>
      </c>
      <c r="W173" s="2"/>
      <c r="X173" s="6">
        <f t="shared" si="67"/>
        <v>-150</v>
      </c>
      <c r="Y173" s="2"/>
      <c r="Z173" s="7">
        <f t="shared" si="68"/>
        <v>-1</v>
      </c>
    </row>
    <row r="174" spans="1:26" s="24" customFormat="1" hidden="1" outlineLevel="2" x14ac:dyDescent="0.25">
      <c r="A174" s="29"/>
      <c r="B174" s="11" t="str">
        <f>CONCATENATE("          ", "6279", " - ", "GENERAL EXPENSE")</f>
        <v xml:space="preserve">          6279 - GENERAL EXPENSE</v>
      </c>
      <c r="C174" s="11"/>
      <c r="D174" s="6"/>
      <c r="E174" s="2"/>
      <c r="F174" s="7">
        <f t="shared" si="61"/>
        <v>0</v>
      </c>
      <c r="G174" s="2"/>
      <c r="H174" s="6">
        <v>530</v>
      </c>
      <c r="I174" s="2"/>
      <c r="J174" s="7">
        <f t="shared" si="62"/>
        <v>3.3625643804189627E-4</v>
      </c>
      <c r="K174" s="2"/>
      <c r="L174" s="6">
        <f t="shared" si="63"/>
        <v>-530</v>
      </c>
      <c r="M174" s="2"/>
      <c r="N174" s="7">
        <f t="shared" si="64"/>
        <v>-1</v>
      </c>
      <c r="O174" s="11"/>
      <c r="P174" s="6">
        <v>-3236.98</v>
      </c>
      <c r="Q174" s="2"/>
      <c r="R174" s="7">
        <f t="shared" si="65"/>
        <v>-1.025273785266675E-3</v>
      </c>
      <c r="S174" s="2"/>
      <c r="T174" s="6">
        <v>2590</v>
      </c>
      <c r="U174" s="2"/>
      <c r="V174" s="7">
        <f t="shared" si="66"/>
        <v>5.5622082525130876E-4</v>
      </c>
      <c r="W174" s="2"/>
      <c r="X174" s="6">
        <f t="shared" si="67"/>
        <v>-5826.98</v>
      </c>
      <c r="Y174" s="2"/>
      <c r="Z174" s="7">
        <f t="shared" si="68"/>
        <v>-2.2497992277992278</v>
      </c>
    </row>
    <row r="175" spans="1:26" s="28" customFormat="1" outlineLevel="1" collapsed="1" x14ac:dyDescent="0.25">
      <c r="A175" s="27"/>
      <c r="B175" s="14" t="str">
        <f>CONCATENATE("     ","Insurance                                         ")</f>
        <v xml:space="preserve">     Insurance                                         </v>
      </c>
      <c r="C175" s="14"/>
      <c r="D175" s="1">
        <f>SUM(OSRRefD22_12x_0)</f>
        <v>4044.74</v>
      </c>
      <c r="E175" s="1"/>
      <c r="F175" s="5">
        <f t="shared" ref="F175:F187" si="69">IF(D$12=0,0,D175/D$12)</f>
        <v>6.3919009267208579E-3</v>
      </c>
      <c r="G175" s="1"/>
      <c r="H175" s="1">
        <f>SUM(OSRRefH22_12x_0)</f>
        <v>4446</v>
      </c>
      <c r="I175" s="1"/>
      <c r="J175" s="5">
        <f t="shared" ref="J175:J187" si="70">IF(H$12=0,0,H175/H$12)</f>
        <v>2.8207474028948509E-3</v>
      </c>
      <c r="K175" s="1"/>
      <c r="L175" s="1">
        <f t="shared" ref="L175:L187" si="71">+D175-H175</f>
        <v>-401.26000000000022</v>
      </c>
      <c r="M175" s="1"/>
      <c r="N175" s="5">
        <f t="shared" ref="N175:N187" si="72">IF(H175=0,0,L175/H175)</f>
        <v>-9.0251911830859247E-2</v>
      </c>
      <c r="O175" s="14"/>
      <c r="P175" s="1">
        <f>SUM(OSRRefP22_12x_0)</f>
        <v>12134.22</v>
      </c>
      <c r="Q175" s="1"/>
      <c r="R175" s="5">
        <f t="shared" ref="R175:R187" si="73">IF(P$12=0,0,P175/P$12)</f>
        <v>3.8433656280417523E-3</v>
      </c>
      <c r="S175" s="1"/>
      <c r="T175" s="1">
        <f>SUM(OSRRefT22_12x_0)</f>
        <v>13338</v>
      </c>
      <c r="U175" s="1"/>
      <c r="V175" s="5">
        <f t="shared" ref="V175:V187" si="74">IF(T$12=0,0,T175/T$12)</f>
        <v>2.8644298715065466E-3</v>
      </c>
      <c r="W175" s="1"/>
      <c r="X175" s="1">
        <f t="shared" ref="X175:X187" si="75">+P175-T175</f>
        <v>-1203.7800000000007</v>
      </c>
      <c r="Y175" s="1"/>
      <c r="Z175" s="5">
        <f t="shared" ref="Z175:Z187" si="76">IF(T175=0,0,X175/T175)</f>
        <v>-9.0251911830859247E-2</v>
      </c>
    </row>
    <row r="176" spans="1:26" s="24" customFormat="1" hidden="1" outlineLevel="2" x14ac:dyDescent="0.25">
      <c r="A176" s="29"/>
      <c r="B176" s="11" t="str">
        <f>CONCATENATE("          ", "6314", " - ", "LIABILITY INSURANCE")</f>
        <v xml:space="preserve">          6314 - LIABILITY INSURANCE</v>
      </c>
      <c r="C176" s="11"/>
      <c r="D176" s="6">
        <v>4044.74</v>
      </c>
      <c r="E176" s="2"/>
      <c r="F176" s="7">
        <f t="shared" si="69"/>
        <v>6.3919009267208579E-3</v>
      </c>
      <c r="G176" s="2"/>
      <c r="H176" s="6">
        <v>4446</v>
      </c>
      <c r="I176" s="2"/>
      <c r="J176" s="7">
        <f t="shared" si="70"/>
        <v>2.8207474028948509E-3</v>
      </c>
      <c r="K176" s="2"/>
      <c r="L176" s="6">
        <f t="shared" si="71"/>
        <v>-401.26000000000022</v>
      </c>
      <c r="M176" s="2"/>
      <c r="N176" s="7">
        <f t="shared" si="72"/>
        <v>-9.0251911830859247E-2</v>
      </c>
      <c r="O176" s="11"/>
      <c r="P176" s="6">
        <v>12134.22</v>
      </c>
      <c r="Q176" s="2"/>
      <c r="R176" s="7">
        <f t="shared" si="73"/>
        <v>3.8433656280417523E-3</v>
      </c>
      <c r="S176" s="2"/>
      <c r="T176" s="6">
        <v>13338</v>
      </c>
      <c r="U176" s="2"/>
      <c r="V176" s="7">
        <f t="shared" si="74"/>
        <v>2.8644298715065466E-3</v>
      </c>
      <c r="W176" s="2"/>
      <c r="X176" s="6">
        <f t="shared" si="75"/>
        <v>-1203.7800000000007</v>
      </c>
      <c r="Y176" s="2"/>
      <c r="Z176" s="7">
        <f t="shared" si="76"/>
        <v>-9.0251911830859247E-2</v>
      </c>
    </row>
    <row r="177" spans="1:26" s="28" customFormat="1" outlineLevel="1" collapsed="1" x14ac:dyDescent="0.25">
      <c r="A177" s="27"/>
      <c r="B177" s="14" t="str">
        <f>CONCATENATE("     ","Inventory Adjustment                              ")</f>
        <v xml:space="preserve">     Inventory Adjustment                              </v>
      </c>
      <c r="C177" s="14"/>
      <c r="D177" s="1">
        <f>SUM(OSRRefD22_13x_0)</f>
        <v>3350</v>
      </c>
      <c r="E177" s="1"/>
      <c r="F177" s="5">
        <f t="shared" si="69"/>
        <v>5.2940035959084817E-3</v>
      </c>
      <c r="G177" s="1"/>
      <c r="H177" s="1">
        <f>SUM(OSRRefH22_13x_0)</f>
        <v>4350</v>
      </c>
      <c r="I177" s="1"/>
      <c r="J177" s="5">
        <f t="shared" si="70"/>
        <v>2.7598405763816017E-3</v>
      </c>
      <c r="K177" s="1"/>
      <c r="L177" s="1">
        <f t="shared" si="71"/>
        <v>-1000</v>
      </c>
      <c r="M177" s="1"/>
      <c r="N177" s="5">
        <f t="shared" si="72"/>
        <v>-0.22988505747126436</v>
      </c>
      <c r="O177" s="14"/>
      <c r="P177" s="1">
        <f>SUM(OSRRefP22_13x_0)</f>
        <v>10050</v>
      </c>
      <c r="Q177" s="1"/>
      <c r="R177" s="5">
        <f t="shared" si="73"/>
        <v>3.1832144597526346E-3</v>
      </c>
      <c r="S177" s="1"/>
      <c r="T177" s="1">
        <f>SUM(OSRRefT22_13x_0)</f>
        <v>13050</v>
      </c>
      <c r="U177" s="1"/>
      <c r="V177" s="5">
        <f t="shared" si="74"/>
        <v>2.8025798337952042E-3</v>
      </c>
      <c r="W177" s="1"/>
      <c r="X177" s="1">
        <f t="shared" si="75"/>
        <v>-3000</v>
      </c>
      <c r="Y177" s="1"/>
      <c r="Z177" s="5">
        <f t="shared" si="76"/>
        <v>-0.22988505747126436</v>
      </c>
    </row>
    <row r="178" spans="1:26" s="24" customFormat="1" hidden="1" outlineLevel="2" x14ac:dyDescent="0.25">
      <c r="A178" s="29"/>
      <c r="B178" s="11" t="str">
        <f>CONCATENATE("          ", "6408", " - ", "INVENTORY ADJUSTMENT")</f>
        <v xml:space="preserve">          6408 - INVENTORY ADJUSTMENT</v>
      </c>
      <c r="C178" s="11"/>
      <c r="D178" s="6">
        <v>3350</v>
      </c>
      <c r="E178" s="2"/>
      <c r="F178" s="7">
        <f t="shared" si="69"/>
        <v>5.2940035959084817E-3</v>
      </c>
      <c r="G178" s="2"/>
      <c r="H178" s="6">
        <v>4350</v>
      </c>
      <c r="I178" s="2"/>
      <c r="J178" s="7">
        <f t="shared" si="70"/>
        <v>2.7598405763816017E-3</v>
      </c>
      <c r="K178" s="2"/>
      <c r="L178" s="6">
        <f t="shared" si="71"/>
        <v>-1000</v>
      </c>
      <c r="M178" s="2"/>
      <c r="N178" s="7">
        <f t="shared" si="72"/>
        <v>-0.22988505747126436</v>
      </c>
      <c r="O178" s="11"/>
      <c r="P178" s="6">
        <v>10050</v>
      </c>
      <c r="Q178" s="2"/>
      <c r="R178" s="7">
        <f t="shared" si="73"/>
        <v>3.1832144597526346E-3</v>
      </c>
      <c r="S178" s="2"/>
      <c r="T178" s="6">
        <v>13050</v>
      </c>
      <c r="U178" s="2"/>
      <c r="V178" s="7">
        <f t="shared" si="74"/>
        <v>2.8025798337952042E-3</v>
      </c>
      <c r="W178" s="2"/>
      <c r="X178" s="6">
        <f t="shared" si="75"/>
        <v>-3000</v>
      </c>
      <c r="Y178" s="2"/>
      <c r="Z178" s="7">
        <f t="shared" si="76"/>
        <v>-0.22988505747126436</v>
      </c>
    </row>
    <row r="179" spans="1:26" s="28" customFormat="1" outlineLevel="1" collapsed="1" x14ac:dyDescent="0.25">
      <c r="A179" s="27"/>
      <c r="B179" s="14" t="str">
        <f>CONCATENATE("     ","Professional Services                             ")</f>
        <v xml:space="preserve">     Professional Services                             </v>
      </c>
      <c r="C179" s="14"/>
      <c r="D179" s="1">
        <f>SUM(OSRRefD22_14x_0)</f>
        <v>0</v>
      </c>
      <c r="E179" s="1"/>
      <c r="F179" s="5">
        <f t="shared" si="69"/>
        <v>0</v>
      </c>
      <c r="G179" s="1"/>
      <c r="H179" s="1">
        <f>SUM(OSRRefH22_14x_0)</f>
        <v>0</v>
      </c>
      <c r="I179" s="1"/>
      <c r="J179" s="5">
        <f t="shared" si="70"/>
        <v>0</v>
      </c>
      <c r="K179" s="1"/>
      <c r="L179" s="1">
        <f t="shared" si="71"/>
        <v>0</v>
      </c>
      <c r="M179" s="1"/>
      <c r="N179" s="5">
        <f t="shared" si="72"/>
        <v>0</v>
      </c>
      <c r="O179" s="14"/>
      <c r="P179" s="1">
        <f>SUM(OSRRefP22_14x_0)</f>
        <v>0</v>
      </c>
      <c r="Q179" s="1"/>
      <c r="R179" s="5">
        <f t="shared" si="73"/>
        <v>0</v>
      </c>
      <c r="S179" s="1"/>
      <c r="T179" s="1">
        <f>SUM(OSRRefT22_14x_0)</f>
        <v>6550</v>
      </c>
      <c r="U179" s="1"/>
      <c r="V179" s="5">
        <f t="shared" si="74"/>
        <v>1.4066588437822672E-3</v>
      </c>
      <c r="W179" s="1"/>
      <c r="X179" s="1">
        <f t="shared" si="75"/>
        <v>-6550</v>
      </c>
      <c r="Y179" s="1"/>
      <c r="Z179" s="5">
        <f t="shared" si="76"/>
        <v>-1</v>
      </c>
    </row>
    <row r="180" spans="1:26" s="24" customFormat="1" hidden="1" outlineLevel="2" x14ac:dyDescent="0.25">
      <c r="A180" s="29"/>
      <c r="B180" s="11" t="str">
        <f>CONCATENATE("          ", "6336", " - ", "PROFESSIONAL SERVICES")</f>
        <v xml:space="preserve">          6336 - PROFESSIONAL SERVICES</v>
      </c>
      <c r="C180" s="11"/>
      <c r="D180" s="6"/>
      <c r="E180" s="2"/>
      <c r="F180" s="7">
        <f t="shared" si="69"/>
        <v>0</v>
      </c>
      <c r="G180" s="2"/>
      <c r="H180" s="6">
        <v>0</v>
      </c>
      <c r="I180" s="2"/>
      <c r="J180" s="7">
        <f t="shared" si="70"/>
        <v>0</v>
      </c>
      <c r="K180" s="2"/>
      <c r="L180" s="6">
        <f t="shared" si="71"/>
        <v>0</v>
      </c>
      <c r="M180" s="2"/>
      <c r="N180" s="7">
        <f t="shared" si="72"/>
        <v>0</v>
      </c>
      <c r="O180" s="11"/>
      <c r="P180" s="6"/>
      <c r="Q180" s="2"/>
      <c r="R180" s="7">
        <f t="shared" si="73"/>
        <v>0</v>
      </c>
      <c r="S180" s="2"/>
      <c r="T180" s="6">
        <v>6550</v>
      </c>
      <c r="U180" s="2"/>
      <c r="V180" s="7">
        <f t="shared" si="74"/>
        <v>1.4066588437822672E-3</v>
      </c>
      <c r="W180" s="2"/>
      <c r="X180" s="6">
        <f t="shared" si="75"/>
        <v>-6550</v>
      </c>
      <c r="Y180" s="2"/>
      <c r="Z180" s="7">
        <f t="shared" si="76"/>
        <v>-1</v>
      </c>
    </row>
    <row r="181" spans="1:26" s="28" customFormat="1" outlineLevel="1" collapsed="1" x14ac:dyDescent="0.25">
      <c r="A181" s="27"/>
      <c r="B181" s="14" t="str">
        <f>CONCATENATE("     ","Rent                                              ")</f>
        <v xml:space="preserve">     Rent                                              </v>
      </c>
      <c r="C181" s="14"/>
      <c r="D181" s="1">
        <f>SUM(OSRRefD22_15x_0)</f>
        <v>6100</v>
      </c>
      <c r="E181" s="1"/>
      <c r="F181" s="5">
        <f t="shared" si="69"/>
        <v>9.6398274432960424E-3</v>
      </c>
      <c r="G181" s="1"/>
      <c r="H181" s="1">
        <f>SUM(OSRRefH22_15x_0)</f>
        <v>6101</v>
      </c>
      <c r="I181" s="1"/>
      <c r="J181" s="5">
        <f t="shared" si="70"/>
        <v>3.8707557141388852E-3</v>
      </c>
      <c r="K181" s="1"/>
      <c r="L181" s="1">
        <f t="shared" si="71"/>
        <v>-1</v>
      </c>
      <c r="M181" s="1"/>
      <c r="N181" s="5">
        <f t="shared" si="72"/>
        <v>-1.6390755613833797E-4</v>
      </c>
      <c r="O181" s="14"/>
      <c r="P181" s="1">
        <f>SUM(OSRRefP22_15x_0)</f>
        <v>18300</v>
      </c>
      <c r="Q181" s="1"/>
      <c r="R181" s="5">
        <f t="shared" si="73"/>
        <v>5.7963009565644985E-3</v>
      </c>
      <c r="S181" s="1"/>
      <c r="T181" s="1">
        <f>SUM(OSRRefT22_15x_0)</f>
        <v>18301</v>
      </c>
      <c r="U181" s="1"/>
      <c r="V181" s="5">
        <f t="shared" si="74"/>
        <v>3.9302692366502707E-3</v>
      </c>
      <c r="W181" s="1"/>
      <c r="X181" s="1">
        <f t="shared" si="75"/>
        <v>-1</v>
      </c>
      <c r="Y181" s="1"/>
      <c r="Z181" s="5">
        <f t="shared" si="76"/>
        <v>-5.4641822851210313E-5</v>
      </c>
    </row>
    <row r="182" spans="1:26" s="24" customFormat="1" hidden="1" outlineLevel="2" x14ac:dyDescent="0.25">
      <c r="A182" s="29"/>
      <c r="B182" s="11" t="str">
        <f>CONCATENATE("          ", "6273", " - ", "RENT")</f>
        <v xml:space="preserve">          6273 - RENT</v>
      </c>
      <c r="C182" s="11"/>
      <c r="D182" s="6">
        <v>6100</v>
      </c>
      <c r="E182" s="2"/>
      <c r="F182" s="7">
        <f t="shared" si="69"/>
        <v>9.6398274432960424E-3</v>
      </c>
      <c r="G182" s="2"/>
      <c r="H182" s="6">
        <v>6101</v>
      </c>
      <c r="I182" s="2"/>
      <c r="J182" s="7">
        <f t="shared" si="70"/>
        <v>3.8707557141388852E-3</v>
      </c>
      <c r="K182" s="2"/>
      <c r="L182" s="6">
        <f t="shared" si="71"/>
        <v>-1</v>
      </c>
      <c r="M182" s="2"/>
      <c r="N182" s="7">
        <f t="shared" si="72"/>
        <v>-1.6390755613833797E-4</v>
      </c>
      <c r="O182" s="11"/>
      <c r="P182" s="6">
        <v>18300</v>
      </c>
      <c r="Q182" s="2"/>
      <c r="R182" s="7">
        <f t="shared" si="73"/>
        <v>5.7963009565644985E-3</v>
      </c>
      <c r="S182" s="2"/>
      <c r="T182" s="6">
        <v>18301</v>
      </c>
      <c r="U182" s="2"/>
      <c r="V182" s="7">
        <f t="shared" si="74"/>
        <v>3.9302692366502707E-3</v>
      </c>
      <c r="W182" s="2"/>
      <c r="X182" s="6">
        <f t="shared" si="75"/>
        <v>-1</v>
      </c>
      <c r="Y182" s="2"/>
      <c r="Z182" s="7">
        <f t="shared" si="76"/>
        <v>-5.4641822851210313E-5</v>
      </c>
    </row>
    <row r="183" spans="1:26" s="28" customFormat="1" outlineLevel="1" collapsed="1" x14ac:dyDescent="0.25">
      <c r="A183" s="27"/>
      <c r="B183" s="14" t="str">
        <f>CONCATENATE("     ","Repair and Maintenance                            ")</f>
        <v xml:space="preserve">     Repair and Maintenance                            </v>
      </c>
      <c r="C183" s="14"/>
      <c r="D183" s="1">
        <f>SUM(OSRRefD22_16x_0)</f>
        <v>13339.48</v>
      </c>
      <c r="E183" s="1"/>
      <c r="F183" s="5">
        <f t="shared" si="69"/>
        <v>2.1080374652999785E-2</v>
      </c>
      <c r="G183" s="1"/>
      <c r="H183" s="1">
        <f>SUM(OSRRefH22_16x_0)</f>
        <v>15410</v>
      </c>
      <c r="I183" s="1"/>
      <c r="J183" s="5">
        <f t="shared" si="70"/>
        <v>9.7768145475955123E-3</v>
      </c>
      <c r="K183" s="1"/>
      <c r="L183" s="1">
        <f t="shared" si="71"/>
        <v>-2070.5200000000004</v>
      </c>
      <c r="M183" s="1"/>
      <c r="N183" s="5">
        <f t="shared" si="72"/>
        <v>-0.13436210253082417</v>
      </c>
      <c r="O183" s="14"/>
      <c r="P183" s="1">
        <f>SUM(OSRRefP22_16x_0)</f>
        <v>86392.27</v>
      </c>
      <c r="Q183" s="1"/>
      <c r="R183" s="5">
        <f t="shared" si="73"/>
        <v>2.7363693838293904E-2</v>
      </c>
      <c r="S183" s="1"/>
      <c r="T183" s="1">
        <f>SUM(OSRRefT22_16x_0)</f>
        <v>84785</v>
      </c>
      <c r="U183" s="1"/>
      <c r="V183" s="5">
        <f t="shared" si="74"/>
        <v>1.8208178636653364E-2</v>
      </c>
      <c r="W183" s="1"/>
      <c r="X183" s="1">
        <f t="shared" si="75"/>
        <v>1607.2700000000041</v>
      </c>
      <c r="Y183" s="1"/>
      <c r="Z183" s="5">
        <f t="shared" si="76"/>
        <v>1.8957008904877091E-2</v>
      </c>
    </row>
    <row r="184" spans="1:26" s="24" customFormat="1" hidden="1" outlineLevel="2" x14ac:dyDescent="0.25">
      <c r="A184" s="29"/>
      <c r="B184" s="11" t="str">
        <f>CONCATENATE("          ", "6371", " - ", "COMPUTER SOFTWARE MAINTENANCE")</f>
        <v xml:space="preserve">          6371 - COMPUTER SOFTWARE MAINTENANCE</v>
      </c>
      <c r="C184" s="11"/>
      <c r="D184" s="6"/>
      <c r="E184" s="2"/>
      <c r="F184" s="7">
        <f t="shared" si="69"/>
        <v>0</v>
      </c>
      <c r="G184" s="2"/>
      <c r="H184" s="6"/>
      <c r="I184" s="2"/>
      <c r="J184" s="7">
        <f t="shared" si="70"/>
        <v>0</v>
      </c>
      <c r="K184" s="2"/>
      <c r="L184" s="6">
        <f t="shared" si="71"/>
        <v>0</v>
      </c>
      <c r="M184" s="2"/>
      <c r="N184" s="7">
        <f t="shared" si="72"/>
        <v>0</v>
      </c>
      <c r="O184" s="11"/>
      <c r="P184" s="6">
        <v>58428.780000000006</v>
      </c>
      <c r="Q184" s="2"/>
      <c r="R184" s="7">
        <f t="shared" si="73"/>
        <v>1.8506600732508018E-2</v>
      </c>
      <c r="S184" s="2"/>
      <c r="T184" s="6">
        <v>45000</v>
      </c>
      <c r="U184" s="2"/>
      <c r="V184" s="7">
        <f t="shared" si="74"/>
        <v>9.6640683923972567E-3</v>
      </c>
      <c r="W184" s="2"/>
      <c r="X184" s="6">
        <f t="shared" si="75"/>
        <v>13428.780000000006</v>
      </c>
      <c r="Y184" s="2"/>
      <c r="Z184" s="7">
        <f t="shared" si="76"/>
        <v>0.29841733333333348</v>
      </c>
    </row>
    <row r="185" spans="1:26" s="24" customFormat="1" hidden="1" outlineLevel="2" x14ac:dyDescent="0.25">
      <c r="A185" s="29"/>
      <c r="B185" s="11" t="str">
        <f>CONCATENATE("          ", "6372", " - ", "COMPUTER HARDWARE MAINTENANCE")</f>
        <v xml:space="preserve">          6372 - COMPUTER HARDWARE MAINTENANCE</v>
      </c>
      <c r="C185" s="11"/>
      <c r="D185" s="6">
        <v>-9.09</v>
      </c>
      <c r="E185" s="2"/>
      <c r="F185" s="7">
        <f t="shared" si="69"/>
        <v>-1.4364923190091971E-5</v>
      </c>
      <c r="G185" s="2"/>
      <c r="H185" s="6"/>
      <c r="I185" s="2"/>
      <c r="J185" s="7">
        <f t="shared" si="70"/>
        <v>0</v>
      </c>
      <c r="K185" s="2"/>
      <c r="L185" s="6">
        <f t="shared" si="71"/>
        <v>-9.09</v>
      </c>
      <c r="M185" s="2"/>
      <c r="N185" s="7">
        <f t="shared" si="72"/>
        <v>0</v>
      </c>
      <c r="O185" s="11"/>
      <c r="P185" s="6">
        <v>-8.11</v>
      </c>
      <c r="Q185" s="2"/>
      <c r="R185" s="7">
        <f t="shared" si="73"/>
        <v>-2.5687432108053597E-6</v>
      </c>
      <c r="S185" s="2"/>
      <c r="T185" s="6"/>
      <c r="U185" s="2"/>
      <c r="V185" s="7">
        <f t="shared" si="74"/>
        <v>0</v>
      </c>
      <c r="W185" s="2"/>
      <c r="X185" s="6">
        <f t="shared" si="75"/>
        <v>-8.11</v>
      </c>
      <c r="Y185" s="2"/>
      <c r="Z185" s="7">
        <f t="shared" si="76"/>
        <v>0</v>
      </c>
    </row>
    <row r="186" spans="1:26" s="24" customFormat="1" hidden="1" outlineLevel="2" x14ac:dyDescent="0.25">
      <c r="A186" s="29"/>
      <c r="B186" s="11" t="str">
        <f>CONCATENATE("          ", "6373", " - ", "MAINTENANCE CONTRACTS")</f>
        <v xml:space="preserve">          6373 - MAINTENANCE CONTRACTS</v>
      </c>
      <c r="C186" s="11"/>
      <c r="D186" s="6">
        <v>12402.82</v>
      </c>
      <c r="E186" s="2"/>
      <c r="F186" s="7">
        <f t="shared" si="69"/>
        <v>1.9600171247583772E-2</v>
      </c>
      <c r="G186" s="2"/>
      <c r="H186" s="6">
        <v>7040</v>
      </c>
      <c r="I186" s="2"/>
      <c r="J186" s="7">
        <f t="shared" si="70"/>
        <v>4.4665006109716032E-3</v>
      </c>
      <c r="K186" s="2"/>
      <c r="L186" s="6">
        <f t="shared" si="71"/>
        <v>5362.82</v>
      </c>
      <c r="M186" s="2"/>
      <c r="N186" s="7">
        <f t="shared" si="72"/>
        <v>0.76176420454545446</v>
      </c>
      <c r="O186" s="11"/>
      <c r="P186" s="6">
        <v>25189.05</v>
      </c>
      <c r="Q186" s="2"/>
      <c r="R186" s="7">
        <f t="shared" si="73"/>
        <v>7.9783232027295613E-3</v>
      </c>
      <c r="S186" s="2"/>
      <c r="T186" s="6">
        <v>14420</v>
      </c>
      <c r="U186" s="2"/>
      <c r="V186" s="7">
        <f t="shared" si="74"/>
        <v>3.0967970270748542E-3</v>
      </c>
      <c r="W186" s="2"/>
      <c r="X186" s="6">
        <f t="shared" si="75"/>
        <v>10769.05</v>
      </c>
      <c r="Y186" s="2"/>
      <c r="Z186" s="7">
        <f t="shared" si="76"/>
        <v>0.74681345353675443</v>
      </c>
    </row>
    <row r="187" spans="1:26" s="24" customFormat="1" hidden="1" outlineLevel="2" x14ac:dyDescent="0.25">
      <c r="A187" s="29"/>
      <c r="B187" s="11" t="str">
        <f>CONCATENATE("          ", "6375", " - ", "OUTSIDE REPAIRS &amp; MAINTENANCE")</f>
        <v xml:space="preserve">          6375 - OUTSIDE REPAIRS &amp; MAINTENANCE</v>
      </c>
      <c r="C187" s="11"/>
      <c r="D187" s="6">
        <v>945.75</v>
      </c>
      <c r="E187" s="2"/>
      <c r="F187" s="7">
        <f t="shared" si="69"/>
        <v>1.4945683286061036E-3</v>
      </c>
      <c r="G187" s="2"/>
      <c r="H187" s="6">
        <v>8370</v>
      </c>
      <c r="I187" s="2"/>
      <c r="J187" s="7">
        <f t="shared" si="70"/>
        <v>5.3103139366239092E-3</v>
      </c>
      <c r="K187" s="2"/>
      <c r="L187" s="6">
        <f t="shared" si="71"/>
        <v>-7424.25</v>
      </c>
      <c r="M187" s="2"/>
      <c r="N187" s="7">
        <f t="shared" si="72"/>
        <v>-0.88700716845878136</v>
      </c>
      <c r="O187" s="11"/>
      <c r="P187" s="6">
        <v>2782.55</v>
      </c>
      <c r="Q187" s="2"/>
      <c r="R187" s="7">
        <f t="shared" si="73"/>
        <v>8.8133864626713373E-4</v>
      </c>
      <c r="S187" s="2"/>
      <c r="T187" s="6">
        <v>25365</v>
      </c>
      <c r="U187" s="2"/>
      <c r="V187" s="7">
        <f t="shared" si="74"/>
        <v>5.4473132171812535E-3</v>
      </c>
      <c r="W187" s="2"/>
      <c r="X187" s="6">
        <f t="shared" si="75"/>
        <v>-22582.45</v>
      </c>
      <c r="Y187" s="2"/>
      <c r="Z187" s="7">
        <f t="shared" si="76"/>
        <v>-0.89029962546816477</v>
      </c>
    </row>
    <row r="188" spans="1:26" s="28" customFormat="1" outlineLevel="1" collapsed="1" x14ac:dyDescent="0.25">
      <c r="A188" s="27"/>
      <c r="B188" s="14" t="str">
        <f>CONCATENATE("     ","Royalty &amp; Commissions                             ")</f>
        <v xml:space="preserve">     Royalty &amp; Commissions                             </v>
      </c>
      <c r="C188" s="14"/>
      <c r="D188" s="1">
        <f>SUM(OSRRefD22_17x_0)</f>
        <v>62.6</v>
      </c>
      <c r="E188" s="1"/>
      <c r="F188" s="5">
        <f t="shared" ref="F188:F192" si="77">IF(D$12=0,0,D188/D$12)</f>
        <v>9.8926753762349542E-5</v>
      </c>
      <c r="G188" s="1"/>
      <c r="H188" s="1">
        <f>SUM(OSRRefH22_17x_0)</f>
        <v>7171</v>
      </c>
      <c r="I188" s="1"/>
      <c r="J188" s="5">
        <f t="shared" ref="J188:J192" si="78">IF(H$12=0,0,H188/H$12)</f>
        <v>4.5496130513178077E-3</v>
      </c>
      <c r="K188" s="1"/>
      <c r="L188" s="1">
        <f t="shared" ref="L188:L192" si="79">+D188-H188</f>
        <v>-7108.4</v>
      </c>
      <c r="M188" s="1"/>
      <c r="N188" s="5">
        <f t="shared" ref="N188:N192" si="80">IF(H188=0,0,L188/H188)</f>
        <v>-0.99127039464509825</v>
      </c>
      <c r="O188" s="14"/>
      <c r="P188" s="1">
        <f>SUM(OSRRefP22_17x_0)</f>
        <v>13307</v>
      </c>
      <c r="Q188" s="1"/>
      <c r="R188" s="5">
        <f t="shared" ref="R188:R192" si="81">IF(P$12=0,0,P188/P$12)</f>
        <v>4.2148293349182396E-3</v>
      </c>
      <c r="S188" s="1"/>
      <c r="T188" s="1">
        <f>SUM(OSRRefT22_17x_0)</f>
        <v>20463</v>
      </c>
      <c r="U188" s="1"/>
      <c r="V188" s="5">
        <f t="shared" ref="V188:V192" si="82">IF(T$12=0,0,T188/T$12)</f>
        <v>4.3945740336361122E-3</v>
      </c>
      <c r="W188" s="1"/>
      <c r="X188" s="1">
        <f t="shared" ref="X188:X192" si="83">+P188-T188</f>
        <v>-7156</v>
      </c>
      <c r="Y188" s="1"/>
      <c r="Z188" s="5">
        <f t="shared" ref="Z188:Z192" si="84">IF(T188=0,0,X188/T188)</f>
        <v>-0.34970434442652593</v>
      </c>
    </row>
    <row r="189" spans="1:26" s="24" customFormat="1" hidden="1" outlineLevel="2" x14ac:dyDescent="0.25">
      <c r="A189" s="29"/>
      <c r="B189" s="11" t="str">
        <f>CONCATENATE("          ", "6252", " - ", "ROYALTY DUE CSTV")</f>
        <v xml:space="preserve">          6252 - ROYALTY DUE CSTV</v>
      </c>
      <c r="C189" s="11"/>
      <c r="D189" s="6"/>
      <c r="E189" s="2"/>
      <c r="F189" s="7">
        <f t="shared" si="77"/>
        <v>0</v>
      </c>
      <c r="G189" s="2"/>
      <c r="H189" s="6">
        <v>1085</v>
      </c>
      <c r="I189" s="2"/>
      <c r="J189" s="7">
        <f t="shared" si="78"/>
        <v>6.883740288216179E-4</v>
      </c>
      <c r="K189" s="2"/>
      <c r="L189" s="6">
        <f t="shared" si="79"/>
        <v>-1085</v>
      </c>
      <c r="M189" s="2"/>
      <c r="N189" s="7">
        <f t="shared" si="80"/>
        <v>-1</v>
      </c>
      <c r="O189" s="11"/>
      <c r="P189" s="6"/>
      <c r="Q189" s="2"/>
      <c r="R189" s="7">
        <f t="shared" si="81"/>
        <v>0</v>
      </c>
      <c r="S189" s="2"/>
      <c r="T189" s="6">
        <v>3255</v>
      </c>
      <c r="U189" s="2"/>
      <c r="V189" s="7">
        <f t="shared" si="82"/>
        <v>6.9903428038340146E-4</v>
      </c>
      <c r="W189" s="2"/>
      <c r="X189" s="6">
        <f t="shared" si="83"/>
        <v>-3255</v>
      </c>
      <c r="Y189" s="2"/>
      <c r="Z189" s="7">
        <f t="shared" si="84"/>
        <v>-1</v>
      </c>
    </row>
    <row r="190" spans="1:26" s="24" customFormat="1" hidden="1" outlineLevel="2" x14ac:dyDescent="0.25">
      <c r="A190" s="29"/>
      <c r="B190" s="11" t="str">
        <f>CONCATENATE("          ", "6253", " - ", "ROYALTY DUE ATHLETICS-LRG")</f>
        <v xml:space="preserve">          6253 - ROYALTY DUE ATHLETICS-LRG</v>
      </c>
      <c r="C190" s="11"/>
      <c r="D190" s="6"/>
      <c r="E190" s="2"/>
      <c r="F190" s="7">
        <f t="shared" si="77"/>
        <v>0</v>
      </c>
      <c r="G190" s="2"/>
      <c r="H190" s="6">
        <v>4037</v>
      </c>
      <c r="I190" s="2"/>
      <c r="J190" s="7">
        <f t="shared" si="78"/>
        <v>2.5612589441040287E-3</v>
      </c>
      <c r="K190" s="2"/>
      <c r="L190" s="6">
        <f t="shared" si="79"/>
        <v>-4037</v>
      </c>
      <c r="M190" s="2"/>
      <c r="N190" s="7">
        <f t="shared" si="80"/>
        <v>-1</v>
      </c>
      <c r="O190" s="11"/>
      <c r="P190" s="6">
        <v>7922.2</v>
      </c>
      <c r="Q190" s="2"/>
      <c r="R190" s="7">
        <f t="shared" si="81"/>
        <v>2.5092598600052062E-3</v>
      </c>
      <c r="S190" s="2"/>
      <c r="T190" s="6">
        <v>12111</v>
      </c>
      <c r="U190" s="2"/>
      <c r="V190" s="7">
        <f t="shared" si="82"/>
        <v>2.6009229400071813E-3</v>
      </c>
      <c r="W190" s="2"/>
      <c r="X190" s="6">
        <f t="shared" si="83"/>
        <v>-4188.8</v>
      </c>
      <c r="Y190" s="2"/>
      <c r="Z190" s="7">
        <f t="shared" si="84"/>
        <v>-0.34586739327883742</v>
      </c>
    </row>
    <row r="191" spans="1:26" s="24" customFormat="1" hidden="1" outlineLevel="2" x14ac:dyDescent="0.25">
      <c r="A191" s="29"/>
      <c r="B191" s="11" t="str">
        <f>CONCATENATE("          ", "6254", " - ", "ROYALTY &amp; COMMISSIONS")</f>
        <v xml:space="preserve">          6254 - ROYALTY &amp; COMMISSIONS</v>
      </c>
      <c r="C191" s="11"/>
      <c r="D191" s="6"/>
      <c r="E191" s="2"/>
      <c r="F191" s="7">
        <f t="shared" si="77"/>
        <v>0</v>
      </c>
      <c r="G191" s="2"/>
      <c r="H191" s="6">
        <v>1149</v>
      </c>
      <c r="I191" s="2"/>
      <c r="J191" s="7">
        <f t="shared" si="78"/>
        <v>7.2897857983045061E-4</v>
      </c>
      <c r="K191" s="2"/>
      <c r="L191" s="6">
        <f t="shared" si="79"/>
        <v>-1149</v>
      </c>
      <c r="M191" s="2"/>
      <c r="N191" s="7">
        <f t="shared" si="80"/>
        <v>-1</v>
      </c>
      <c r="O191" s="11"/>
      <c r="P191" s="6"/>
      <c r="Q191" s="2"/>
      <c r="R191" s="7">
        <f t="shared" si="81"/>
        <v>0</v>
      </c>
      <c r="S191" s="2"/>
      <c r="T191" s="6">
        <v>3447</v>
      </c>
      <c r="U191" s="2"/>
      <c r="V191" s="7">
        <f t="shared" si="82"/>
        <v>7.4026763885762985E-4</v>
      </c>
      <c r="W191" s="2"/>
      <c r="X191" s="6">
        <f t="shared" si="83"/>
        <v>-3447</v>
      </c>
      <c r="Y191" s="2"/>
      <c r="Z191" s="7">
        <f t="shared" si="84"/>
        <v>-1</v>
      </c>
    </row>
    <row r="192" spans="1:26" s="24" customFormat="1" hidden="1" outlineLevel="2" x14ac:dyDescent="0.25">
      <c r="A192" s="29"/>
      <c r="B192" s="11" t="str">
        <f>CONCATENATE("          ", "6259", " - ", "ROYALTY &amp; COMMISSIONS")</f>
        <v xml:space="preserve">          6259 - ROYALTY &amp; COMMISSIONS</v>
      </c>
      <c r="C192" s="11"/>
      <c r="D192" s="6">
        <v>62.6</v>
      </c>
      <c r="E192" s="2"/>
      <c r="F192" s="7">
        <f t="shared" si="77"/>
        <v>9.8926753762349542E-5</v>
      </c>
      <c r="G192" s="2"/>
      <c r="H192" s="6">
        <v>900</v>
      </c>
      <c r="I192" s="2"/>
      <c r="J192" s="7">
        <f t="shared" si="78"/>
        <v>5.710014985617107E-4</v>
      </c>
      <c r="K192" s="2"/>
      <c r="L192" s="6">
        <f t="shared" si="79"/>
        <v>-837.4</v>
      </c>
      <c r="M192" s="2"/>
      <c r="N192" s="7">
        <f t="shared" si="80"/>
        <v>-0.93044444444444441</v>
      </c>
      <c r="O192" s="11"/>
      <c r="P192" s="6">
        <v>5384.8</v>
      </c>
      <c r="Q192" s="2"/>
      <c r="R192" s="7">
        <f t="shared" si="81"/>
        <v>1.7055694749130335E-3</v>
      </c>
      <c r="S192" s="2"/>
      <c r="T192" s="6">
        <v>1650</v>
      </c>
      <c r="U192" s="2"/>
      <c r="V192" s="7">
        <f t="shared" si="82"/>
        <v>3.5434917438789936E-4</v>
      </c>
      <c r="W192" s="2"/>
      <c r="X192" s="6">
        <f t="shared" si="83"/>
        <v>3734.8</v>
      </c>
      <c r="Y192" s="2"/>
      <c r="Z192" s="7">
        <f t="shared" si="84"/>
        <v>2.2635151515151515</v>
      </c>
    </row>
    <row r="193" spans="1:26" s="28" customFormat="1" outlineLevel="1" collapsed="1" x14ac:dyDescent="0.25">
      <c r="A193" s="27"/>
      <c r="B193" s="14" t="str">
        <f>CONCATENATE("     ","Services                                          ")</f>
        <v xml:space="preserve">     Services                                          </v>
      </c>
      <c r="C193" s="14"/>
      <c r="D193" s="1">
        <f>SUM(OSRRefD22_18x_0)</f>
        <v>4517.25</v>
      </c>
      <c r="E193" s="1"/>
      <c r="F193" s="5">
        <f t="shared" ref="F193:F197" si="85">IF(D$12=0,0,D193/D$12)</f>
        <v>7.138608281676893E-3</v>
      </c>
      <c r="G193" s="1"/>
      <c r="H193" s="1">
        <f>SUM(OSRRefH22_18x_0)</f>
        <v>4784</v>
      </c>
      <c r="I193" s="1"/>
      <c r="J193" s="5">
        <f t="shared" ref="J193:J197" si="86">IF(H$12=0,0,H193/H$12)</f>
        <v>3.0351901879102487E-3</v>
      </c>
      <c r="K193" s="1"/>
      <c r="L193" s="1">
        <f t="shared" ref="L193:L197" si="87">+D193-H193</f>
        <v>-266.75</v>
      </c>
      <c r="M193" s="1"/>
      <c r="N193" s="5">
        <f t="shared" ref="N193:N197" si="88">IF(H193=0,0,L193/H193)</f>
        <v>-5.5758779264214048E-2</v>
      </c>
      <c r="O193" s="14"/>
      <c r="P193" s="1">
        <f>SUM(OSRRefP22_18x_0)</f>
        <v>8822.77</v>
      </c>
      <c r="Q193" s="1"/>
      <c r="R193" s="5">
        <f t="shared" ref="R193:R197" si="89">IF(P$12=0,0,P193/P$12)</f>
        <v>2.7945043819971893E-3</v>
      </c>
      <c r="S193" s="1"/>
      <c r="T193" s="1">
        <f>SUM(OSRRefT22_18x_0)</f>
        <v>13968</v>
      </c>
      <c r="U193" s="1"/>
      <c r="V193" s="5">
        <f t="shared" ref="V193:V197" si="90">IF(T$12=0,0,T193/T$12)</f>
        <v>2.9997268290001084E-3</v>
      </c>
      <c r="W193" s="1"/>
      <c r="X193" s="1">
        <f t="shared" ref="X193:X197" si="91">+P193-T193</f>
        <v>-5145.2299999999996</v>
      </c>
      <c r="Y193" s="1"/>
      <c r="Z193" s="5">
        <f t="shared" ref="Z193:Z197" si="92">IF(T193=0,0,X193/T193)</f>
        <v>-0.3683583906071019</v>
      </c>
    </row>
    <row r="194" spans="1:26" s="24" customFormat="1" hidden="1" outlineLevel="2" x14ac:dyDescent="0.25">
      <c r="A194" s="29"/>
      <c r="B194" s="11" t="str">
        <f>CONCATENATE("          ", "6282", " - ", "JANITORIAL/EXTERMINATOR EXPENS")</f>
        <v xml:space="preserve">          6282 - JANITORIAL/EXTERMINATOR EXPENS</v>
      </c>
      <c r="C194" s="11"/>
      <c r="D194" s="6">
        <v>266.5</v>
      </c>
      <c r="E194" s="2"/>
      <c r="F194" s="7">
        <f t="shared" si="85"/>
        <v>4.2114983830137624E-4</v>
      </c>
      <c r="G194" s="2"/>
      <c r="H194" s="6">
        <v>4000</v>
      </c>
      <c r="I194" s="2"/>
      <c r="J194" s="7">
        <f t="shared" si="86"/>
        <v>2.5377844380520473E-3</v>
      </c>
      <c r="K194" s="2"/>
      <c r="L194" s="6">
        <f t="shared" si="87"/>
        <v>-3733.5</v>
      </c>
      <c r="M194" s="2"/>
      <c r="N194" s="7">
        <f t="shared" si="88"/>
        <v>-0.93337499999999995</v>
      </c>
      <c r="O194" s="11"/>
      <c r="P194" s="6">
        <v>742.94</v>
      </c>
      <c r="Q194" s="2"/>
      <c r="R194" s="7">
        <f t="shared" si="89"/>
        <v>2.3531714932623109E-4</v>
      </c>
      <c r="S194" s="2"/>
      <c r="T194" s="6">
        <v>12000</v>
      </c>
      <c r="U194" s="2"/>
      <c r="V194" s="7">
        <f t="shared" si="90"/>
        <v>2.5770849046392683E-3</v>
      </c>
      <c r="W194" s="2"/>
      <c r="X194" s="6">
        <f t="shared" si="91"/>
        <v>-11257.06</v>
      </c>
      <c r="Y194" s="2"/>
      <c r="Z194" s="7">
        <f t="shared" si="92"/>
        <v>-0.9380883333333333</v>
      </c>
    </row>
    <row r="195" spans="1:26" s="24" customFormat="1" hidden="1" outlineLevel="2" x14ac:dyDescent="0.25">
      <c r="A195" s="29"/>
      <c r="B195" s="11" t="str">
        <f>CONCATENATE("          ", "6283", " - ", "PLANT SERVICE")</f>
        <v xml:space="preserve">          6283 - PLANT SERVICE</v>
      </c>
      <c r="C195" s="11"/>
      <c r="D195" s="6"/>
      <c r="E195" s="2"/>
      <c r="F195" s="7">
        <f t="shared" si="85"/>
        <v>0</v>
      </c>
      <c r="G195" s="2"/>
      <c r="H195" s="6">
        <v>0</v>
      </c>
      <c r="I195" s="2"/>
      <c r="J195" s="7">
        <f t="shared" si="86"/>
        <v>0</v>
      </c>
      <c r="K195" s="2"/>
      <c r="L195" s="6">
        <f t="shared" si="87"/>
        <v>0</v>
      </c>
      <c r="M195" s="2"/>
      <c r="N195" s="7">
        <f t="shared" si="88"/>
        <v>0</v>
      </c>
      <c r="O195" s="11"/>
      <c r="P195" s="6">
        <v>130</v>
      </c>
      <c r="Q195" s="2"/>
      <c r="R195" s="7">
        <f t="shared" si="89"/>
        <v>4.1175908434611191E-5</v>
      </c>
      <c r="S195" s="2"/>
      <c r="T195" s="6">
        <v>0</v>
      </c>
      <c r="U195" s="2"/>
      <c r="V195" s="7">
        <f t="shared" si="90"/>
        <v>0</v>
      </c>
      <c r="W195" s="2"/>
      <c r="X195" s="6">
        <f t="shared" si="91"/>
        <v>130</v>
      </c>
      <c r="Y195" s="2"/>
      <c r="Z195" s="7">
        <f t="shared" si="92"/>
        <v>0</v>
      </c>
    </row>
    <row r="196" spans="1:26" s="24" customFormat="1" hidden="1" outlineLevel="2" x14ac:dyDescent="0.25">
      <c r="A196" s="29"/>
      <c r="B196" s="11" t="str">
        <f>CONCATENATE("          ", "6284", " - ", "TRASH REMOVAL EXPENSE")</f>
        <v xml:space="preserve">          6284 - TRASH REMOVAL EXPENSE</v>
      </c>
      <c r="C196" s="11"/>
      <c r="D196" s="6">
        <v>142.57</v>
      </c>
      <c r="E196" s="2"/>
      <c r="F196" s="7">
        <f t="shared" si="85"/>
        <v>2.2530331124437976E-4</v>
      </c>
      <c r="G196" s="2"/>
      <c r="H196" s="6">
        <v>110</v>
      </c>
      <c r="I196" s="2"/>
      <c r="J196" s="7">
        <f t="shared" si="86"/>
        <v>6.9789072046431299E-5</v>
      </c>
      <c r="K196" s="2"/>
      <c r="L196" s="6">
        <f t="shared" si="87"/>
        <v>32.569999999999993</v>
      </c>
      <c r="M196" s="2"/>
      <c r="N196" s="7">
        <f t="shared" si="88"/>
        <v>0.29609090909090902</v>
      </c>
      <c r="O196" s="11"/>
      <c r="P196" s="6">
        <v>427.71</v>
      </c>
      <c r="Q196" s="2"/>
      <c r="R196" s="7">
        <f t="shared" si="89"/>
        <v>1.3547190612744271E-4</v>
      </c>
      <c r="S196" s="2"/>
      <c r="T196" s="6">
        <v>220</v>
      </c>
      <c r="U196" s="2"/>
      <c r="V196" s="7">
        <f t="shared" si="90"/>
        <v>4.7246556585053248E-5</v>
      </c>
      <c r="W196" s="2"/>
      <c r="X196" s="6">
        <f t="shared" si="91"/>
        <v>207.70999999999998</v>
      </c>
      <c r="Y196" s="2"/>
      <c r="Z196" s="7">
        <f t="shared" si="92"/>
        <v>0.94413636363636355</v>
      </c>
    </row>
    <row r="197" spans="1:26" s="24" customFormat="1" hidden="1" outlineLevel="2" x14ac:dyDescent="0.25">
      <c r="A197" s="29"/>
      <c r="B197" s="11" t="str">
        <f>CONCATENATE("          ", "6285", " - ", "JANITORIAL SERVICES")</f>
        <v xml:space="preserve">          6285 - JANITORIAL SERVICES</v>
      </c>
      <c r="C197" s="11"/>
      <c r="D197" s="6">
        <v>4108.18</v>
      </c>
      <c r="E197" s="2"/>
      <c r="F197" s="7">
        <f t="shared" si="85"/>
        <v>6.4921551321311371E-3</v>
      </c>
      <c r="G197" s="2"/>
      <c r="H197" s="6">
        <v>674</v>
      </c>
      <c r="I197" s="2"/>
      <c r="J197" s="7">
        <f t="shared" si="86"/>
        <v>4.2761667781177E-4</v>
      </c>
      <c r="K197" s="2"/>
      <c r="L197" s="6">
        <f t="shared" si="87"/>
        <v>3434.1800000000003</v>
      </c>
      <c r="M197" s="2"/>
      <c r="N197" s="7">
        <f t="shared" si="88"/>
        <v>5.0952225519287841</v>
      </c>
      <c r="O197" s="11"/>
      <c r="P197" s="6">
        <v>7522.12</v>
      </c>
      <c r="Q197" s="2"/>
      <c r="R197" s="7">
        <f t="shared" si="89"/>
        <v>2.3825394181089042E-3</v>
      </c>
      <c r="S197" s="2"/>
      <c r="T197" s="6">
        <v>1748</v>
      </c>
      <c r="U197" s="2"/>
      <c r="V197" s="7">
        <f t="shared" si="90"/>
        <v>3.7539536777578676E-4</v>
      </c>
      <c r="W197" s="2"/>
      <c r="X197" s="6">
        <f t="shared" si="91"/>
        <v>5774.12</v>
      </c>
      <c r="Y197" s="2"/>
      <c r="Z197" s="7">
        <f t="shared" si="92"/>
        <v>3.3032723112128144</v>
      </c>
    </row>
    <row r="198" spans="1:26" s="28" customFormat="1" outlineLevel="1" collapsed="1" x14ac:dyDescent="0.25">
      <c r="A198" s="27"/>
      <c r="B198" s="14" t="str">
        <f>CONCATENATE("     ","Subscriptions &amp; Dues                              ")</f>
        <v xml:space="preserve">     Subscriptions &amp; Dues                              </v>
      </c>
      <c r="C198" s="14"/>
      <c r="D198" s="1">
        <f>SUM(OSRRefD22_19x_0)</f>
        <v>148.77000000000001</v>
      </c>
      <c r="E198" s="1"/>
      <c r="F198" s="5">
        <f t="shared" ref="F198:F200" si="93">IF(D$12=0,0,D198/D$12)</f>
        <v>2.3510116864576268E-4</v>
      </c>
      <c r="G198" s="1"/>
      <c r="H198" s="1">
        <f>SUM(OSRRefH22_19x_0)</f>
        <v>1100</v>
      </c>
      <c r="I198" s="1"/>
      <c r="J198" s="5">
        <f t="shared" ref="J198:J200" si="94">IF(H$12=0,0,H198/H$12)</f>
        <v>6.9789072046431305E-4</v>
      </c>
      <c r="K198" s="1"/>
      <c r="L198" s="1">
        <f t="shared" ref="L198:L200" si="95">+D198-H198</f>
        <v>-951.23</v>
      </c>
      <c r="M198" s="1"/>
      <c r="N198" s="5">
        <f t="shared" ref="N198:N200" si="96">IF(H198=0,0,L198/H198)</f>
        <v>-0.86475454545454544</v>
      </c>
      <c r="O198" s="14"/>
      <c r="P198" s="1">
        <f>SUM(OSRRefP22_19x_0)</f>
        <v>783.77</v>
      </c>
      <c r="Q198" s="1"/>
      <c r="R198" s="5">
        <f t="shared" ref="R198:R200" si="97">IF(P$12=0,0,P198/P$12)</f>
        <v>2.4824955195227086E-4</v>
      </c>
      <c r="S198" s="1"/>
      <c r="T198" s="1">
        <f>SUM(OSRRefT22_19x_0)</f>
        <v>4695</v>
      </c>
      <c r="U198" s="1"/>
      <c r="V198" s="5">
        <f t="shared" ref="V198:V200" si="98">IF(T$12=0,0,T198/T$12)</f>
        <v>1.0082844689401137E-3</v>
      </c>
      <c r="W198" s="1"/>
      <c r="X198" s="1">
        <f t="shared" ref="X198:X200" si="99">+P198-T198</f>
        <v>-3911.23</v>
      </c>
      <c r="Y198" s="1"/>
      <c r="Z198" s="5">
        <f t="shared" ref="Z198:Z200" si="100">IF(T198=0,0,X198/T198)</f>
        <v>-0.83306283280085203</v>
      </c>
    </row>
    <row r="199" spans="1:26" s="24" customFormat="1" hidden="1" outlineLevel="2" x14ac:dyDescent="0.25">
      <c r="A199" s="29"/>
      <c r="B199" s="11" t="str">
        <f>CONCATENATE("          ", "6258", " - ", "MEMBERSHIP DUES")</f>
        <v xml:space="preserve">          6258 - MEMBERSHIP DUES</v>
      </c>
      <c r="C199" s="11"/>
      <c r="D199" s="6">
        <v>73.040000000000006</v>
      </c>
      <c r="E199" s="2"/>
      <c r="F199" s="7">
        <f t="shared" si="93"/>
        <v>1.1542508138661359E-4</v>
      </c>
      <c r="G199" s="2"/>
      <c r="H199" s="6">
        <v>1100</v>
      </c>
      <c r="I199" s="2"/>
      <c r="J199" s="7">
        <f t="shared" si="94"/>
        <v>6.9789072046431305E-4</v>
      </c>
      <c r="K199" s="2"/>
      <c r="L199" s="6">
        <f t="shared" si="95"/>
        <v>-1026.96</v>
      </c>
      <c r="M199" s="2"/>
      <c r="N199" s="7">
        <f t="shared" si="96"/>
        <v>-0.93359999999999999</v>
      </c>
      <c r="O199" s="11"/>
      <c r="P199" s="6">
        <v>633.04</v>
      </c>
      <c r="Q199" s="2"/>
      <c r="R199" s="7">
        <f t="shared" si="97"/>
        <v>2.0050766981112515E-4</v>
      </c>
      <c r="S199" s="2"/>
      <c r="T199" s="6">
        <v>4695</v>
      </c>
      <c r="U199" s="2"/>
      <c r="V199" s="7">
        <f t="shared" si="98"/>
        <v>1.0082844689401137E-3</v>
      </c>
      <c r="W199" s="2"/>
      <c r="X199" s="6">
        <f t="shared" si="99"/>
        <v>-4061.96</v>
      </c>
      <c r="Y199" s="2"/>
      <c r="Z199" s="7">
        <f t="shared" si="100"/>
        <v>-0.86516719914802986</v>
      </c>
    </row>
    <row r="200" spans="1:26" s="24" customFormat="1" hidden="1" outlineLevel="2" x14ac:dyDescent="0.25">
      <c r="A200" s="29"/>
      <c r="B200" s="11" t="str">
        <f>CONCATENATE("          ", "6275", " - ", "SUBSCRIPTIONS")</f>
        <v xml:space="preserve">          6275 - SUBSCRIPTIONS</v>
      </c>
      <c r="C200" s="11"/>
      <c r="D200" s="6">
        <v>75.73</v>
      </c>
      <c r="E200" s="2"/>
      <c r="F200" s="7">
        <f t="shared" si="93"/>
        <v>1.1967608725914907E-4</v>
      </c>
      <c r="G200" s="2"/>
      <c r="H200" s="6">
        <v>0</v>
      </c>
      <c r="I200" s="2"/>
      <c r="J200" s="7">
        <f t="shared" si="94"/>
        <v>0</v>
      </c>
      <c r="K200" s="2"/>
      <c r="L200" s="6">
        <f t="shared" si="95"/>
        <v>75.73</v>
      </c>
      <c r="M200" s="2"/>
      <c r="N200" s="7">
        <f t="shared" si="96"/>
        <v>0</v>
      </c>
      <c r="O200" s="11"/>
      <c r="P200" s="6">
        <v>150.72999999999999</v>
      </c>
      <c r="Q200" s="2"/>
      <c r="R200" s="7">
        <f t="shared" si="97"/>
        <v>4.774188214114573E-5</v>
      </c>
      <c r="S200" s="2"/>
      <c r="T200" s="6">
        <v>0</v>
      </c>
      <c r="U200" s="2"/>
      <c r="V200" s="7">
        <f t="shared" si="98"/>
        <v>0</v>
      </c>
      <c r="W200" s="2"/>
      <c r="X200" s="6">
        <f t="shared" si="99"/>
        <v>150.72999999999999</v>
      </c>
      <c r="Y200" s="2"/>
      <c r="Z200" s="7">
        <f t="shared" si="100"/>
        <v>0</v>
      </c>
    </row>
    <row r="201" spans="1:26" s="28" customFormat="1" outlineLevel="1" collapsed="1" x14ac:dyDescent="0.25">
      <c r="A201" s="27"/>
      <c r="B201" s="14" t="str">
        <f>CONCATENATE("     ","Supplies                                          ")</f>
        <v xml:space="preserve">     Supplies                                          </v>
      </c>
      <c r="C201" s="14"/>
      <c r="D201" s="1">
        <f>SUM(OSRRefD22_20x_0)</f>
        <v>13891.560000000001</v>
      </c>
      <c r="E201" s="1"/>
      <c r="F201" s="5">
        <f t="shared" ref="F201:F210" si="101">IF(D$12=0,0,D201/D$12)</f>
        <v>2.1952826445605506E-2</v>
      </c>
      <c r="G201" s="1"/>
      <c r="H201" s="1">
        <f>SUM(OSRRefH22_20x_0)</f>
        <v>37260</v>
      </c>
      <c r="I201" s="1"/>
      <c r="J201" s="5">
        <f t="shared" ref="J201:J210" si="102">IF(H$12=0,0,H201/H$12)</f>
        <v>2.363946204045482E-2</v>
      </c>
      <c r="K201" s="1"/>
      <c r="L201" s="1">
        <f t="shared" ref="L201:L210" si="103">+D201-H201</f>
        <v>-23368.44</v>
      </c>
      <c r="M201" s="1"/>
      <c r="N201" s="5">
        <f t="shared" ref="N201:N210" si="104">IF(H201=0,0,L201/H201)</f>
        <v>-0.62717230273752012</v>
      </c>
      <c r="O201" s="14"/>
      <c r="P201" s="1">
        <f>SUM(OSRRefP22_20x_0)</f>
        <v>34885.050000000003</v>
      </c>
      <c r="Q201" s="1"/>
      <c r="R201" s="5">
        <f t="shared" ref="R201:R210" si="105">IF(P$12=0,0,P201/P$12)</f>
        <v>1.1049412496437179E-2</v>
      </c>
      <c r="S201" s="1"/>
      <c r="T201" s="1">
        <f>SUM(OSRRefT22_20x_0)</f>
        <v>82675</v>
      </c>
      <c r="U201" s="1"/>
      <c r="V201" s="5">
        <f t="shared" ref="V201:V210" si="106">IF(T$12=0,0,T201/T$12)</f>
        <v>1.7755041207587627E-2</v>
      </c>
      <c r="W201" s="1"/>
      <c r="X201" s="1">
        <f t="shared" ref="X201:X210" si="107">+P201-T201</f>
        <v>-47789.95</v>
      </c>
      <c r="Y201" s="1"/>
      <c r="Z201" s="5">
        <f t="shared" ref="Z201:Z210" si="108">IF(T201=0,0,X201/T201)</f>
        <v>-0.5780459631085576</v>
      </c>
    </row>
    <row r="202" spans="1:26" s="24" customFormat="1" hidden="1" outlineLevel="2" x14ac:dyDescent="0.25">
      <c r="A202" s="29"/>
      <c r="B202" s="11" t="str">
        <f>CONCATENATE("          ", "6234", " - ", "EXPENDABLE SUPPLIES &amp; EQUIPMEN")</f>
        <v xml:space="preserve">          6234 - EXPENDABLE SUPPLIES &amp; EQUIPMEN</v>
      </c>
      <c r="C202" s="11"/>
      <c r="D202" s="6"/>
      <c r="E202" s="2"/>
      <c r="F202" s="7">
        <f t="shared" si="101"/>
        <v>0</v>
      </c>
      <c r="G202" s="2"/>
      <c r="H202" s="6">
        <v>150</v>
      </c>
      <c r="I202" s="2"/>
      <c r="J202" s="7">
        <f t="shared" si="102"/>
        <v>9.5166916426951784E-5</v>
      </c>
      <c r="K202" s="2"/>
      <c r="L202" s="6">
        <f t="shared" si="103"/>
        <v>-150</v>
      </c>
      <c r="M202" s="2"/>
      <c r="N202" s="7">
        <f t="shared" si="104"/>
        <v>-1</v>
      </c>
      <c r="O202" s="11"/>
      <c r="P202" s="6"/>
      <c r="Q202" s="2"/>
      <c r="R202" s="7">
        <f t="shared" si="105"/>
        <v>0</v>
      </c>
      <c r="S202" s="2"/>
      <c r="T202" s="6">
        <v>450</v>
      </c>
      <c r="U202" s="2"/>
      <c r="V202" s="7">
        <f t="shared" si="106"/>
        <v>9.664068392397256E-5</v>
      </c>
      <c r="W202" s="2"/>
      <c r="X202" s="6">
        <f t="shared" si="107"/>
        <v>-450</v>
      </c>
      <c r="Y202" s="2"/>
      <c r="Z202" s="7">
        <f t="shared" si="108"/>
        <v>-1</v>
      </c>
    </row>
    <row r="203" spans="1:26" s="24" customFormat="1" hidden="1" outlineLevel="2" x14ac:dyDescent="0.25">
      <c r="A203" s="29"/>
      <c r="B203" s="11" t="str">
        <f>CONCATENATE("          ", "6235", " - ", "COVID-19 EXPENSES")</f>
        <v xml:space="preserve">          6235 - COVID-19 EXPENSES</v>
      </c>
      <c r="C203" s="11"/>
      <c r="D203" s="6">
        <v>2460.7800000000002</v>
      </c>
      <c r="E203" s="2"/>
      <c r="F203" s="7">
        <f t="shared" si="101"/>
        <v>3.8887696026088585E-3</v>
      </c>
      <c r="G203" s="2"/>
      <c r="H203" s="6">
        <v>30400</v>
      </c>
      <c r="I203" s="2"/>
      <c r="J203" s="7">
        <f t="shared" si="102"/>
        <v>1.9287161729195559E-2</v>
      </c>
      <c r="K203" s="2"/>
      <c r="L203" s="6">
        <f t="shared" si="103"/>
        <v>-27939.22</v>
      </c>
      <c r="M203" s="2"/>
      <c r="N203" s="7">
        <f t="shared" si="104"/>
        <v>-0.91905328947368425</v>
      </c>
      <c r="O203" s="11"/>
      <c r="P203" s="6">
        <v>9762.7900000000009</v>
      </c>
      <c r="Q203" s="2"/>
      <c r="R203" s="7">
        <f t="shared" si="105"/>
        <v>3.0922442085102911E-3</v>
      </c>
      <c r="S203" s="2"/>
      <c r="T203" s="6">
        <v>61100</v>
      </c>
      <c r="U203" s="2"/>
      <c r="V203" s="7">
        <f t="shared" si="106"/>
        <v>1.3121657306121607E-2</v>
      </c>
      <c r="W203" s="2"/>
      <c r="X203" s="6">
        <f t="shared" si="107"/>
        <v>-51337.21</v>
      </c>
      <c r="Y203" s="2"/>
      <c r="Z203" s="7">
        <f t="shared" si="108"/>
        <v>-0.8402162029459902</v>
      </c>
    </row>
    <row r="204" spans="1:26" s="24" customFormat="1" hidden="1" outlineLevel="2" x14ac:dyDescent="0.25">
      <c r="A204" s="29"/>
      <c r="B204" s="11" t="str">
        <f>CONCATENATE("          ", "6237", " - ", "JANITORIAL SUPPLIES")</f>
        <v xml:space="preserve">          6237 - JANITORIAL SUPPLIES</v>
      </c>
      <c r="C204" s="11"/>
      <c r="D204" s="6"/>
      <c r="E204" s="2"/>
      <c r="F204" s="7">
        <f t="shared" si="101"/>
        <v>0</v>
      </c>
      <c r="G204" s="2"/>
      <c r="H204" s="6">
        <v>300</v>
      </c>
      <c r="I204" s="2"/>
      <c r="J204" s="7">
        <f t="shared" si="102"/>
        <v>1.9033383285390357E-4</v>
      </c>
      <c r="K204" s="2"/>
      <c r="L204" s="6">
        <f t="shared" si="103"/>
        <v>-300</v>
      </c>
      <c r="M204" s="2"/>
      <c r="N204" s="7">
        <f t="shared" si="104"/>
        <v>-1</v>
      </c>
      <c r="O204" s="11"/>
      <c r="P204" s="6">
        <v>139.31</v>
      </c>
      <c r="Q204" s="2"/>
      <c r="R204" s="7">
        <f t="shared" si="105"/>
        <v>4.4124736954043735E-5</v>
      </c>
      <c r="S204" s="2"/>
      <c r="T204" s="6">
        <v>820</v>
      </c>
      <c r="U204" s="2"/>
      <c r="V204" s="7">
        <f t="shared" si="106"/>
        <v>1.7610080181701667E-4</v>
      </c>
      <c r="W204" s="2"/>
      <c r="X204" s="6">
        <f t="shared" si="107"/>
        <v>-680.69</v>
      </c>
      <c r="Y204" s="2"/>
      <c r="Z204" s="7">
        <f t="shared" si="108"/>
        <v>-0.83010975609756099</v>
      </c>
    </row>
    <row r="205" spans="1:26" s="24" customFormat="1" hidden="1" outlineLevel="2" x14ac:dyDescent="0.25">
      <c r="A205" s="29"/>
      <c r="B205" s="11" t="str">
        <f>CONCATENATE("          ", "6241", " - ", "OFFICE EXPENSE")</f>
        <v xml:space="preserve">          6241 - OFFICE EXPENSE</v>
      </c>
      <c r="C205" s="11"/>
      <c r="D205" s="6">
        <v>4794.93</v>
      </c>
      <c r="E205" s="2"/>
      <c r="F205" s="7">
        <f t="shared" si="101"/>
        <v>7.5774258692923755E-3</v>
      </c>
      <c r="G205" s="2"/>
      <c r="H205" s="6">
        <v>535</v>
      </c>
      <c r="I205" s="2"/>
      <c r="J205" s="7">
        <f t="shared" si="102"/>
        <v>3.3942866858946132E-4</v>
      </c>
      <c r="K205" s="2"/>
      <c r="L205" s="6">
        <f t="shared" si="103"/>
        <v>4259.93</v>
      </c>
      <c r="M205" s="2"/>
      <c r="N205" s="7">
        <f t="shared" si="104"/>
        <v>7.9624859813084115</v>
      </c>
      <c r="O205" s="11"/>
      <c r="P205" s="6">
        <v>8306.2800000000007</v>
      </c>
      <c r="Q205" s="2"/>
      <c r="R205" s="7">
        <f t="shared" si="105"/>
        <v>2.6309124977864791E-3</v>
      </c>
      <c r="S205" s="2"/>
      <c r="T205" s="6">
        <v>1905</v>
      </c>
      <c r="U205" s="2"/>
      <c r="V205" s="7">
        <f t="shared" si="106"/>
        <v>4.0911222861148385E-4</v>
      </c>
      <c r="W205" s="2"/>
      <c r="X205" s="6">
        <f t="shared" si="107"/>
        <v>6401.2800000000007</v>
      </c>
      <c r="Y205" s="2"/>
      <c r="Z205" s="7">
        <f t="shared" si="108"/>
        <v>3.3602519685039374</v>
      </c>
    </row>
    <row r="206" spans="1:26" s="24" customFormat="1" hidden="1" outlineLevel="2" x14ac:dyDescent="0.25">
      <c r="A206" s="29"/>
      <c r="B206" s="11" t="str">
        <f>CONCATENATE("          ", "6243", " - ", "PAPER SUPPLIES")</f>
        <v xml:space="preserve">          6243 - PAPER SUPPLIES</v>
      </c>
      <c r="C206" s="11"/>
      <c r="D206" s="6"/>
      <c r="E206" s="2"/>
      <c r="F206" s="7">
        <f t="shared" si="101"/>
        <v>0</v>
      </c>
      <c r="G206" s="2"/>
      <c r="H206" s="6">
        <v>550</v>
      </c>
      <c r="I206" s="2"/>
      <c r="J206" s="7">
        <f t="shared" si="102"/>
        <v>3.4894536023215652E-4</v>
      </c>
      <c r="K206" s="2"/>
      <c r="L206" s="6">
        <f t="shared" si="103"/>
        <v>-550</v>
      </c>
      <c r="M206" s="2"/>
      <c r="N206" s="7">
        <f t="shared" si="104"/>
        <v>-1</v>
      </c>
      <c r="O206" s="11"/>
      <c r="P206" s="6">
        <v>3124.69</v>
      </c>
      <c r="Q206" s="2"/>
      <c r="R206" s="7">
        <f t="shared" si="105"/>
        <v>9.8970730251188668E-4</v>
      </c>
      <c r="S206" s="2"/>
      <c r="T206" s="6">
        <v>2850</v>
      </c>
      <c r="U206" s="2"/>
      <c r="V206" s="7">
        <f t="shared" si="106"/>
        <v>6.1205766485182621E-4</v>
      </c>
      <c r="W206" s="2"/>
      <c r="X206" s="6">
        <f t="shared" si="107"/>
        <v>274.69000000000005</v>
      </c>
      <c r="Y206" s="2"/>
      <c r="Z206" s="7">
        <f t="shared" si="108"/>
        <v>9.6382456140350903E-2</v>
      </c>
    </row>
    <row r="207" spans="1:26" s="24" customFormat="1" hidden="1" outlineLevel="2" x14ac:dyDescent="0.25">
      <c r="A207" s="29"/>
      <c r="B207" s="11" t="str">
        <f>CONCATENATE("          ", "6244", " - ", "SAFETY SUPPLY EXPENSE")</f>
        <v xml:space="preserve">          6244 - SAFETY SUPPLY EXPENSE</v>
      </c>
      <c r="C207" s="11"/>
      <c r="D207" s="6"/>
      <c r="E207" s="2"/>
      <c r="F207" s="7">
        <f t="shared" si="101"/>
        <v>0</v>
      </c>
      <c r="G207" s="2"/>
      <c r="H207" s="6">
        <v>0</v>
      </c>
      <c r="I207" s="2"/>
      <c r="J207" s="7">
        <f t="shared" si="102"/>
        <v>0</v>
      </c>
      <c r="K207" s="2"/>
      <c r="L207" s="6">
        <f t="shared" si="103"/>
        <v>0</v>
      </c>
      <c r="M207" s="2"/>
      <c r="N207" s="7">
        <f t="shared" si="104"/>
        <v>0</v>
      </c>
      <c r="O207" s="11"/>
      <c r="P207" s="6"/>
      <c r="Q207" s="2"/>
      <c r="R207" s="7">
        <f t="shared" si="105"/>
        <v>0</v>
      </c>
      <c r="S207" s="2"/>
      <c r="T207" s="6">
        <v>25</v>
      </c>
      <c r="U207" s="2"/>
      <c r="V207" s="7">
        <f t="shared" si="106"/>
        <v>5.368926884665142E-6</v>
      </c>
      <c r="W207" s="2"/>
      <c r="X207" s="6">
        <f t="shared" si="107"/>
        <v>-25</v>
      </c>
      <c r="Y207" s="2"/>
      <c r="Z207" s="7">
        <f t="shared" si="108"/>
        <v>-1</v>
      </c>
    </row>
    <row r="208" spans="1:26" s="24" customFormat="1" hidden="1" outlineLevel="2" x14ac:dyDescent="0.25">
      <c r="A208" s="29"/>
      <c r="B208" s="11" t="str">
        <f>CONCATENATE("          ", "6245", " - ", "PRINTING")</f>
        <v xml:space="preserve">          6245 - PRINTING</v>
      </c>
      <c r="C208" s="11"/>
      <c r="D208" s="6">
        <v>356.96</v>
      </c>
      <c r="E208" s="2"/>
      <c r="F208" s="7">
        <f t="shared" si="101"/>
        <v>5.641037383867139E-4</v>
      </c>
      <c r="G208" s="2"/>
      <c r="H208" s="6">
        <v>350</v>
      </c>
      <c r="I208" s="2"/>
      <c r="J208" s="7">
        <f t="shared" si="102"/>
        <v>2.2205613832955415E-4</v>
      </c>
      <c r="K208" s="2"/>
      <c r="L208" s="6">
        <f t="shared" si="103"/>
        <v>6.9599999999999795</v>
      </c>
      <c r="M208" s="2"/>
      <c r="N208" s="7">
        <f t="shared" si="104"/>
        <v>1.9885714285714229E-2</v>
      </c>
      <c r="O208" s="11"/>
      <c r="P208" s="6">
        <v>61.46</v>
      </c>
      <c r="Q208" s="2"/>
      <c r="R208" s="7">
        <f t="shared" si="105"/>
        <v>1.9466702556855414E-5</v>
      </c>
      <c r="S208" s="2"/>
      <c r="T208" s="6">
        <v>1450</v>
      </c>
      <c r="U208" s="2"/>
      <c r="V208" s="7">
        <f t="shared" si="106"/>
        <v>3.1139775931057827E-4</v>
      </c>
      <c r="W208" s="2"/>
      <c r="X208" s="6">
        <f t="shared" si="107"/>
        <v>-1388.54</v>
      </c>
      <c r="Y208" s="2"/>
      <c r="Z208" s="7">
        <f t="shared" si="108"/>
        <v>-0.9576137931034483</v>
      </c>
    </row>
    <row r="209" spans="1:26" s="24" customFormat="1" hidden="1" outlineLevel="2" x14ac:dyDescent="0.25">
      <c r="A209" s="29"/>
      <c r="B209" s="11" t="str">
        <f>CONCATENATE("          ", "6247", " - ", "STORE SUPPLIES")</f>
        <v xml:space="preserve">          6247 - STORE SUPPLIES</v>
      </c>
      <c r="C209" s="11"/>
      <c r="D209" s="6">
        <v>6278.89</v>
      </c>
      <c r="E209" s="2"/>
      <c r="F209" s="7">
        <f t="shared" si="101"/>
        <v>9.9225272353175558E-3</v>
      </c>
      <c r="G209" s="2"/>
      <c r="H209" s="6">
        <v>3475</v>
      </c>
      <c r="I209" s="2"/>
      <c r="J209" s="7">
        <f t="shared" si="102"/>
        <v>2.2047002305577161E-3</v>
      </c>
      <c r="K209" s="2"/>
      <c r="L209" s="6">
        <f t="shared" si="103"/>
        <v>2803.8900000000003</v>
      </c>
      <c r="M209" s="2"/>
      <c r="N209" s="7">
        <f t="shared" si="104"/>
        <v>0.80687482014388501</v>
      </c>
      <c r="O209" s="11"/>
      <c r="P209" s="6">
        <v>13490.52</v>
      </c>
      <c r="Q209" s="2"/>
      <c r="R209" s="7">
        <f t="shared" si="105"/>
        <v>4.2729570481176236E-3</v>
      </c>
      <c r="S209" s="2"/>
      <c r="T209" s="6">
        <v>9475</v>
      </c>
      <c r="U209" s="2"/>
      <c r="V209" s="7">
        <f t="shared" si="106"/>
        <v>2.034823289288089E-3</v>
      </c>
      <c r="W209" s="2"/>
      <c r="X209" s="6">
        <f t="shared" si="107"/>
        <v>4015.5200000000004</v>
      </c>
      <c r="Y209" s="2"/>
      <c r="Z209" s="7">
        <f t="shared" si="108"/>
        <v>0.4238015831134565</v>
      </c>
    </row>
    <row r="210" spans="1:26" s="24" customFormat="1" hidden="1" outlineLevel="2" x14ac:dyDescent="0.25">
      <c r="A210" s="29"/>
      <c r="B210" s="11" t="str">
        <f>CONCATENATE("          ", "6248", " - ", "UNIFORMS")</f>
        <v xml:space="preserve">          6248 - UNIFORMS</v>
      </c>
      <c r="C210" s="11"/>
      <c r="D210" s="6"/>
      <c r="E210" s="2"/>
      <c r="F210" s="7">
        <f t="shared" si="101"/>
        <v>0</v>
      </c>
      <c r="G210" s="2"/>
      <c r="H210" s="6">
        <v>1500</v>
      </c>
      <c r="I210" s="2"/>
      <c r="J210" s="7">
        <f t="shared" si="102"/>
        <v>9.5166916426951773E-4</v>
      </c>
      <c r="K210" s="2"/>
      <c r="L210" s="6">
        <f t="shared" si="103"/>
        <v>-1500</v>
      </c>
      <c r="M210" s="2"/>
      <c r="N210" s="7">
        <f t="shared" si="104"/>
        <v>-1</v>
      </c>
      <c r="O210" s="11"/>
      <c r="P210" s="6"/>
      <c r="Q210" s="2"/>
      <c r="R210" s="7">
        <f t="shared" si="105"/>
        <v>0</v>
      </c>
      <c r="S210" s="2"/>
      <c r="T210" s="6">
        <v>4600</v>
      </c>
      <c r="U210" s="2"/>
      <c r="V210" s="7">
        <f t="shared" si="106"/>
        <v>9.8788254677838606E-4</v>
      </c>
      <c r="W210" s="2"/>
      <c r="X210" s="6">
        <f t="shared" si="107"/>
        <v>-4600</v>
      </c>
      <c r="Y210" s="2"/>
      <c r="Z210" s="7">
        <f t="shared" si="108"/>
        <v>-1</v>
      </c>
    </row>
    <row r="211" spans="1:26" s="28" customFormat="1" outlineLevel="1" collapsed="1" x14ac:dyDescent="0.25">
      <c r="A211" s="27"/>
      <c r="B211" s="14" t="str">
        <f>CONCATENATE("     ","Telephone/Data Lines                              ")</f>
        <v xml:space="preserve">     Telephone/Data Lines                              </v>
      </c>
      <c r="C211" s="14"/>
      <c r="D211" s="1">
        <f>SUM(OSRRefD22_21x_0)</f>
        <v>5360.54</v>
      </c>
      <c r="E211" s="1"/>
      <c r="F211" s="5">
        <f t="shared" ref="F211:F213" si="109">IF(D$12=0,0,D211/D$12)</f>
        <v>8.4712591152272393E-3</v>
      </c>
      <c r="G211" s="1"/>
      <c r="H211" s="1">
        <f>SUM(OSRRefH22_21x_0)</f>
        <v>3645</v>
      </c>
      <c r="I211" s="1"/>
      <c r="J211" s="5">
        <f t="shared" ref="J211:J213" si="110">IF(H$12=0,0,H211/H$12)</f>
        <v>2.3125560691749283E-3</v>
      </c>
      <c r="K211" s="1"/>
      <c r="L211" s="1">
        <f t="shared" ref="L211:L213" si="111">+D211-H211</f>
        <v>1715.54</v>
      </c>
      <c r="M211" s="1"/>
      <c r="N211" s="5">
        <f t="shared" ref="N211:N213" si="112">IF(H211=0,0,L211/H211)</f>
        <v>0.47065569272976682</v>
      </c>
      <c r="O211" s="14"/>
      <c r="P211" s="1">
        <f>SUM(OSRRefP22_21x_0)</f>
        <v>10442.34</v>
      </c>
      <c r="Q211" s="1"/>
      <c r="R211" s="5">
        <f t="shared" ref="R211:R213" si="113">IF(P$12=0,0,P211/P$12)</f>
        <v>3.3074833514082913E-3</v>
      </c>
      <c r="S211" s="1"/>
      <c r="T211" s="1">
        <f>SUM(OSRRefT22_21x_0)</f>
        <v>9145</v>
      </c>
      <c r="U211" s="1"/>
      <c r="V211" s="5">
        <f t="shared" ref="V211:V213" si="114">IF(T$12=0,0,T211/T$12)</f>
        <v>1.9639534544105088E-3</v>
      </c>
      <c r="W211" s="1"/>
      <c r="X211" s="1">
        <f t="shared" ref="X211:X213" si="115">+P211-T211</f>
        <v>1297.3400000000001</v>
      </c>
      <c r="Y211" s="1"/>
      <c r="Z211" s="5">
        <f t="shared" ref="Z211:Z213" si="116">IF(T211=0,0,X211/T211)</f>
        <v>0.14186331328594862</v>
      </c>
    </row>
    <row r="212" spans="1:26" s="24" customFormat="1" hidden="1" outlineLevel="2" x14ac:dyDescent="0.25">
      <c r="A212" s="29"/>
      <c r="B212" s="11" t="str">
        <f>CONCATENATE("          ", "6303", " - ", "DATA PHONE LINES")</f>
        <v xml:space="preserve">          6303 - DATA PHONE LINES</v>
      </c>
      <c r="C212" s="11"/>
      <c r="D212" s="6">
        <v>885</v>
      </c>
      <c r="E212" s="2"/>
      <c r="F212" s="7">
        <f t="shared" si="109"/>
        <v>1.3985651290683602E-3</v>
      </c>
      <c r="G212" s="2"/>
      <c r="H212" s="6">
        <v>630</v>
      </c>
      <c r="I212" s="2"/>
      <c r="J212" s="7">
        <f t="shared" si="110"/>
        <v>3.9970104899319749E-4</v>
      </c>
      <c r="K212" s="2"/>
      <c r="L212" s="6">
        <f t="shared" si="111"/>
        <v>255</v>
      </c>
      <c r="M212" s="2"/>
      <c r="N212" s="7">
        <f t="shared" si="112"/>
        <v>0.40476190476190477</v>
      </c>
      <c r="O212" s="11"/>
      <c r="P212" s="6">
        <v>1180</v>
      </c>
      <c r="Q212" s="2"/>
      <c r="R212" s="7">
        <f t="shared" si="113"/>
        <v>3.7375055348339394E-4</v>
      </c>
      <c r="S212" s="2"/>
      <c r="T212" s="6">
        <v>1890</v>
      </c>
      <c r="U212" s="2"/>
      <c r="V212" s="7">
        <f t="shared" si="114"/>
        <v>4.0589087248068476E-4</v>
      </c>
      <c r="W212" s="2"/>
      <c r="X212" s="6">
        <f t="shared" si="115"/>
        <v>-710</v>
      </c>
      <c r="Y212" s="2"/>
      <c r="Z212" s="7">
        <f t="shared" si="116"/>
        <v>-0.37566137566137564</v>
      </c>
    </row>
    <row r="213" spans="1:26" s="24" customFormat="1" hidden="1" outlineLevel="2" x14ac:dyDescent="0.25">
      <c r="A213" s="29"/>
      <c r="B213" s="11" t="str">
        <f>CONCATENATE("          ", "6309", " - ", "TELEPHONE")</f>
        <v xml:space="preserve">          6309 - TELEPHONE</v>
      </c>
      <c r="C213" s="11"/>
      <c r="D213" s="6">
        <v>4475.54</v>
      </c>
      <c r="E213" s="2"/>
      <c r="F213" s="7">
        <f t="shared" si="109"/>
        <v>7.0726939861588799E-3</v>
      </c>
      <c r="G213" s="2"/>
      <c r="H213" s="6">
        <v>3015</v>
      </c>
      <c r="I213" s="2"/>
      <c r="J213" s="7">
        <f t="shared" si="110"/>
        <v>1.9128550201817308E-3</v>
      </c>
      <c r="K213" s="2"/>
      <c r="L213" s="6">
        <f t="shared" si="111"/>
        <v>1460.54</v>
      </c>
      <c r="M213" s="2"/>
      <c r="N213" s="7">
        <f t="shared" si="112"/>
        <v>0.48442454394693202</v>
      </c>
      <c r="O213" s="11"/>
      <c r="P213" s="6">
        <v>9262.34</v>
      </c>
      <c r="Q213" s="2"/>
      <c r="R213" s="7">
        <f t="shared" si="113"/>
        <v>2.9337327979248973E-3</v>
      </c>
      <c r="S213" s="2"/>
      <c r="T213" s="6">
        <v>7255</v>
      </c>
      <c r="U213" s="2"/>
      <c r="V213" s="7">
        <f t="shared" si="114"/>
        <v>1.5580625819298242E-3</v>
      </c>
      <c r="W213" s="2"/>
      <c r="X213" s="6">
        <f t="shared" si="115"/>
        <v>2007.3400000000001</v>
      </c>
      <c r="Y213" s="2"/>
      <c r="Z213" s="7">
        <f t="shared" si="116"/>
        <v>0.27668366643694003</v>
      </c>
    </row>
    <row r="214" spans="1:26" s="28" customFormat="1" outlineLevel="1" collapsed="1" x14ac:dyDescent="0.25">
      <c r="A214" s="27"/>
      <c r="B214" s="14" t="str">
        <f>CONCATENATE("     ","Training                                          ")</f>
        <v xml:space="preserve">     Training                                          </v>
      </c>
      <c r="C214" s="14"/>
      <c r="D214" s="1">
        <f>SUM(OSRRefD22_22x_0)</f>
        <v>0</v>
      </c>
      <c r="E214" s="1"/>
      <c r="F214" s="5">
        <f t="shared" ref="F214:F219" si="117">IF(D$12=0,0,D214/D$12)</f>
        <v>0</v>
      </c>
      <c r="G214" s="1"/>
      <c r="H214" s="1">
        <f>SUM(OSRRefH22_22x_0)</f>
        <v>0</v>
      </c>
      <c r="I214" s="1"/>
      <c r="J214" s="5">
        <f t="shared" ref="J214:J219" si="118">IF(H$12=0,0,H214/H$12)</f>
        <v>0</v>
      </c>
      <c r="K214" s="1"/>
      <c r="L214" s="1">
        <f t="shared" ref="L214:L219" si="119">+D214-H214</f>
        <v>0</v>
      </c>
      <c r="M214" s="1"/>
      <c r="N214" s="5">
        <f t="shared" ref="N214:N219" si="120">IF(H214=0,0,L214/H214)</f>
        <v>0</v>
      </c>
      <c r="O214" s="14"/>
      <c r="P214" s="1">
        <f>SUM(OSRRefP22_22x_0)</f>
        <v>131.63</v>
      </c>
      <c r="Q214" s="1"/>
      <c r="R214" s="5">
        <f t="shared" ref="R214:R219" si="121">IF(P$12=0,0,P214/P$12)</f>
        <v>4.1692190978829776E-5</v>
      </c>
      <c r="S214" s="1"/>
      <c r="T214" s="1">
        <f>SUM(OSRRefT22_22x_0)</f>
        <v>60</v>
      </c>
      <c r="U214" s="1"/>
      <c r="V214" s="5">
        <f t="shared" ref="V214:V219" si="122">IF(T$12=0,0,T214/T$12)</f>
        <v>1.2885424523196342E-5</v>
      </c>
      <c r="W214" s="1"/>
      <c r="X214" s="1">
        <f t="shared" ref="X214:X219" si="123">+P214-T214</f>
        <v>71.63</v>
      </c>
      <c r="Y214" s="1"/>
      <c r="Z214" s="5">
        <f t="shared" ref="Z214:Z219" si="124">IF(T214=0,0,X214/T214)</f>
        <v>1.1938333333333333</v>
      </c>
    </row>
    <row r="215" spans="1:26" s="24" customFormat="1" hidden="1" outlineLevel="2" x14ac:dyDescent="0.25">
      <c r="A215" s="29"/>
      <c r="B215" s="11" t="str">
        <f>CONCATENATE("          ", "6376", " - ", "TRAINING")</f>
        <v xml:space="preserve">          6376 - TRAINING</v>
      </c>
      <c r="C215" s="11"/>
      <c r="D215" s="6"/>
      <c r="E215" s="2"/>
      <c r="F215" s="7">
        <f t="shared" si="117"/>
        <v>0</v>
      </c>
      <c r="G215" s="2"/>
      <c r="H215" s="6">
        <v>0</v>
      </c>
      <c r="I215" s="2"/>
      <c r="J215" s="7">
        <f t="shared" si="118"/>
        <v>0</v>
      </c>
      <c r="K215" s="2"/>
      <c r="L215" s="6">
        <f t="shared" si="119"/>
        <v>0</v>
      </c>
      <c r="M215" s="2"/>
      <c r="N215" s="7">
        <f t="shared" si="120"/>
        <v>0</v>
      </c>
      <c r="O215" s="11"/>
      <c r="P215" s="6">
        <v>131.63</v>
      </c>
      <c r="Q215" s="2"/>
      <c r="R215" s="7">
        <f t="shared" si="121"/>
        <v>4.1692190978829776E-5</v>
      </c>
      <c r="S215" s="2"/>
      <c r="T215" s="6">
        <v>60</v>
      </c>
      <c r="U215" s="2"/>
      <c r="V215" s="7">
        <f t="shared" si="122"/>
        <v>1.2885424523196342E-5</v>
      </c>
      <c r="W215" s="2"/>
      <c r="X215" s="6">
        <f t="shared" si="123"/>
        <v>71.63</v>
      </c>
      <c r="Y215" s="2"/>
      <c r="Z215" s="7">
        <f t="shared" si="124"/>
        <v>1.1938333333333333</v>
      </c>
    </row>
    <row r="216" spans="1:26" s="28" customFormat="1" outlineLevel="1" collapsed="1" x14ac:dyDescent="0.25">
      <c r="A216" s="27"/>
      <c r="B216" s="14" t="str">
        <f>CONCATENATE("     ","Travel                                            ")</f>
        <v xml:space="preserve">     Travel                                            </v>
      </c>
      <c r="C216" s="14"/>
      <c r="D216" s="1">
        <f>SUM(OSRRefD22_23x_0)</f>
        <v>0</v>
      </c>
      <c r="E216" s="1"/>
      <c r="F216" s="5">
        <f t="shared" si="117"/>
        <v>0</v>
      </c>
      <c r="G216" s="1"/>
      <c r="H216" s="1">
        <f>SUM(OSRRefH22_23x_0)</f>
        <v>50</v>
      </c>
      <c r="I216" s="1"/>
      <c r="J216" s="5">
        <f t="shared" si="118"/>
        <v>3.1722305475650592E-5</v>
      </c>
      <c r="K216" s="1"/>
      <c r="L216" s="1">
        <f t="shared" si="119"/>
        <v>-50</v>
      </c>
      <c r="M216" s="1"/>
      <c r="N216" s="5">
        <f t="shared" si="120"/>
        <v>-1</v>
      </c>
      <c r="O216" s="14"/>
      <c r="P216" s="1">
        <f>SUM(OSRRefP22_23x_0)</f>
        <v>300.96999999999997</v>
      </c>
      <c r="Q216" s="1"/>
      <c r="R216" s="5">
        <f t="shared" si="121"/>
        <v>9.5328562781268696E-5</v>
      </c>
      <c r="S216" s="1"/>
      <c r="T216" s="1">
        <f>SUM(OSRRefT22_23x_0)</f>
        <v>150</v>
      </c>
      <c r="U216" s="1"/>
      <c r="V216" s="5">
        <f t="shared" si="122"/>
        <v>3.2213561307990855E-5</v>
      </c>
      <c r="W216" s="1"/>
      <c r="X216" s="1">
        <f t="shared" si="123"/>
        <v>150.96999999999997</v>
      </c>
      <c r="Y216" s="1"/>
      <c r="Z216" s="5">
        <f t="shared" si="124"/>
        <v>1.0064666666666664</v>
      </c>
    </row>
    <row r="217" spans="1:26" s="24" customFormat="1" hidden="1" outlineLevel="2" x14ac:dyDescent="0.25">
      <c r="A217" s="29"/>
      <c r="B217" s="11" t="str">
        <f>CONCATENATE("          ", "6292", " - ", "TRAVEL/CONFERENCE")</f>
        <v xml:space="preserve">          6292 - TRAVEL/CONFERENCE</v>
      </c>
      <c r="C217" s="11"/>
      <c r="D217" s="6"/>
      <c r="E217" s="2"/>
      <c r="F217" s="7">
        <f t="shared" si="117"/>
        <v>0</v>
      </c>
      <c r="G217" s="2"/>
      <c r="H217" s="6"/>
      <c r="I217" s="2"/>
      <c r="J217" s="7">
        <f t="shared" si="118"/>
        <v>0</v>
      </c>
      <c r="K217" s="2"/>
      <c r="L217" s="6">
        <f t="shared" si="119"/>
        <v>0</v>
      </c>
      <c r="M217" s="2"/>
      <c r="N217" s="7">
        <f t="shared" si="120"/>
        <v>0</v>
      </c>
      <c r="O217" s="11"/>
      <c r="P217" s="6">
        <v>0.16</v>
      </c>
      <c r="Q217" s="2"/>
      <c r="R217" s="7">
        <f t="shared" si="121"/>
        <v>5.0678041150290699E-8</v>
      </c>
      <c r="S217" s="2"/>
      <c r="T217" s="6"/>
      <c r="U217" s="2"/>
      <c r="V217" s="7">
        <f t="shared" si="122"/>
        <v>0</v>
      </c>
      <c r="W217" s="2"/>
      <c r="X217" s="6">
        <f t="shared" si="123"/>
        <v>0.16</v>
      </c>
      <c r="Y217" s="2"/>
      <c r="Z217" s="7">
        <f t="shared" si="124"/>
        <v>0</v>
      </c>
    </row>
    <row r="218" spans="1:26" s="24" customFormat="1" hidden="1" outlineLevel="2" x14ac:dyDescent="0.25">
      <c r="A218" s="29"/>
      <c r="B218" s="11" t="str">
        <f>CONCATENATE("          ", "6294", " - ", "TRAVEL OPERATIONAL")</f>
        <v xml:space="preserve">          6294 - TRAVEL OPERATIONAL</v>
      </c>
      <c r="C218" s="11"/>
      <c r="D218" s="6"/>
      <c r="E218" s="2"/>
      <c r="F218" s="7">
        <f t="shared" si="117"/>
        <v>0</v>
      </c>
      <c r="G218" s="2"/>
      <c r="H218" s="6">
        <v>25</v>
      </c>
      <c r="I218" s="2"/>
      <c r="J218" s="7">
        <f t="shared" si="118"/>
        <v>1.5861152737825296E-5</v>
      </c>
      <c r="K218" s="2"/>
      <c r="L218" s="6">
        <f t="shared" si="119"/>
        <v>-25</v>
      </c>
      <c r="M218" s="2"/>
      <c r="N218" s="7">
        <f t="shared" si="120"/>
        <v>-1</v>
      </c>
      <c r="O218" s="11"/>
      <c r="P218" s="6">
        <v>240.92</v>
      </c>
      <c r="Q218" s="2"/>
      <c r="R218" s="7">
        <f t="shared" si="121"/>
        <v>7.6308460462050218E-5</v>
      </c>
      <c r="S218" s="2"/>
      <c r="T218" s="6">
        <v>75</v>
      </c>
      <c r="U218" s="2"/>
      <c r="V218" s="7">
        <f t="shared" si="122"/>
        <v>1.6106780653995428E-5</v>
      </c>
      <c r="W218" s="2"/>
      <c r="X218" s="6">
        <f t="shared" si="123"/>
        <v>165.92</v>
      </c>
      <c r="Y218" s="2"/>
      <c r="Z218" s="7">
        <f t="shared" si="124"/>
        <v>2.2122666666666664</v>
      </c>
    </row>
    <row r="219" spans="1:26" s="24" customFormat="1" hidden="1" outlineLevel="2" x14ac:dyDescent="0.25">
      <c r="A219" s="29"/>
      <c r="B219" s="11" t="str">
        <f>CONCATENATE("          ", "6298", " - ", "VEHICLE MILEAGE")</f>
        <v xml:space="preserve">          6298 - VEHICLE MILEAGE</v>
      </c>
      <c r="C219" s="11"/>
      <c r="D219" s="6"/>
      <c r="E219" s="2"/>
      <c r="F219" s="7">
        <f t="shared" si="117"/>
        <v>0</v>
      </c>
      <c r="G219" s="2"/>
      <c r="H219" s="6">
        <v>25</v>
      </c>
      <c r="I219" s="2"/>
      <c r="J219" s="7">
        <f t="shared" si="118"/>
        <v>1.5861152737825296E-5</v>
      </c>
      <c r="K219" s="2"/>
      <c r="L219" s="6">
        <f t="shared" si="119"/>
        <v>-25</v>
      </c>
      <c r="M219" s="2"/>
      <c r="N219" s="7">
        <f t="shared" si="120"/>
        <v>-1</v>
      </c>
      <c r="O219" s="11"/>
      <c r="P219" s="6">
        <v>59.89</v>
      </c>
      <c r="Q219" s="2"/>
      <c r="R219" s="7">
        <f t="shared" si="121"/>
        <v>1.8969424278068188E-5</v>
      </c>
      <c r="S219" s="2"/>
      <c r="T219" s="6">
        <v>75</v>
      </c>
      <c r="U219" s="2"/>
      <c r="V219" s="7">
        <f t="shared" si="122"/>
        <v>1.6106780653995428E-5</v>
      </c>
      <c r="W219" s="2"/>
      <c r="X219" s="6">
        <f t="shared" si="123"/>
        <v>-15.11</v>
      </c>
      <c r="Y219" s="2"/>
      <c r="Z219" s="7">
        <f t="shared" si="124"/>
        <v>-0.20146666666666666</v>
      </c>
    </row>
    <row r="220" spans="1:26" s="28" customFormat="1" outlineLevel="1" collapsed="1" x14ac:dyDescent="0.25">
      <c r="A220" s="27"/>
      <c r="B220" s="14" t="str">
        <f>CONCATENATE("     ","Utilities                                         ")</f>
        <v xml:space="preserve">     Utilities                                         </v>
      </c>
      <c r="C220" s="14"/>
      <c r="D220" s="1">
        <f>SUM(OSRRefD22_24x_0)</f>
        <v>6161.01</v>
      </c>
      <c r="E220" s="1"/>
      <c r="F220" s="5">
        <f t="shared" ref="F220:F221" si="125">IF(D$12=0,0,D220/D$12)</f>
        <v>9.7362415207248119E-3</v>
      </c>
      <c r="G220" s="1"/>
      <c r="H220" s="1">
        <f>SUM(OSRRefH22_24x_0)</f>
        <v>6105</v>
      </c>
      <c r="I220" s="1"/>
      <c r="J220" s="5">
        <f t="shared" ref="J220:J221" si="126">IF(H$12=0,0,H220/H$12)</f>
        <v>3.8732934985769374E-3</v>
      </c>
      <c r="K220" s="1"/>
      <c r="L220" s="1">
        <f t="shared" ref="L220:L221" si="127">+D220-H220</f>
        <v>56.010000000000218</v>
      </c>
      <c r="M220" s="1"/>
      <c r="N220" s="5">
        <f t="shared" ref="N220:N221" si="128">IF(H220=0,0,L220/H220)</f>
        <v>9.1744471744472107E-3</v>
      </c>
      <c r="O220" s="14"/>
      <c r="P220" s="1">
        <f>SUM(OSRRefP22_24x_0)</f>
        <v>18482.38</v>
      </c>
      <c r="Q220" s="1"/>
      <c r="R220" s="5">
        <f t="shared" ref="R220:R221" si="129">IF(P$12=0,0,P220/P$12)</f>
        <v>5.8540675887206869E-3</v>
      </c>
      <c r="S220" s="1"/>
      <c r="T220" s="1">
        <f>SUM(OSRRefT22_24x_0)</f>
        <v>18315</v>
      </c>
      <c r="U220" s="1"/>
      <c r="V220" s="5">
        <f t="shared" ref="V220:V221" si="130">IF(T$12=0,0,T220/T$12)</f>
        <v>3.9332758357056834E-3</v>
      </c>
      <c r="W220" s="1"/>
      <c r="X220" s="1">
        <f t="shared" ref="X220:X221" si="131">+P220-T220</f>
        <v>167.38000000000102</v>
      </c>
      <c r="Y220" s="1"/>
      <c r="Z220" s="5">
        <f t="shared" ref="Z220:Z221" si="132">IF(T220=0,0,X220/T220)</f>
        <v>9.1389571389571943E-3</v>
      </c>
    </row>
    <row r="221" spans="1:26" s="24" customFormat="1" hidden="1" outlineLevel="2" x14ac:dyDescent="0.25">
      <c r="A221" s="29"/>
      <c r="B221" s="11" t="str">
        <f>CONCATENATE("          ", "6274", " - ", "UTILITIES")</f>
        <v xml:space="preserve">          6274 - UTILITIES</v>
      </c>
      <c r="C221" s="11"/>
      <c r="D221" s="6">
        <v>6161.01</v>
      </c>
      <c r="E221" s="2"/>
      <c r="F221" s="7">
        <f t="shared" si="125"/>
        <v>9.7362415207248119E-3</v>
      </c>
      <c r="G221" s="2"/>
      <c r="H221" s="6">
        <v>6105</v>
      </c>
      <c r="I221" s="2"/>
      <c r="J221" s="7">
        <f t="shared" si="126"/>
        <v>3.8732934985769374E-3</v>
      </c>
      <c r="K221" s="2"/>
      <c r="L221" s="6">
        <f t="shared" si="127"/>
        <v>56.010000000000218</v>
      </c>
      <c r="M221" s="2"/>
      <c r="N221" s="7">
        <f t="shared" si="128"/>
        <v>9.1744471744472107E-3</v>
      </c>
      <c r="O221" s="11"/>
      <c r="P221" s="6">
        <v>18482.38</v>
      </c>
      <c r="Q221" s="2"/>
      <c r="R221" s="7">
        <f t="shared" si="129"/>
        <v>5.8540675887206869E-3</v>
      </c>
      <c r="S221" s="2"/>
      <c r="T221" s="6">
        <v>18315</v>
      </c>
      <c r="U221" s="2"/>
      <c r="V221" s="7">
        <f t="shared" si="130"/>
        <v>3.9332758357056834E-3</v>
      </c>
      <c r="W221" s="2"/>
      <c r="X221" s="6">
        <f t="shared" si="131"/>
        <v>167.38000000000102</v>
      </c>
      <c r="Y221" s="2"/>
      <c r="Z221" s="7">
        <f t="shared" si="132"/>
        <v>9.1389571389571943E-3</v>
      </c>
    </row>
    <row r="222" spans="1:26" s="61" customFormat="1" x14ac:dyDescent="0.25">
      <c r="A222" s="36"/>
      <c r="B222" s="36"/>
      <c r="C222" s="36"/>
      <c r="D222" s="1"/>
      <c r="E222" s="1"/>
      <c r="F222" s="5"/>
      <c r="G222" s="1"/>
      <c r="H222" s="1"/>
      <c r="I222" s="1"/>
      <c r="J222" s="5"/>
      <c r="K222" s="1"/>
      <c r="L222" s="1"/>
      <c r="M222" s="1"/>
      <c r="N222" s="5"/>
      <c r="O222" s="36"/>
      <c r="P222" s="1"/>
      <c r="Q222" s="1"/>
      <c r="R222" s="5"/>
      <c r="S222" s="1"/>
      <c r="T222" s="1"/>
      <c r="U222" s="1"/>
      <c r="V222" s="5"/>
      <c r="W222" s="1"/>
      <c r="X222" s="1"/>
      <c r="Y222" s="1"/>
      <c r="Z222" s="5"/>
    </row>
    <row r="223" spans="1:26" s="23" customFormat="1" collapsed="1" x14ac:dyDescent="0.25">
      <c r="A223" s="10"/>
      <c r="B223" s="25" t="s">
        <v>0</v>
      </c>
      <c r="C223" s="10"/>
      <c r="D223" s="4">
        <f>SUM(OSRRefD25x_0)</f>
        <v>166946.43</v>
      </c>
      <c r="E223" s="4"/>
      <c r="F223" s="12">
        <f t="shared" ref="F223:F228" si="133">IF(D$12=0,0,D223/D$12)</f>
        <v>0.2638253733564429</v>
      </c>
      <c r="G223" s="4"/>
      <c r="H223" s="4">
        <f>SUM(OSRRefH25x_0)</f>
        <v>130177</v>
      </c>
      <c r="I223" s="4"/>
      <c r="J223" s="12">
        <f t="shared" ref="J223:J228" si="134">IF(H$12=0,0,H223/H$12)</f>
        <v>8.2590291198075344E-2</v>
      </c>
      <c r="K223" s="4"/>
      <c r="L223" s="4">
        <f t="shared" ref="L223:L228" si="135">+D223-H223</f>
        <v>36769.429999999993</v>
      </c>
      <c r="M223" s="4"/>
      <c r="N223" s="12">
        <f t="shared" ref="N223:N228" si="136">IF(H223=0,0,L223/H223)</f>
        <v>0.28245719289889915</v>
      </c>
      <c r="O223" s="10"/>
      <c r="P223" s="4">
        <f>SUM(OSRRefP25x_0)</f>
        <v>421172.92000000004</v>
      </c>
      <c r="Q223" s="4"/>
      <c r="R223" s="12">
        <f t="shared" ref="R223:R228" si="137">IF(P$12=0,0,P223/P$12)</f>
        <v>0.13340136606967559</v>
      </c>
      <c r="S223" s="4"/>
      <c r="T223" s="4">
        <f>SUM(OSRRefT25x_0)</f>
        <v>206567</v>
      </c>
      <c r="U223" s="4"/>
      <c r="V223" s="12">
        <f t="shared" ref="V223:V228" si="138">IF(T$12=0,0,T223/T$12)</f>
        <v>4.4361724791384977E-2</v>
      </c>
      <c r="W223" s="4"/>
      <c r="X223" s="4">
        <f t="shared" ref="X223:X228" si="139">+P223-T223</f>
        <v>214605.92000000004</v>
      </c>
      <c r="Y223" s="4"/>
      <c r="Z223" s="12">
        <f t="shared" ref="Z223:Z228" si="140">IF(T223=0,0,X223/T223)</f>
        <v>1.038916767925177</v>
      </c>
    </row>
    <row r="224" spans="1:26" s="24" customFormat="1" hidden="1" outlineLevel="1" x14ac:dyDescent="0.25">
      <c r="A224" s="51"/>
      <c r="B224" s="11" t="str">
        <f>CONCATENATE("          ", "4187", " - ", "NON-TAXABLE SALES-COMPUTER REP")</f>
        <v xml:space="preserve">          4187 - NON-TAXABLE SALES-COMPUTER REP</v>
      </c>
      <c r="C224" s="11"/>
      <c r="D224" s="2">
        <f>--125.14</f>
        <v>125.14</v>
      </c>
      <c r="E224" s="2"/>
      <c r="F224" s="22">
        <f t="shared" si="133"/>
        <v>1.9775868954984699E-4</v>
      </c>
      <c r="G224" s="2"/>
      <c r="H224" s="2"/>
      <c r="I224" s="2"/>
      <c r="J224" s="22">
        <f t="shared" si="134"/>
        <v>0</v>
      </c>
      <c r="K224" s="2"/>
      <c r="L224" s="2">
        <f t="shared" si="135"/>
        <v>125.14</v>
      </c>
      <c r="M224" s="2"/>
      <c r="N224" s="22">
        <f t="shared" si="136"/>
        <v>0</v>
      </c>
      <c r="O224" s="11"/>
      <c r="P224" s="2">
        <f>--145.13</f>
        <v>145.13</v>
      </c>
      <c r="Q224" s="2"/>
      <c r="R224" s="22">
        <f t="shared" si="137"/>
        <v>4.5968150700885559E-5</v>
      </c>
      <c r="S224" s="2"/>
      <c r="T224" s="2"/>
      <c r="U224" s="2"/>
      <c r="V224" s="22">
        <f t="shared" si="138"/>
        <v>0</v>
      </c>
      <c r="W224" s="2"/>
      <c r="X224" s="2">
        <f t="shared" si="139"/>
        <v>145.13</v>
      </c>
      <c r="Y224" s="2"/>
      <c r="Z224" s="22">
        <f t="shared" si="140"/>
        <v>0</v>
      </c>
    </row>
    <row r="225" spans="1:26" s="24" customFormat="1" hidden="1" outlineLevel="1" x14ac:dyDescent="0.25">
      <c r="A225" s="51"/>
      <c r="B225" s="11" t="str">
        <f>CONCATENATE("          ", "9150", " - ", "MISC. INCOME")</f>
        <v xml:space="preserve">          9150 - MISC. INCOME</v>
      </c>
      <c r="C225" s="11"/>
      <c r="D225" s="2">
        <f>--18993.35</f>
        <v>18993.349999999999</v>
      </c>
      <c r="E225" s="2"/>
      <c r="F225" s="22">
        <f t="shared" si="133"/>
        <v>3.0015183044283092E-2</v>
      </c>
      <c r="G225" s="2"/>
      <c r="H225" s="2">
        <v>22943</v>
      </c>
      <c r="I225" s="2"/>
      <c r="J225" s="22">
        <f t="shared" si="134"/>
        <v>1.4556097090557031E-2</v>
      </c>
      <c r="K225" s="2"/>
      <c r="L225" s="2">
        <f t="shared" si="135"/>
        <v>-3949.6500000000015</v>
      </c>
      <c r="M225" s="2"/>
      <c r="N225" s="22">
        <f t="shared" si="136"/>
        <v>-0.172150547007802</v>
      </c>
      <c r="O225" s="11"/>
      <c r="P225" s="2">
        <f>--110989.56</f>
        <v>110989.56</v>
      </c>
      <c r="Q225" s="2"/>
      <c r="R225" s="22">
        <f t="shared" si="137"/>
        <v>3.5154584305829115E-2</v>
      </c>
      <c r="S225" s="2"/>
      <c r="T225" s="2">
        <v>68783</v>
      </c>
      <c r="U225" s="2"/>
      <c r="V225" s="22">
        <f t="shared" si="138"/>
        <v>1.4771635916316899E-2</v>
      </c>
      <c r="W225" s="2"/>
      <c r="X225" s="2">
        <f t="shared" si="139"/>
        <v>42206.559999999998</v>
      </c>
      <c r="Y225" s="2"/>
      <c r="Z225" s="22">
        <f t="shared" si="140"/>
        <v>0.61361906284983203</v>
      </c>
    </row>
    <row r="226" spans="1:26" s="24" customFormat="1" hidden="1" outlineLevel="1" x14ac:dyDescent="0.25">
      <c r="A226" s="51"/>
      <c r="B226" s="11" t="str">
        <f>CONCATENATE("          ", "9151", " - ", "MISC. INCOME")</f>
        <v xml:space="preserve">          9151 - MISC. INCOME</v>
      </c>
      <c r="C226" s="11"/>
      <c r="D226" s="2">
        <f>--147285.39</f>
        <v>147285.39000000001</v>
      </c>
      <c r="E226" s="2"/>
      <c r="F226" s="22">
        <f t="shared" si="133"/>
        <v>0.23275504008500994</v>
      </c>
      <c r="G226" s="2"/>
      <c r="H226" s="2">
        <v>107234</v>
      </c>
      <c r="I226" s="2"/>
      <c r="J226" s="22">
        <f t="shared" si="134"/>
        <v>6.803419410751832E-2</v>
      </c>
      <c r="K226" s="2"/>
      <c r="L226" s="2">
        <f t="shared" si="135"/>
        <v>40051.390000000014</v>
      </c>
      <c r="M226" s="2"/>
      <c r="N226" s="22">
        <f t="shared" si="136"/>
        <v>0.37349525337113243</v>
      </c>
      <c r="O226" s="11"/>
      <c r="P226" s="2">
        <f>--147285.39</f>
        <v>147285.39000000001</v>
      </c>
      <c r="Q226" s="2"/>
      <c r="R226" s="22">
        <f t="shared" si="137"/>
        <v>4.6650844095353847E-2</v>
      </c>
      <c r="S226" s="2"/>
      <c r="T226" s="2">
        <v>137784</v>
      </c>
      <c r="U226" s="2"/>
      <c r="V226" s="22">
        <f t="shared" si="138"/>
        <v>2.9590088875068078E-2</v>
      </c>
      <c r="W226" s="2"/>
      <c r="X226" s="2">
        <f t="shared" si="139"/>
        <v>9501.390000000014</v>
      </c>
      <c r="Y226" s="2"/>
      <c r="Z226" s="22">
        <f t="shared" si="140"/>
        <v>6.8958587354119597E-2</v>
      </c>
    </row>
    <row r="227" spans="1:26" s="24" customFormat="1" hidden="1" outlineLevel="1" x14ac:dyDescent="0.25">
      <c r="A227" s="51"/>
      <c r="B227" s="11" t="str">
        <f>CONCATENATE("          ", "9152", " - ", "MISC. INCOME")</f>
        <v xml:space="preserve">          9152 - MISC. INCOME</v>
      </c>
      <c r="C227" s="11"/>
      <c r="D227" s="2">
        <f>--542.55</f>
        <v>542.54999999999995</v>
      </c>
      <c r="E227" s="2"/>
      <c r="F227" s="22">
        <f t="shared" si="133"/>
        <v>8.5739153760004379E-4</v>
      </c>
      <c r="G227" s="2"/>
      <c r="H227" s="2"/>
      <c r="I227" s="2"/>
      <c r="J227" s="22">
        <f t="shared" si="134"/>
        <v>0</v>
      </c>
      <c r="K227" s="2"/>
      <c r="L227" s="2">
        <f t="shared" si="135"/>
        <v>542.54999999999995</v>
      </c>
      <c r="M227" s="2"/>
      <c r="N227" s="22">
        <f t="shared" si="136"/>
        <v>0</v>
      </c>
      <c r="O227" s="11"/>
      <c r="P227" s="2">
        <f>--2088.94</f>
        <v>2088.94</v>
      </c>
      <c r="Q227" s="2"/>
      <c r="R227" s="22">
        <f t="shared" si="137"/>
        <v>6.6164617050305157E-4</v>
      </c>
      <c r="S227" s="2"/>
      <c r="T227" s="2"/>
      <c r="U227" s="2"/>
      <c r="V227" s="22">
        <f t="shared" si="138"/>
        <v>0</v>
      </c>
      <c r="W227" s="2"/>
      <c r="X227" s="2">
        <f t="shared" si="139"/>
        <v>2088.94</v>
      </c>
      <c r="Y227" s="2"/>
      <c r="Z227" s="22">
        <f t="shared" si="140"/>
        <v>0</v>
      </c>
    </row>
    <row r="228" spans="1:26" s="24" customFormat="1" hidden="1" outlineLevel="1" x14ac:dyDescent="0.25">
      <c r="A228" s="51"/>
      <c r="B228" s="11" t="str">
        <f>CONCATENATE("          ", "9163", " - ", "MISC. INCOME")</f>
        <v xml:space="preserve">          9163 - MISC. INCOME</v>
      </c>
      <c r="C228" s="11"/>
      <c r="D228" s="2">
        <f>0</f>
        <v>0</v>
      </c>
      <c r="E228" s="2"/>
      <c r="F228" s="22">
        <f t="shared" si="133"/>
        <v>0</v>
      </c>
      <c r="G228" s="2"/>
      <c r="H228" s="2"/>
      <c r="I228" s="2"/>
      <c r="J228" s="22">
        <f t="shared" si="134"/>
        <v>0</v>
      </c>
      <c r="K228" s="2"/>
      <c r="L228" s="2">
        <f t="shared" si="135"/>
        <v>0</v>
      </c>
      <c r="M228" s="2"/>
      <c r="N228" s="22">
        <f t="shared" si="136"/>
        <v>0</v>
      </c>
      <c r="O228" s="11"/>
      <c r="P228" s="2">
        <f>--160663.9</f>
        <v>160663.9</v>
      </c>
      <c r="Q228" s="2"/>
      <c r="R228" s="22">
        <f t="shared" si="137"/>
        <v>5.0888323347288683E-2</v>
      </c>
      <c r="S228" s="2"/>
      <c r="T228" s="2"/>
      <c r="U228" s="2"/>
      <c r="V228" s="22">
        <f t="shared" si="138"/>
        <v>0</v>
      </c>
      <c r="W228" s="2"/>
      <c r="X228" s="2">
        <f t="shared" si="139"/>
        <v>160663.9</v>
      </c>
      <c r="Y228" s="2"/>
      <c r="Z228" s="22">
        <f t="shared" si="140"/>
        <v>0</v>
      </c>
    </row>
    <row r="229" spans="1:26" x14ac:dyDescent="0.25">
      <c r="A229" s="9"/>
      <c r="B229" s="10"/>
      <c r="C229" s="10"/>
      <c r="D229" s="3"/>
      <c r="E229" s="3"/>
      <c r="F229" s="8"/>
      <c r="G229" s="3"/>
      <c r="H229" s="3"/>
      <c r="I229" s="3"/>
      <c r="J229" s="8"/>
      <c r="K229" s="3"/>
      <c r="L229" s="3"/>
      <c r="M229" s="3"/>
      <c r="N229" s="8"/>
      <c r="O229" s="10"/>
      <c r="P229" s="3"/>
      <c r="Q229" s="3"/>
      <c r="R229" s="8"/>
      <c r="S229" s="3"/>
      <c r="T229" s="3"/>
      <c r="U229" s="3"/>
      <c r="V229" s="8"/>
      <c r="W229" s="3"/>
      <c r="X229" s="3"/>
      <c r="Y229" s="3"/>
      <c r="Z229" s="8"/>
    </row>
    <row r="230" spans="1:26" s="23" customFormat="1" x14ac:dyDescent="0.25">
      <c r="A230" s="10"/>
      <c r="B230" s="26" t="s">
        <v>3</v>
      </c>
      <c r="C230" s="26"/>
      <c r="D230" s="20">
        <f>+D124-D126+D223</f>
        <v>34339.07000000024</v>
      </c>
      <c r="E230" s="13"/>
      <c r="F230" s="21">
        <f>IF(D$12=0,0,D230/D$12)</f>
        <v>5.4266017928404284E-2</v>
      </c>
      <c r="G230" s="13"/>
      <c r="H230" s="20">
        <f>+H124-H126+H223</f>
        <v>230653.6609850385</v>
      </c>
      <c r="I230" s="13"/>
      <c r="J230" s="21">
        <f>IF(H$12=0,0,H230/H$12)</f>
        <v>0.14633731785689086</v>
      </c>
      <c r="K230" s="16"/>
      <c r="L230" s="20">
        <f>+D230-H230</f>
        <v>-196314.59098503826</v>
      </c>
      <c r="M230" s="16"/>
      <c r="N230" s="21">
        <f>IF(H230=0,0,L230/H230)</f>
        <v>-0.85112280527718276</v>
      </c>
      <c r="O230" s="25"/>
      <c r="P230" s="20">
        <f>+P124-P126+P223</f>
        <v>358317.6099999994</v>
      </c>
      <c r="Q230" s="13"/>
      <c r="R230" s="21">
        <f>IF(P$12=0,0,P230/P$12)</f>
        <v>0.11349271615283615</v>
      </c>
      <c r="S230" s="13"/>
      <c r="T230" s="20">
        <f>+T124-T126+T223</f>
        <v>451067.03092237492</v>
      </c>
      <c r="U230" s="13"/>
      <c r="V230" s="21">
        <f>IF(T$12=0,0,T230/T$12)</f>
        <v>9.6869836364208872E-2</v>
      </c>
      <c r="W230" s="16"/>
      <c r="X230" s="20">
        <f>+P230-T230</f>
        <v>-92749.420922375517</v>
      </c>
      <c r="Y230" s="16"/>
      <c r="Z230" s="21">
        <f>IF(T230=0,0,X230/T230)</f>
        <v>-0.20562225692424185</v>
      </c>
    </row>
    <row r="231" spans="1:26" x14ac:dyDescent="0.25">
      <c r="A231" s="9"/>
      <c r="B231" s="10"/>
      <c r="C231" s="9"/>
      <c r="D231" s="3"/>
      <c r="E231" s="3"/>
      <c r="F231" s="8"/>
      <c r="G231" s="3"/>
      <c r="H231" s="3"/>
      <c r="I231" s="3"/>
      <c r="J231" s="8"/>
      <c r="K231" s="3"/>
      <c r="L231" s="3"/>
      <c r="M231" s="3"/>
      <c r="N231" s="8"/>
      <c r="P231" s="3"/>
      <c r="Q231" s="3"/>
      <c r="R231" s="8"/>
      <c r="S231" s="3"/>
      <c r="T231" s="3"/>
      <c r="U231" s="3"/>
      <c r="V231" s="8"/>
      <c r="W231" s="3"/>
      <c r="X231" s="3"/>
      <c r="Y231" s="3"/>
      <c r="Z231" s="8"/>
    </row>
    <row r="232" spans="1:26" s="23" customFormat="1" x14ac:dyDescent="0.25">
      <c r="A232" s="52"/>
      <c r="B232" s="10" t="s">
        <v>14</v>
      </c>
      <c r="C232" s="10"/>
      <c r="D232" s="4">
        <v>158673.97</v>
      </c>
      <c r="E232" s="4"/>
      <c r="F232" s="12">
        <f>IF(D$12=0,0,D232/D$12)</f>
        <v>0.2507524082856939</v>
      </c>
      <c r="G232" s="4"/>
      <c r="H232" s="4">
        <v>169904</v>
      </c>
      <c r="I232" s="4"/>
      <c r="J232" s="12">
        <f>IF(H$12=0,0,H232/H$12)</f>
        <v>0.10779493179069877</v>
      </c>
      <c r="K232" s="4"/>
      <c r="L232" s="4">
        <f>+D232-H232</f>
        <v>-11230.029999999999</v>
      </c>
      <c r="M232" s="4"/>
      <c r="N232" s="12">
        <f>IF(H232=0,0,L232/H232)</f>
        <v>-6.6096324983520097E-2</v>
      </c>
      <c r="O232" s="10"/>
      <c r="P232" s="4">
        <v>584884.44999999995</v>
      </c>
      <c r="Q232" s="4"/>
      <c r="R232" s="12">
        <f>IF(P$12=0,0,P232/P$12)</f>
        <v>0.18525498890790712</v>
      </c>
      <c r="S232" s="4"/>
      <c r="T232" s="4">
        <v>675292</v>
      </c>
      <c r="U232" s="4"/>
      <c r="V232" s="12">
        <f>IF(T$12=0,0,T232/T$12)</f>
        <v>0.14502373495197174</v>
      </c>
      <c r="W232" s="4"/>
      <c r="X232" s="4">
        <f>+P232-T232</f>
        <v>-90407.550000000047</v>
      </c>
      <c r="Y232" s="4"/>
      <c r="Z232" s="12">
        <f>IF(T232=0,0,X232/T232)</f>
        <v>-0.13387919596263551</v>
      </c>
    </row>
    <row r="233" spans="1:26" x14ac:dyDescent="0.25">
      <c r="A233" s="9"/>
      <c r="B233" s="10"/>
      <c r="C233" s="10"/>
      <c r="D233" s="3"/>
      <c r="E233" s="3"/>
      <c r="F233" s="8"/>
      <c r="G233" s="3"/>
      <c r="H233" s="3"/>
      <c r="I233" s="3"/>
      <c r="J233" s="8"/>
      <c r="K233" s="3"/>
      <c r="L233" s="3"/>
      <c r="M233" s="3"/>
      <c r="N233" s="8"/>
      <c r="O233" s="10"/>
      <c r="P233" s="3"/>
      <c r="Q233" s="3"/>
      <c r="R233" s="8"/>
      <c r="S233" s="3"/>
      <c r="T233" s="3"/>
      <c r="U233" s="3"/>
      <c r="V233" s="8"/>
      <c r="W233" s="3"/>
      <c r="X233" s="3"/>
      <c r="Y233" s="3"/>
      <c r="Z233" s="8"/>
    </row>
    <row r="234" spans="1:26" s="23" customFormat="1" ht="15.75" thickBot="1" x14ac:dyDescent="0.3">
      <c r="A234" s="10"/>
      <c r="B234" s="26" t="s">
        <v>4</v>
      </c>
      <c r="C234" s="26"/>
      <c r="D234" s="33">
        <f>+D230-D232</f>
        <v>-124334.89999999976</v>
      </c>
      <c r="E234" s="13"/>
      <c r="F234" s="34">
        <f>IF(D$12=0,0,D234/D$12)</f>
        <v>-0.19648639035728963</v>
      </c>
      <c r="G234" s="13"/>
      <c r="H234" s="33">
        <f>+H230-H232</f>
        <v>60749.660985038499</v>
      </c>
      <c r="I234" s="13"/>
      <c r="J234" s="34">
        <f>IF(H$12=0,0,H234/H$12)</f>
        <v>3.8542386066192078E-2</v>
      </c>
      <c r="K234" s="16"/>
      <c r="L234" s="33">
        <f>D234-H234</f>
        <v>-185084.56098503826</v>
      </c>
      <c r="M234" s="16"/>
      <c r="N234" s="34">
        <f>IF(H234=0,0,L234/H234)</f>
        <v>-3.0466764420400816</v>
      </c>
      <c r="O234" s="25"/>
      <c r="P234" s="33">
        <f>+P230-P232</f>
        <v>-226566.84000000055</v>
      </c>
      <c r="Q234" s="13"/>
      <c r="R234" s="34">
        <f>IF(P$12=0,0,P234/P$12)</f>
        <v>-7.176227275507098E-2</v>
      </c>
      <c r="S234" s="13"/>
      <c r="T234" s="33">
        <f>+T230-T232</f>
        <v>-224224.96907762508</v>
      </c>
      <c r="U234" s="13"/>
      <c r="V234" s="34">
        <f>IF(T$12=0,0,T234/T$12)</f>
        <v>-4.815389858776286E-2</v>
      </c>
      <c r="W234" s="16"/>
      <c r="X234" s="33">
        <f>P234-T234</f>
        <v>-2341.8709223754704</v>
      </c>
      <c r="Y234" s="16"/>
      <c r="Z234" s="34">
        <f>IF(T234=0,0,X234/T234)</f>
        <v>1.0444291427529338E-2</v>
      </c>
    </row>
    <row r="235" spans="1:26" ht="15.75" thickTop="1" x14ac:dyDescent="0.25">
      <c r="A235" s="9"/>
      <c r="B235" s="9"/>
      <c r="C235" s="9"/>
      <c r="D235" s="3"/>
      <c r="E235" s="3"/>
      <c r="F235" s="8"/>
      <c r="G235" s="3"/>
      <c r="H235" s="3"/>
      <c r="I235" s="3"/>
      <c r="J235" s="8"/>
      <c r="K235" s="3"/>
      <c r="L235" s="3"/>
      <c r="M235" s="3"/>
      <c r="N235" s="8"/>
      <c r="P235" s="3"/>
      <c r="Q235" s="3"/>
      <c r="R235" s="8"/>
      <c r="S235" s="3"/>
      <c r="T235" s="3"/>
      <c r="U235" s="3"/>
      <c r="V235" s="8"/>
      <c r="W235" s="3"/>
      <c r="X235" s="3"/>
      <c r="Y235" s="3"/>
      <c r="Z235" s="8"/>
    </row>
    <row r="236" spans="1:26" x14ac:dyDescent="0.25">
      <c r="A236" s="9"/>
      <c r="B236" s="9"/>
      <c r="C236" s="9"/>
      <c r="D236" s="3"/>
      <c r="E236" s="3"/>
      <c r="F236" s="8"/>
      <c r="G236" s="3"/>
      <c r="H236" s="3"/>
      <c r="I236" s="3"/>
      <c r="J236" s="8"/>
      <c r="K236" s="3"/>
      <c r="L236" s="3"/>
      <c r="M236" s="3"/>
      <c r="N236" s="8"/>
      <c r="P236" s="3"/>
      <c r="Q236" s="3"/>
      <c r="R236" s="8"/>
      <c r="S236" s="3"/>
      <c r="T236" s="3"/>
      <c r="U236" s="3"/>
      <c r="V236" s="8"/>
      <c r="W236" s="3"/>
      <c r="X236" s="3"/>
      <c r="Y236" s="3"/>
      <c r="Z236" s="8"/>
    </row>
    <row r="237" spans="1:26" s="23" customFormat="1" ht="15.75" thickBot="1" x14ac:dyDescent="0.3">
      <c r="A237" s="10"/>
      <c r="B237" s="26" t="s">
        <v>5</v>
      </c>
      <c r="C237" s="26"/>
      <c r="D237" s="31">
        <f>SUM(D234:D236)</f>
        <v>-124334.89999999976</v>
      </c>
      <c r="E237" s="13"/>
      <c r="F237" s="32">
        <f>IF(D$12=0,0,D237/D$12)</f>
        <v>-0.19648639035728963</v>
      </c>
      <c r="G237" s="13"/>
      <c r="H237" s="31">
        <f>SUM(H234:H236)</f>
        <v>60749.660985038499</v>
      </c>
      <c r="I237" s="13"/>
      <c r="J237" s="32">
        <f>IF(H$12=0,0,H237/H$12)</f>
        <v>3.8542386066192078E-2</v>
      </c>
      <c r="K237" s="16"/>
      <c r="L237" s="31">
        <f>+D237-H237</f>
        <v>-185084.56098503826</v>
      </c>
      <c r="M237" s="16"/>
      <c r="N237" s="32">
        <f>IF(H237=0,0,L237/H237)</f>
        <v>-3.0466764420400816</v>
      </c>
      <c r="O237" s="25"/>
      <c r="P237" s="31">
        <f>SUM(P234:P236)</f>
        <v>-226566.84000000055</v>
      </c>
      <c r="Q237" s="13"/>
      <c r="R237" s="32">
        <f>IF(P$12=0,0,P237/P$12)</f>
        <v>-7.176227275507098E-2</v>
      </c>
      <c r="S237" s="13"/>
      <c r="T237" s="31">
        <f>SUM(T234:T236)</f>
        <v>-224224.96907762508</v>
      </c>
      <c r="U237" s="13"/>
      <c r="V237" s="32">
        <f>IF(T$12=0,0,T237/T$12)</f>
        <v>-4.815389858776286E-2</v>
      </c>
      <c r="W237" s="16"/>
      <c r="X237" s="31">
        <f>+P237-T237</f>
        <v>-2341.8709223754704</v>
      </c>
      <c r="Y237" s="16"/>
      <c r="Z237" s="32">
        <f>IF(T237=0,0,X237/T237)</f>
        <v>1.0444291427529338E-2</v>
      </c>
    </row>
    <row r="238" spans="1:26" ht="15.75" thickTop="1" x14ac:dyDescent="0.25">
      <c r="A238" s="9"/>
      <c r="C238" s="9"/>
      <c r="D238" s="17"/>
      <c r="E238" s="17"/>
      <c r="G238" s="17"/>
      <c r="H238" s="17"/>
      <c r="I238" s="17"/>
      <c r="J238" s="43"/>
      <c r="K238" s="17"/>
      <c r="L238" s="17"/>
      <c r="M238" s="17"/>
      <c r="P238" s="17"/>
      <c r="Q238" s="17"/>
      <c r="R238" s="43"/>
      <c r="S238" s="17"/>
      <c r="T238" s="17"/>
      <c r="U238" s="17"/>
      <c r="V238" s="43"/>
      <c r="W238" s="17"/>
      <c r="X238" s="17"/>
    </row>
    <row r="239" spans="1:26" x14ac:dyDescent="0.25">
      <c r="A239" s="9"/>
      <c r="B239" s="55">
        <v>44123.571463113425</v>
      </c>
      <c r="D239" s="17"/>
      <c r="E239" s="17"/>
      <c r="G239" s="17"/>
      <c r="H239" s="17"/>
      <c r="I239" s="17"/>
      <c r="J239" s="43"/>
      <c r="K239" s="17"/>
      <c r="L239" s="17"/>
      <c r="M239" s="17"/>
      <c r="P239" s="17"/>
      <c r="Q239" s="17"/>
      <c r="R239" s="43"/>
      <c r="S239" s="17"/>
      <c r="T239" s="17"/>
      <c r="U239" s="17"/>
      <c r="V239" s="43"/>
      <c r="W239" s="17"/>
      <c r="X239" s="17"/>
    </row>
    <row r="240" spans="1:26" x14ac:dyDescent="0.25">
      <c r="A240" s="9"/>
      <c r="B240" s="53" t="s">
        <v>314</v>
      </c>
      <c r="D240" s="17"/>
      <c r="E240" s="17"/>
      <c r="G240" s="17"/>
      <c r="H240" s="17"/>
      <c r="I240" s="17"/>
      <c r="J240" s="43"/>
      <c r="K240" s="17"/>
      <c r="L240" s="17"/>
      <c r="M240" s="17"/>
      <c r="P240" s="17"/>
      <c r="Q240" s="17"/>
      <c r="R240" s="43"/>
      <c r="S240" s="17"/>
      <c r="T240" s="17"/>
      <c r="U240" s="17"/>
      <c r="V240" s="43"/>
      <c r="W240" s="17"/>
      <c r="X240" s="17"/>
    </row>
    <row r="241" spans="1:24" x14ac:dyDescent="0.25">
      <c r="A241" s="9"/>
      <c r="B241" s="62"/>
      <c r="D241" s="17"/>
      <c r="E241" s="17"/>
      <c r="G241" s="17"/>
      <c r="H241" s="17"/>
      <c r="I241" s="17"/>
      <c r="J241" s="43"/>
      <c r="K241" s="17"/>
      <c r="L241" s="17"/>
      <c r="M241" s="17"/>
      <c r="P241" s="17"/>
      <c r="Q241" s="17"/>
      <c r="R241" s="43"/>
      <c r="S241" s="17"/>
      <c r="T241" s="17"/>
      <c r="U241" s="17"/>
      <c r="V241" s="43"/>
      <c r="W241" s="17"/>
      <c r="X241" s="17"/>
    </row>
    <row r="242" spans="1:24" x14ac:dyDescent="0.25">
      <c r="D242" s="17"/>
      <c r="E242" s="17"/>
      <c r="G242" s="17"/>
      <c r="H242" s="17"/>
      <c r="I242" s="17"/>
      <c r="J242" s="43"/>
      <c r="K242" s="17"/>
      <c r="L242" s="17"/>
      <c r="M242" s="17"/>
      <c r="P242" s="17"/>
      <c r="Q242" s="17"/>
      <c r="R242" s="43"/>
      <c r="S242" s="17"/>
      <c r="T242" s="17"/>
      <c r="U242" s="17"/>
      <c r="V242" s="43"/>
      <c r="W242" s="17"/>
      <c r="X242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","301", " - ", "Bookstore Operations")</f>
        <v>Department 301 - Bookstore Operations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109225.68000000001</v>
      </c>
      <c r="E18" s="19"/>
      <c r="F18" s="35">
        <f t="shared" ref="F18:F28" si="0">IF(D$12=0,0,D18/D$12)</f>
        <v>0</v>
      </c>
      <c r="G18" s="19"/>
      <c r="H18" s="19">
        <f>SUM(OSRRefH22x_0)</f>
        <v>174178.36854033847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-64952.688540338466</v>
      </c>
      <c r="M18" s="4"/>
      <c r="N18" s="35">
        <f t="shared" ref="N18:N28" si="3">IF(H18=0,0,L18/H18)</f>
        <v>-0.37290904194739821</v>
      </c>
      <c r="O18" s="10"/>
      <c r="P18" s="19">
        <f>SUM(OSRRefP22x_0)</f>
        <v>416605.04000000004</v>
      </c>
      <c r="Q18" s="19"/>
      <c r="R18" s="35">
        <f t="shared" ref="R18:R28" si="4">IF(P$12=0,0,P18/P$12)</f>
        <v>0</v>
      </c>
      <c r="S18" s="19"/>
      <c r="T18" s="19">
        <f>SUM(OSRRefT22x_0)</f>
        <v>555068.76593610004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-138463.7259361</v>
      </c>
      <c r="Y18" s="4"/>
      <c r="Z18" s="35">
        <f t="shared" ref="Z18:Z28" si="7">IF(T18=0,0,X18/T18)</f>
        <v>-0.24945328296861879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7682.21</v>
      </c>
      <c r="E19" s="1"/>
      <c r="F19" s="5">
        <f t="shared" si="0"/>
        <v>0</v>
      </c>
      <c r="G19" s="1"/>
      <c r="H19" s="1">
        <f>SUM(OSRRefH22_0x_0)</f>
        <v>7994.6230018769293</v>
      </c>
      <c r="I19" s="1"/>
      <c r="J19" s="5">
        <f t="shared" si="1"/>
        <v>0</v>
      </c>
      <c r="K19" s="1"/>
      <c r="L19" s="1">
        <f t="shared" si="2"/>
        <v>-312.41300187692923</v>
      </c>
      <c r="M19" s="1"/>
      <c r="N19" s="5">
        <f t="shared" si="3"/>
        <v>-3.9077890452568279E-2</v>
      </c>
      <c r="O19" s="14"/>
      <c r="P19" s="1">
        <f>SUM(OSRRefP22_0x_0)</f>
        <v>25769.170000000006</v>
      </c>
      <c r="Q19" s="1"/>
      <c r="R19" s="5">
        <f t="shared" si="4"/>
        <v>0</v>
      </c>
      <c r="S19" s="1"/>
      <c r="T19" s="1">
        <f>SUM(OSRRefT22_0x_0)</f>
        <v>29563.842936100002</v>
      </c>
      <c r="U19" s="1"/>
      <c r="V19" s="5">
        <f t="shared" si="5"/>
        <v>0</v>
      </c>
      <c r="W19" s="1"/>
      <c r="X19" s="1">
        <f t="shared" si="6"/>
        <v>-3794.6729360999962</v>
      </c>
      <c r="Y19" s="1"/>
      <c r="Z19" s="5">
        <f t="shared" si="7"/>
        <v>-0.12835519875754628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2054.27</v>
      </c>
      <c r="E20" s="2"/>
      <c r="F20" s="7">
        <f t="shared" si="0"/>
        <v>0</v>
      </c>
      <c r="G20" s="2"/>
      <c r="H20" s="6">
        <v>1590.95202895385</v>
      </c>
      <c r="I20" s="2"/>
      <c r="J20" s="7">
        <f t="shared" si="1"/>
        <v>0</v>
      </c>
      <c r="K20" s="2"/>
      <c r="L20" s="6">
        <f t="shared" si="2"/>
        <v>463.31797104614998</v>
      </c>
      <c r="M20" s="2"/>
      <c r="N20" s="7">
        <f t="shared" si="3"/>
        <v>0.29122057900816178</v>
      </c>
      <c r="O20" s="11"/>
      <c r="P20" s="6">
        <v>8316.1200000000008</v>
      </c>
      <c r="Q20" s="2"/>
      <c r="R20" s="7">
        <f t="shared" si="4"/>
        <v>0</v>
      </c>
      <c r="S20" s="2"/>
      <c r="T20" s="6">
        <v>8455.7208741000104</v>
      </c>
      <c r="U20" s="2"/>
      <c r="V20" s="7">
        <f t="shared" si="5"/>
        <v>0</v>
      </c>
      <c r="W20" s="2"/>
      <c r="X20" s="6">
        <f t="shared" si="6"/>
        <v>-139.60087410000961</v>
      </c>
      <c r="Y20" s="2"/>
      <c r="Z20" s="7">
        <f t="shared" si="7"/>
        <v>-1.6509636041512323E-2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859.27</v>
      </c>
      <c r="E21" s="2"/>
      <c r="F21" s="7">
        <f t="shared" si="0"/>
        <v>0</v>
      </c>
      <c r="G21" s="2"/>
      <c r="H21" s="6">
        <v>802.33771384615409</v>
      </c>
      <c r="I21" s="2"/>
      <c r="J21" s="7">
        <f t="shared" si="1"/>
        <v>0</v>
      </c>
      <c r="K21" s="2"/>
      <c r="L21" s="6">
        <f t="shared" si="2"/>
        <v>56.932286153845894</v>
      </c>
      <c r="M21" s="2"/>
      <c r="N21" s="7">
        <f t="shared" si="3"/>
        <v>7.0958008294201277E-2</v>
      </c>
      <c r="O21" s="11"/>
      <c r="P21" s="6">
        <v>2437.86</v>
      </c>
      <c r="Q21" s="2"/>
      <c r="R21" s="7">
        <f t="shared" si="4"/>
        <v>0</v>
      </c>
      <c r="S21" s="2"/>
      <c r="T21" s="6">
        <v>3092.7415699999942</v>
      </c>
      <c r="U21" s="2"/>
      <c r="V21" s="7">
        <f t="shared" si="5"/>
        <v>0</v>
      </c>
      <c r="W21" s="2"/>
      <c r="X21" s="6">
        <f t="shared" si="6"/>
        <v>-654.8815699999941</v>
      </c>
      <c r="Y21" s="2"/>
      <c r="Z21" s="7">
        <f t="shared" si="7"/>
        <v>-0.21174791206366309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1567.82</v>
      </c>
      <c r="E22" s="2"/>
      <c r="F22" s="7">
        <f t="shared" si="0"/>
        <v>0</v>
      </c>
      <c r="G22" s="2"/>
      <c r="H22" s="6">
        <v>3355.9615384615399</v>
      </c>
      <c r="I22" s="2"/>
      <c r="J22" s="7">
        <f t="shared" si="1"/>
        <v>0</v>
      </c>
      <c r="K22" s="2"/>
      <c r="L22" s="6">
        <f t="shared" si="2"/>
        <v>-1788.14153846154</v>
      </c>
      <c r="M22" s="2"/>
      <c r="N22" s="7">
        <f t="shared" si="3"/>
        <v>-0.53282539682539709</v>
      </c>
      <c r="O22" s="11"/>
      <c r="P22" s="6">
        <v>4947.54</v>
      </c>
      <c r="Q22" s="2"/>
      <c r="R22" s="7">
        <f t="shared" si="4"/>
        <v>0</v>
      </c>
      <c r="S22" s="2"/>
      <c r="T22" s="6">
        <v>10387.5</v>
      </c>
      <c r="U22" s="2"/>
      <c r="V22" s="7">
        <f t="shared" si="5"/>
        <v>0</v>
      </c>
      <c r="W22" s="2"/>
      <c r="X22" s="6">
        <f t="shared" si="6"/>
        <v>-5439.96</v>
      </c>
      <c r="Y22" s="2"/>
      <c r="Z22" s="7">
        <f t="shared" si="7"/>
        <v>-0.52370252707581233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128.83000000000001</v>
      </c>
      <c r="E23" s="2"/>
      <c r="F23" s="7">
        <f t="shared" si="0"/>
        <v>0</v>
      </c>
      <c r="G23" s="2"/>
      <c r="H23" s="6">
        <v>112.760976</v>
      </c>
      <c r="I23" s="2"/>
      <c r="J23" s="7">
        <f t="shared" si="1"/>
        <v>0</v>
      </c>
      <c r="K23" s="2"/>
      <c r="L23" s="6">
        <f t="shared" si="2"/>
        <v>16.069024000000013</v>
      </c>
      <c r="M23" s="2"/>
      <c r="N23" s="7">
        <f t="shared" si="3"/>
        <v>0.14250518725556272</v>
      </c>
      <c r="O23" s="11"/>
      <c r="P23" s="6">
        <v>374.69</v>
      </c>
      <c r="Q23" s="2"/>
      <c r="R23" s="7">
        <f t="shared" si="4"/>
        <v>0</v>
      </c>
      <c r="S23" s="2"/>
      <c r="T23" s="6">
        <v>434.65557200000001</v>
      </c>
      <c r="U23" s="2"/>
      <c r="V23" s="7">
        <f t="shared" si="5"/>
        <v>0</v>
      </c>
      <c r="W23" s="2"/>
      <c r="X23" s="6">
        <f t="shared" si="6"/>
        <v>-59.965572000000009</v>
      </c>
      <c r="Y23" s="2"/>
      <c r="Z23" s="7">
        <f t="shared" si="7"/>
        <v>-0.1379611256887327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1171.6300000000001</v>
      </c>
      <c r="E24" s="2"/>
      <c r="F24" s="7">
        <f t="shared" si="0"/>
        <v>0</v>
      </c>
      <c r="G24" s="2"/>
      <c r="H24" s="6">
        <v>731.74012923076907</v>
      </c>
      <c r="I24" s="2"/>
      <c r="J24" s="7">
        <f t="shared" si="1"/>
        <v>0</v>
      </c>
      <c r="K24" s="2"/>
      <c r="L24" s="6">
        <f t="shared" si="2"/>
        <v>439.88987076923104</v>
      </c>
      <c r="M24" s="2"/>
      <c r="N24" s="7">
        <f t="shared" si="3"/>
        <v>0.60115586558257883</v>
      </c>
      <c r="O24" s="11"/>
      <c r="P24" s="6">
        <v>3702.6</v>
      </c>
      <c r="Q24" s="2"/>
      <c r="R24" s="7">
        <f t="shared" si="4"/>
        <v>0</v>
      </c>
      <c r="S24" s="2"/>
      <c r="T24" s="6">
        <v>2378.15542</v>
      </c>
      <c r="U24" s="2"/>
      <c r="V24" s="7">
        <f t="shared" si="5"/>
        <v>0</v>
      </c>
      <c r="W24" s="2"/>
      <c r="X24" s="6">
        <f t="shared" si="6"/>
        <v>1324.4445799999999</v>
      </c>
      <c r="Y24" s="2"/>
      <c r="Z24" s="7">
        <f t="shared" si="7"/>
        <v>0.55692095178539669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>
        <v>401.9</v>
      </c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401.9</v>
      </c>
      <c r="Y25" s="2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6">
        <v>982.38</v>
      </c>
      <c r="E26" s="2"/>
      <c r="F26" s="7">
        <f t="shared" si="0"/>
        <v>0</v>
      </c>
      <c r="G26" s="2"/>
      <c r="H26" s="6">
        <v>545.43030769230802</v>
      </c>
      <c r="I26" s="2"/>
      <c r="J26" s="7">
        <f t="shared" si="1"/>
        <v>0</v>
      </c>
      <c r="K26" s="2"/>
      <c r="L26" s="6">
        <f t="shared" si="2"/>
        <v>436.94969230769198</v>
      </c>
      <c r="M26" s="2"/>
      <c r="N26" s="7">
        <f t="shared" si="3"/>
        <v>0.80111003394073788</v>
      </c>
      <c r="O26" s="11"/>
      <c r="P26" s="6">
        <v>3126.74</v>
      </c>
      <c r="Q26" s="2"/>
      <c r="R26" s="7">
        <f t="shared" si="4"/>
        <v>0</v>
      </c>
      <c r="S26" s="2"/>
      <c r="T26" s="6">
        <v>1772.6485000000009</v>
      </c>
      <c r="U26" s="2"/>
      <c r="V26" s="7">
        <f t="shared" si="5"/>
        <v>0</v>
      </c>
      <c r="W26" s="2"/>
      <c r="X26" s="6">
        <f t="shared" si="6"/>
        <v>1354.0914999999989</v>
      </c>
      <c r="Y26" s="2"/>
      <c r="Z26" s="7">
        <f t="shared" si="7"/>
        <v>0.76388043089196656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6">
        <v>616.29</v>
      </c>
      <c r="E27" s="2"/>
      <c r="F27" s="7">
        <f t="shared" si="0"/>
        <v>0</v>
      </c>
      <c r="G27" s="2"/>
      <c r="H27" s="6">
        <v>855.44030769230801</v>
      </c>
      <c r="I27" s="2"/>
      <c r="J27" s="7">
        <f t="shared" si="1"/>
        <v>0</v>
      </c>
      <c r="K27" s="2"/>
      <c r="L27" s="6">
        <f t="shared" si="2"/>
        <v>-239.15030769230805</v>
      </c>
      <c r="M27" s="2"/>
      <c r="N27" s="7">
        <f t="shared" si="3"/>
        <v>-0.27956399241632141</v>
      </c>
      <c r="O27" s="11"/>
      <c r="P27" s="6">
        <v>1990.91</v>
      </c>
      <c r="Q27" s="2"/>
      <c r="R27" s="7">
        <f t="shared" si="4"/>
        <v>0</v>
      </c>
      <c r="S27" s="2"/>
      <c r="T27" s="6">
        <v>3042.420999999998</v>
      </c>
      <c r="U27" s="2"/>
      <c r="V27" s="7">
        <f t="shared" si="5"/>
        <v>0</v>
      </c>
      <c r="W27" s="2"/>
      <c r="X27" s="6">
        <f t="shared" si="6"/>
        <v>-1051.5109999999979</v>
      </c>
      <c r="Y27" s="2"/>
      <c r="Z27" s="7">
        <f t="shared" si="7"/>
        <v>-0.34561653367499062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6">
        <v>301.72000000000003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301.72000000000003</v>
      </c>
      <c r="M28" s="2"/>
      <c r="N28" s="7">
        <f t="shared" si="3"/>
        <v>0</v>
      </c>
      <c r="O28" s="11"/>
      <c r="P28" s="6">
        <v>470.81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470.81</v>
      </c>
      <c r="Y28" s="2"/>
      <c r="Z28" s="7">
        <f t="shared" si="7"/>
        <v>0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38537.11</v>
      </c>
      <c r="E29" s="1"/>
      <c r="F29" s="5">
        <f t="shared" ref="F29:F39" si="8">IF(D$12=0,0,D29/D$12)</f>
        <v>0</v>
      </c>
      <c r="G29" s="1"/>
      <c r="H29" s="1">
        <f>SUM(OSRRefH22_1x_0)</f>
        <v>42318.745538461539</v>
      </c>
      <c r="I29" s="1"/>
      <c r="J29" s="5">
        <f t="shared" ref="J29:J39" si="9">IF(H$12=0,0,H29/H$12)</f>
        <v>0</v>
      </c>
      <c r="K29" s="1"/>
      <c r="L29" s="1">
        <f t="shared" ref="L29:L39" si="10">+D29-H29</f>
        <v>-3781.6355384615381</v>
      </c>
      <c r="M29" s="1"/>
      <c r="N29" s="5">
        <f t="shared" ref="N29:N39" si="11">IF(H29=0,0,L29/H29)</f>
        <v>-8.9360766495892127E-2</v>
      </c>
      <c r="O29" s="14"/>
      <c r="P29" s="1">
        <f>SUM(OSRRefP22_1x_0)</f>
        <v>147612.13</v>
      </c>
      <c r="Q29" s="1"/>
      <c r="R29" s="5">
        <f t="shared" ref="R29:R39" si="12">IF(P$12=0,0,P29/P$12)</f>
        <v>0</v>
      </c>
      <c r="S29" s="1"/>
      <c r="T29" s="1">
        <f>SUM(OSRRefT22_1x_0)</f>
        <v>163759.92300000001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-16147.793000000005</v>
      </c>
      <c r="Y29" s="1"/>
      <c r="Z29" s="5">
        <f t="shared" ref="Z29:Z39" si="15">IF(T29=0,0,X29/T29)</f>
        <v>-9.860650093246566E-2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>
        <v>4205.74</v>
      </c>
      <c r="E30" s="2"/>
      <c r="F30" s="7">
        <f t="shared" si="8"/>
        <v>0</v>
      </c>
      <c r="G30" s="2"/>
      <c r="H30" s="6">
        <v>3807.6923076923099</v>
      </c>
      <c r="I30" s="2"/>
      <c r="J30" s="7">
        <f t="shared" si="9"/>
        <v>0</v>
      </c>
      <c r="K30" s="2"/>
      <c r="L30" s="6">
        <f t="shared" si="10"/>
        <v>398.04769230768989</v>
      </c>
      <c r="M30" s="2"/>
      <c r="N30" s="7">
        <f t="shared" si="11"/>
        <v>0.10453777777777708</v>
      </c>
      <c r="O30" s="11"/>
      <c r="P30" s="6">
        <v>13248.65</v>
      </c>
      <c r="Q30" s="2"/>
      <c r="R30" s="7">
        <f t="shared" si="12"/>
        <v>0</v>
      </c>
      <c r="S30" s="2"/>
      <c r="T30" s="6">
        <v>12375.000000000009</v>
      </c>
      <c r="U30" s="2"/>
      <c r="V30" s="7">
        <f t="shared" si="13"/>
        <v>0</v>
      </c>
      <c r="W30" s="2"/>
      <c r="X30" s="6">
        <f t="shared" si="14"/>
        <v>873.64999999999054</v>
      </c>
      <c r="Y30" s="2"/>
      <c r="Z30" s="7">
        <f t="shared" si="15"/>
        <v>7.059797979797898E-2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6">
        <v>8712.9599999999991</v>
      </c>
      <c r="E31" s="2"/>
      <c r="F31" s="7">
        <f t="shared" si="8"/>
        <v>0</v>
      </c>
      <c r="G31" s="2"/>
      <c r="H31" s="6">
        <v>3850.0532307692297</v>
      </c>
      <c r="I31" s="2"/>
      <c r="J31" s="7">
        <f t="shared" si="9"/>
        <v>0</v>
      </c>
      <c r="K31" s="2"/>
      <c r="L31" s="6">
        <f t="shared" si="10"/>
        <v>4862.906769230769</v>
      </c>
      <c r="M31" s="2"/>
      <c r="N31" s="7">
        <f t="shared" si="11"/>
        <v>1.2630752038353439</v>
      </c>
      <c r="O31" s="11"/>
      <c r="P31" s="6">
        <v>26789.18</v>
      </c>
      <c r="Q31" s="2"/>
      <c r="R31" s="7">
        <f t="shared" si="12"/>
        <v>0</v>
      </c>
      <c r="S31" s="2"/>
      <c r="T31" s="6">
        <v>12512.672999999999</v>
      </c>
      <c r="U31" s="2"/>
      <c r="V31" s="7">
        <f t="shared" si="13"/>
        <v>0</v>
      </c>
      <c r="W31" s="2"/>
      <c r="X31" s="6">
        <f t="shared" si="14"/>
        <v>14276.507000000001</v>
      </c>
      <c r="Y31" s="2"/>
      <c r="Z31" s="7">
        <f t="shared" si="15"/>
        <v>1.1409638052556799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12080</v>
      </c>
      <c r="I33" s="2"/>
      <c r="J33" s="7">
        <f t="shared" si="9"/>
        <v>0</v>
      </c>
      <c r="K33" s="2"/>
      <c r="L33" s="6">
        <f t="shared" si="10"/>
        <v>-12080</v>
      </c>
      <c r="M33" s="2"/>
      <c r="N33" s="7">
        <f t="shared" si="11"/>
        <v>-1</v>
      </c>
      <c r="O33" s="11"/>
      <c r="P33" s="6">
        <v>3465.6</v>
      </c>
      <c r="Q33" s="2"/>
      <c r="R33" s="7">
        <f t="shared" si="12"/>
        <v>0</v>
      </c>
      <c r="S33" s="2"/>
      <c r="T33" s="6">
        <v>39260</v>
      </c>
      <c r="U33" s="2"/>
      <c r="V33" s="7">
        <f t="shared" si="13"/>
        <v>0</v>
      </c>
      <c r="W33" s="2"/>
      <c r="X33" s="6">
        <f t="shared" si="14"/>
        <v>-35794.400000000001</v>
      </c>
      <c r="Y33" s="2"/>
      <c r="Z33" s="7">
        <f t="shared" si="15"/>
        <v>-0.91172694854814063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6">
        <v>11632.72</v>
      </c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11632.72</v>
      </c>
      <c r="M34" s="2"/>
      <c r="N34" s="7">
        <f t="shared" si="11"/>
        <v>0</v>
      </c>
      <c r="O34" s="11"/>
      <c r="P34" s="6">
        <v>31614.52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31614.52</v>
      </c>
      <c r="Y34" s="2"/>
      <c r="Z34" s="7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6">
        <v>1728.86</v>
      </c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1728.86</v>
      </c>
      <c r="M35" s="2"/>
      <c r="N35" s="7">
        <f t="shared" si="11"/>
        <v>0</v>
      </c>
      <c r="O35" s="11"/>
      <c r="P35" s="6">
        <v>5202.12</v>
      </c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5202.12</v>
      </c>
      <c r="Y35" s="2"/>
      <c r="Z35" s="7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6">
        <v>12256.83</v>
      </c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12256.83</v>
      </c>
      <c r="M36" s="2"/>
      <c r="N36" s="7">
        <f t="shared" si="11"/>
        <v>0</v>
      </c>
      <c r="O36" s="11"/>
      <c r="P36" s="6">
        <v>67292.06</v>
      </c>
      <c r="Q36" s="2"/>
      <c r="R36" s="7">
        <f t="shared" si="12"/>
        <v>0</v>
      </c>
      <c r="S36" s="2"/>
      <c r="T36" s="6">
        <v>42926</v>
      </c>
      <c r="U36" s="2"/>
      <c r="V36" s="7">
        <f t="shared" si="13"/>
        <v>0</v>
      </c>
      <c r="W36" s="2"/>
      <c r="X36" s="6">
        <f t="shared" si="14"/>
        <v>24366.059999999998</v>
      </c>
      <c r="Y36" s="2"/>
      <c r="Z36" s="7">
        <f t="shared" si="15"/>
        <v>0.56762940874994172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22581</v>
      </c>
      <c r="I37" s="2"/>
      <c r="J37" s="7">
        <f t="shared" si="9"/>
        <v>0</v>
      </c>
      <c r="K37" s="2"/>
      <c r="L37" s="6">
        <f t="shared" si="10"/>
        <v>-22581</v>
      </c>
      <c r="M37" s="2"/>
      <c r="N37" s="7">
        <f t="shared" si="11"/>
        <v>-1</v>
      </c>
      <c r="O37" s="11"/>
      <c r="P37" s="6"/>
      <c r="Q37" s="2"/>
      <c r="R37" s="7">
        <f t="shared" si="12"/>
        <v>0</v>
      </c>
      <c r="S37" s="2"/>
      <c r="T37" s="6">
        <v>56686.25</v>
      </c>
      <c r="U37" s="2"/>
      <c r="V37" s="7">
        <f t="shared" si="13"/>
        <v>0</v>
      </c>
      <c r="W37" s="2"/>
      <c r="X37" s="6">
        <f t="shared" si="14"/>
        <v>-56686.25</v>
      </c>
      <c r="Y37" s="2"/>
      <c r="Z37" s="7">
        <f t="shared" si="15"/>
        <v>-1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SUM(OSRRefD22_2x_0)</f>
        <v>10.38</v>
      </c>
      <c r="E40" s="1"/>
      <c r="F40" s="5">
        <f t="shared" ref="F40:F42" si="16">IF(D$12=0,0,D40/D$12)</f>
        <v>0</v>
      </c>
      <c r="G40" s="1"/>
      <c r="H40" s="1">
        <f>SUM(OSRRefH22_2x_0)</f>
        <v>100</v>
      </c>
      <c r="I40" s="1"/>
      <c r="J40" s="5">
        <f t="shared" ref="J40:J42" si="17">IF(H$12=0,0,H40/H$12)</f>
        <v>0</v>
      </c>
      <c r="K40" s="1"/>
      <c r="L40" s="1">
        <f t="shared" ref="L40:L42" si="18">+D40-H40</f>
        <v>-89.62</v>
      </c>
      <c r="M40" s="1"/>
      <c r="N40" s="5">
        <f t="shared" ref="N40:N42" si="19">IF(H40=0,0,L40/H40)</f>
        <v>-0.8962</v>
      </c>
      <c r="O40" s="14"/>
      <c r="P40" s="1">
        <f>SUM(OSRRefP22_2x_0)</f>
        <v>78.209999999999994</v>
      </c>
      <c r="Q40" s="1"/>
      <c r="R40" s="5">
        <f t="shared" ref="R40:R42" si="20">IF(P$12=0,0,P40/P$12)</f>
        <v>0</v>
      </c>
      <c r="S40" s="1"/>
      <c r="T40" s="1">
        <f>SUM(OSRRefT22_2x_0)</f>
        <v>300</v>
      </c>
      <c r="U40" s="1"/>
      <c r="V40" s="5">
        <f t="shared" ref="V40:V42" si="21">IF(T$12=0,0,T40/T$12)</f>
        <v>0</v>
      </c>
      <c r="W40" s="1"/>
      <c r="X40" s="1">
        <f t="shared" ref="X40:X42" si="22">+P40-T40</f>
        <v>-221.79000000000002</v>
      </c>
      <c r="Y40" s="1"/>
      <c r="Z40" s="5">
        <f t="shared" ref="Z40:Z42" si="23">IF(T40=0,0,X40/T40)</f>
        <v>-0.73930000000000007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6">
        <v>10.38</v>
      </c>
      <c r="E41" s="2"/>
      <c r="F41" s="7">
        <f t="shared" si="16"/>
        <v>0</v>
      </c>
      <c r="G41" s="2"/>
      <c r="H41" s="6">
        <v>50</v>
      </c>
      <c r="I41" s="2"/>
      <c r="J41" s="7">
        <f t="shared" si="17"/>
        <v>0</v>
      </c>
      <c r="K41" s="2"/>
      <c r="L41" s="6">
        <f t="shared" si="18"/>
        <v>-39.619999999999997</v>
      </c>
      <c r="M41" s="2"/>
      <c r="N41" s="7">
        <f t="shared" si="19"/>
        <v>-0.79239999999999999</v>
      </c>
      <c r="O41" s="11"/>
      <c r="P41" s="6">
        <v>78.209999999999994</v>
      </c>
      <c r="Q41" s="2"/>
      <c r="R41" s="7">
        <f t="shared" si="20"/>
        <v>0</v>
      </c>
      <c r="S41" s="2"/>
      <c r="T41" s="6">
        <v>150</v>
      </c>
      <c r="U41" s="2"/>
      <c r="V41" s="7">
        <f t="shared" si="21"/>
        <v>0</v>
      </c>
      <c r="W41" s="2"/>
      <c r="X41" s="6">
        <f t="shared" si="22"/>
        <v>-71.790000000000006</v>
      </c>
      <c r="Y41" s="2"/>
      <c r="Z41" s="7">
        <f t="shared" si="23"/>
        <v>-0.47860000000000003</v>
      </c>
    </row>
    <row r="42" spans="1:26" s="24" customFormat="1" hidden="1" outlineLevel="2" x14ac:dyDescent="0.25">
      <c r="A42" s="29"/>
      <c r="B42" s="11" t="str">
        <f>CONCATENATE("          ", "6342", " - ", "BAD DEBT")</f>
        <v xml:space="preserve">          6342 - BAD DEBT</v>
      </c>
      <c r="C42" s="11"/>
      <c r="D42" s="6"/>
      <c r="E42" s="2"/>
      <c r="F42" s="7">
        <f t="shared" si="16"/>
        <v>0</v>
      </c>
      <c r="G42" s="2"/>
      <c r="H42" s="6">
        <v>50</v>
      </c>
      <c r="I42" s="2"/>
      <c r="J42" s="7">
        <f t="shared" si="17"/>
        <v>0</v>
      </c>
      <c r="K42" s="2"/>
      <c r="L42" s="6">
        <f t="shared" si="18"/>
        <v>-50</v>
      </c>
      <c r="M42" s="2"/>
      <c r="N42" s="7">
        <f t="shared" si="19"/>
        <v>-1</v>
      </c>
      <c r="O42" s="11"/>
      <c r="P42" s="6"/>
      <c r="Q42" s="2"/>
      <c r="R42" s="7">
        <f t="shared" si="20"/>
        <v>0</v>
      </c>
      <c r="S42" s="2"/>
      <c r="T42" s="6">
        <v>150</v>
      </c>
      <c r="U42" s="2"/>
      <c r="V42" s="7">
        <f t="shared" si="21"/>
        <v>0</v>
      </c>
      <c r="W42" s="2"/>
      <c r="X42" s="6">
        <f t="shared" si="22"/>
        <v>-150</v>
      </c>
      <c r="Y42" s="2"/>
      <c r="Z42" s="7">
        <f t="shared" si="23"/>
        <v>-1</v>
      </c>
    </row>
    <row r="43" spans="1:26" s="28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8743.77</v>
      </c>
      <c r="E43" s="1"/>
      <c r="F43" s="5">
        <f t="shared" ref="F43:F47" si="24">IF(D$12=0,0,D43/D$12)</f>
        <v>0</v>
      </c>
      <c r="G43" s="1"/>
      <c r="H43" s="1">
        <f>SUM(OSRRefH22_3x_0)</f>
        <v>31000</v>
      </c>
      <c r="I43" s="1"/>
      <c r="J43" s="5">
        <f t="shared" ref="J43:J47" si="25">IF(H$12=0,0,H43/H$12)</f>
        <v>0</v>
      </c>
      <c r="K43" s="1"/>
      <c r="L43" s="1">
        <f t="shared" ref="L43:L47" si="26">+D43-H43</f>
        <v>-22256.23</v>
      </c>
      <c r="M43" s="1"/>
      <c r="N43" s="5">
        <f t="shared" ref="N43:N47" si="27">IF(H43=0,0,L43/H43)</f>
        <v>-0.71794290322580645</v>
      </c>
      <c r="O43" s="14"/>
      <c r="P43" s="1">
        <f>SUM(OSRRefP22_3x_0)</f>
        <v>33181.599999999999</v>
      </c>
      <c r="Q43" s="1"/>
      <c r="R43" s="5">
        <f t="shared" ref="R43:R47" si="28">IF(P$12=0,0,P43/P$12)</f>
        <v>0</v>
      </c>
      <c r="S43" s="1"/>
      <c r="T43" s="1">
        <f>SUM(OSRRefT22_3x_0)</f>
        <v>68000</v>
      </c>
      <c r="U43" s="1"/>
      <c r="V43" s="5">
        <f t="shared" ref="V43:V47" si="29">IF(T$12=0,0,T43/T$12)</f>
        <v>0</v>
      </c>
      <c r="W43" s="1"/>
      <c r="X43" s="1">
        <f t="shared" ref="X43:X47" si="30">+P43-T43</f>
        <v>-34818.400000000001</v>
      </c>
      <c r="Y43" s="1"/>
      <c r="Z43" s="5">
        <f t="shared" ref="Z43:Z47" si="31">IF(T43=0,0,X43/T43)</f>
        <v>-0.51203529411764703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6">
        <v>8743.77</v>
      </c>
      <c r="E44" s="2"/>
      <c r="F44" s="7">
        <f t="shared" si="24"/>
        <v>0</v>
      </c>
      <c r="G44" s="2"/>
      <c r="H44" s="6">
        <v>31000</v>
      </c>
      <c r="I44" s="2"/>
      <c r="J44" s="7">
        <f t="shared" si="25"/>
        <v>0</v>
      </c>
      <c r="K44" s="2"/>
      <c r="L44" s="6">
        <f t="shared" si="26"/>
        <v>-22256.23</v>
      </c>
      <c r="M44" s="2"/>
      <c r="N44" s="7">
        <f t="shared" si="27"/>
        <v>-0.71794290322580645</v>
      </c>
      <c r="O44" s="11"/>
      <c r="P44" s="6">
        <v>33181.599999999999</v>
      </c>
      <c r="Q44" s="2"/>
      <c r="R44" s="7">
        <f t="shared" si="28"/>
        <v>0</v>
      </c>
      <c r="S44" s="2"/>
      <c r="T44" s="6">
        <v>68000</v>
      </c>
      <c r="U44" s="2"/>
      <c r="V44" s="7">
        <f t="shared" si="29"/>
        <v>0</v>
      </c>
      <c r="W44" s="2"/>
      <c r="X44" s="6">
        <f t="shared" si="30"/>
        <v>-34818.400000000001</v>
      </c>
      <c r="Y44" s="2"/>
      <c r="Z44" s="7">
        <f t="shared" si="31"/>
        <v>-0.51203529411764703</v>
      </c>
    </row>
    <row r="45" spans="1:26" s="28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30896.959999999999</v>
      </c>
      <c r="E45" s="1"/>
      <c r="F45" s="5">
        <f t="shared" si="24"/>
        <v>0</v>
      </c>
      <c r="G45" s="1"/>
      <c r="H45" s="1">
        <f>SUM(OSRRefH22_4x_0)</f>
        <v>30460</v>
      </c>
      <c r="I45" s="1"/>
      <c r="J45" s="5">
        <f t="shared" si="25"/>
        <v>0</v>
      </c>
      <c r="K45" s="1"/>
      <c r="L45" s="1">
        <f t="shared" si="26"/>
        <v>436.95999999999913</v>
      </c>
      <c r="M45" s="1"/>
      <c r="N45" s="5">
        <f t="shared" si="27"/>
        <v>1.434537097833221E-2</v>
      </c>
      <c r="O45" s="14"/>
      <c r="P45" s="1">
        <f>SUM(OSRRefP22_4x_0)</f>
        <v>91993.39</v>
      </c>
      <c r="Q45" s="1"/>
      <c r="R45" s="5">
        <f t="shared" si="28"/>
        <v>0</v>
      </c>
      <c r="S45" s="1"/>
      <c r="T45" s="1">
        <f>SUM(OSRRefT22_4x_0)</f>
        <v>91380</v>
      </c>
      <c r="U45" s="1"/>
      <c r="V45" s="5">
        <f t="shared" si="29"/>
        <v>0</v>
      </c>
      <c r="W45" s="1"/>
      <c r="X45" s="1">
        <f t="shared" si="30"/>
        <v>613.38999999999942</v>
      </c>
      <c r="Y45" s="1"/>
      <c r="Z45" s="5">
        <f t="shared" si="31"/>
        <v>6.7125191507988553E-3</v>
      </c>
    </row>
    <row r="46" spans="1:26" s="24" customFormat="1" hidden="1" outlineLevel="2" x14ac:dyDescent="0.25">
      <c r="A46" s="29"/>
      <c r="B46" s="11" t="str">
        <f>CONCATENATE("          ", "6321", " - ", "BUILDING DEPRECIATION")</f>
        <v xml:space="preserve">          6321 - BUILDING DEPRECIATION</v>
      </c>
      <c r="C46" s="11"/>
      <c r="D46" s="6">
        <v>16396.52</v>
      </c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16396.52</v>
      </c>
      <c r="M46" s="2"/>
      <c r="N46" s="7">
        <f t="shared" si="27"/>
        <v>0</v>
      </c>
      <c r="O46" s="11"/>
      <c r="P46" s="6">
        <v>49189.56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49189.56</v>
      </c>
      <c r="Y46" s="2"/>
      <c r="Z46" s="7">
        <f t="shared" si="31"/>
        <v>0</v>
      </c>
    </row>
    <row r="47" spans="1:26" s="24" customFormat="1" hidden="1" outlineLevel="2" x14ac:dyDescent="0.25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14500.44</v>
      </c>
      <c r="E47" s="2"/>
      <c r="F47" s="7">
        <f t="shared" si="24"/>
        <v>0</v>
      </c>
      <c r="G47" s="2"/>
      <c r="H47" s="6">
        <v>30460</v>
      </c>
      <c r="I47" s="2"/>
      <c r="J47" s="7">
        <f t="shared" si="25"/>
        <v>0</v>
      </c>
      <c r="K47" s="2"/>
      <c r="L47" s="6">
        <f t="shared" si="26"/>
        <v>-15959.56</v>
      </c>
      <c r="M47" s="2"/>
      <c r="N47" s="7">
        <f t="shared" si="27"/>
        <v>-0.52395141168745896</v>
      </c>
      <c r="O47" s="11"/>
      <c r="P47" s="6">
        <v>42803.83</v>
      </c>
      <c r="Q47" s="2"/>
      <c r="R47" s="7">
        <f t="shared" si="28"/>
        <v>0</v>
      </c>
      <c r="S47" s="2"/>
      <c r="T47" s="6">
        <v>91380</v>
      </c>
      <c r="U47" s="2"/>
      <c r="V47" s="7">
        <f t="shared" si="29"/>
        <v>0</v>
      </c>
      <c r="W47" s="2"/>
      <c r="X47" s="6">
        <f t="shared" si="30"/>
        <v>-48576.17</v>
      </c>
      <c r="Y47" s="2"/>
      <c r="Z47" s="7">
        <f t="shared" si="31"/>
        <v>-0.53158426351499233</v>
      </c>
    </row>
    <row r="48" spans="1:26" s="28" customFormat="1" outlineLevel="1" collapsed="1" x14ac:dyDescent="0.25">
      <c r="A48" s="27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SUM(OSRRefD22_5x_0)</f>
        <v>0</v>
      </c>
      <c r="E48" s="1"/>
      <c r="F48" s="5">
        <f t="shared" ref="F48:F68" si="32">IF(D$12=0,0,D48/D$12)</f>
        <v>0</v>
      </c>
      <c r="G48" s="1"/>
      <c r="H48" s="1">
        <f>SUM(OSRRefH22_5x_0)</f>
        <v>1000</v>
      </c>
      <c r="I48" s="1"/>
      <c r="J48" s="5">
        <f t="shared" ref="J48:J68" si="33">IF(H$12=0,0,H48/H$12)</f>
        <v>0</v>
      </c>
      <c r="K48" s="1"/>
      <c r="L48" s="1">
        <f t="shared" ref="L48:L68" si="34">+D48-H48</f>
        <v>-1000</v>
      </c>
      <c r="M48" s="1"/>
      <c r="N48" s="5">
        <f t="shared" ref="N48:N68" si="35">IF(H48=0,0,L48/H48)</f>
        <v>-1</v>
      </c>
      <c r="O48" s="14"/>
      <c r="P48" s="1">
        <f>SUM(OSRRefP22_5x_0)</f>
        <v>0</v>
      </c>
      <c r="Q48" s="1"/>
      <c r="R48" s="5">
        <f t="shared" ref="R48:R68" si="36">IF(P$12=0,0,P48/P$12)</f>
        <v>0</v>
      </c>
      <c r="S48" s="1"/>
      <c r="T48" s="1">
        <f>SUM(OSRRefT22_5x_0)</f>
        <v>3000</v>
      </c>
      <c r="U48" s="1"/>
      <c r="V48" s="5">
        <f t="shared" ref="V48:V68" si="37">IF(T$12=0,0,T48/T$12)</f>
        <v>0</v>
      </c>
      <c r="W48" s="1"/>
      <c r="X48" s="1">
        <f t="shared" ref="X48:X68" si="38">+P48-T48</f>
        <v>-3000</v>
      </c>
      <c r="Y48" s="1"/>
      <c r="Z48" s="5">
        <f t="shared" ref="Z48:Z68" si="39">IF(T48=0,0,X48/T48)</f>
        <v>-1</v>
      </c>
    </row>
    <row r="49" spans="1:26" s="24" customFormat="1" hidden="1" outlineLevel="2" x14ac:dyDescent="0.25">
      <c r="A49" s="29"/>
      <c r="B49" s="11" t="str">
        <f>CONCATENATE("          ", "6399", " - ", "DONATION-ON CAMPUS")</f>
        <v xml:space="preserve">          6399 - DONATION-ON CAMPUS</v>
      </c>
      <c r="C49" s="11"/>
      <c r="D49" s="6"/>
      <c r="E49" s="2"/>
      <c r="F49" s="7">
        <f t="shared" si="32"/>
        <v>0</v>
      </c>
      <c r="G49" s="2"/>
      <c r="H49" s="6">
        <v>1000</v>
      </c>
      <c r="I49" s="2"/>
      <c r="J49" s="7">
        <f t="shared" si="33"/>
        <v>0</v>
      </c>
      <c r="K49" s="2"/>
      <c r="L49" s="6">
        <f t="shared" si="34"/>
        <v>-1000</v>
      </c>
      <c r="M49" s="2"/>
      <c r="N49" s="7">
        <f t="shared" si="35"/>
        <v>-1</v>
      </c>
      <c r="O49" s="11"/>
      <c r="P49" s="6"/>
      <c r="Q49" s="2"/>
      <c r="R49" s="7">
        <f t="shared" si="36"/>
        <v>0</v>
      </c>
      <c r="S49" s="2"/>
      <c r="T49" s="6">
        <v>3000</v>
      </c>
      <c r="U49" s="2"/>
      <c r="V49" s="7">
        <f t="shared" si="37"/>
        <v>0</v>
      </c>
      <c r="W49" s="2"/>
      <c r="X49" s="6">
        <f t="shared" si="38"/>
        <v>-3000</v>
      </c>
      <c r="Y49" s="2"/>
      <c r="Z49" s="7">
        <f t="shared" si="39"/>
        <v>-1</v>
      </c>
    </row>
    <row r="50" spans="1:26" s="28" customFormat="1" outlineLevel="1" collapsed="1" x14ac:dyDescent="0.25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SUM(OSRRefD22_6x_0)</f>
        <v>0</v>
      </c>
      <c r="E50" s="1"/>
      <c r="F50" s="5">
        <f t="shared" si="32"/>
        <v>0</v>
      </c>
      <c r="G50" s="1"/>
      <c r="H50" s="1">
        <f>SUM(OSRRefH22_6x_0)</f>
        <v>125</v>
      </c>
      <c r="I50" s="1"/>
      <c r="J50" s="5">
        <f t="shared" si="33"/>
        <v>0</v>
      </c>
      <c r="K50" s="1"/>
      <c r="L50" s="1">
        <f t="shared" si="34"/>
        <v>-125</v>
      </c>
      <c r="M50" s="1"/>
      <c r="N50" s="5">
        <f t="shared" si="35"/>
        <v>-1</v>
      </c>
      <c r="O50" s="14"/>
      <c r="P50" s="1">
        <f>SUM(OSRRefP22_6x_0)</f>
        <v>0</v>
      </c>
      <c r="Q50" s="1"/>
      <c r="R50" s="5">
        <f t="shared" si="36"/>
        <v>0</v>
      </c>
      <c r="S50" s="1"/>
      <c r="T50" s="1">
        <f>SUM(OSRRefT22_6x_0)</f>
        <v>425</v>
      </c>
      <c r="U50" s="1"/>
      <c r="V50" s="5">
        <f t="shared" si="37"/>
        <v>0</v>
      </c>
      <c r="W50" s="1"/>
      <c r="X50" s="1">
        <f t="shared" si="38"/>
        <v>-425</v>
      </c>
      <c r="Y50" s="1"/>
      <c r="Z50" s="5">
        <f t="shared" si="39"/>
        <v>-1</v>
      </c>
    </row>
    <row r="51" spans="1:26" s="24" customFormat="1" hidden="1" outlineLevel="2" x14ac:dyDescent="0.25">
      <c r="A51" s="29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32"/>
        <v>0</v>
      </c>
      <c r="G51" s="2"/>
      <c r="H51" s="6">
        <v>125</v>
      </c>
      <c r="I51" s="2"/>
      <c r="J51" s="7">
        <f t="shared" si="33"/>
        <v>0</v>
      </c>
      <c r="K51" s="2"/>
      <c r="L51" s="6">
        <f t="shared" si="34"/>
        <v>-125</v>
      </c>
      <c r="M51" s="2"/>
      <c r="N51" s="7">
        <f t="shared" si="35"/>
        <v>-1</v>
      </c>
      <c r="O51" s="11"/>
      <c r="P51" s="6"/>
      <c r="Q51" s="2"/>
      <c r="R51" s="7">
        <f t="shared" si="36"/>
        <v>0</v>
      </c>
      <c r="S51" s="2"/>
      <c r="T51" s="6">
        <v>425</v>
      </c>
      <c r="U51" s="2"/>
      <c r="V51" s="7">
        <f t="shared" si="37"/>
        <v>0</v>
      </c>
      <c r="W51" s="2"/>
      <c r="X51" s="6">
        <f t="shared" si="38"/>
        <v>-425</v>
      </c>
      <c r="Y51" s="2"/>
      <c r="Z51" s="7">
        <f t="shared" si="39"/>
        <v>-1</v>
      </c>
    </row>
    <row r="52" spans="1:26" s="28" customFormat="1" outlineLevel="1" collapsed="1" x14ac:dyDescent="0.25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SUM(OSRRefD22_7x_0)</f>
        <v>415.15</v>
      </c>
      <c r="E52" s="1"/>
      <c r="F52" s="5">
        <f t="shared" si="32"/>
        <v>0</v>
      </c>
      <c r="G52" s="1"/>
      <c r="H52" s="1">
        <f>SUM(OSRRefH22_7x_0)</f>
        <v>1700</v>
      </c>
      <c r="I52" s="1"/>
      <c r="J52" s="5">
        <f t="shared" si="33"/>
        <v>0</v>
      </c>
      <c r="K52" s="1"/>
      <c r="L52" s="1">
        <f t="shared" si="34"/>
        <v>-1284.8499999999999</v>
      </c>
      <c r="M52" s="1"/>
      <c r="N52" s="5">
        <f t="shared" si="35"/>
        <v>-0.75579411764705873</v>
      </c>
      <c r="O52" s="14"/>
      <c r="P52" s="1">
        <f>SUM(OSRRefP22_7x_0)</f>
        <v>597.66999999999996</v>
      </c>
      <c r="Q52" s="1"/>
      <c r="R52" s="5">
        <f t="shared" si="36"/>
        <v>0</v>
      </c>
      <c r="S52" s="1"/>
      <c r="T52" s="1">
        <f>SUM(OSRRefT22_7x_0)</f>
        <v>5100</v>
      </c>
      <c r="U52" s="1"/>
      <c r="V52" s="5">
        <f t="shared" si="37"/>
        <v>0</v>
      </c>
      <c r="W52" s="1"/>
      <c r="X52" s="1">
        <f t="shared" si="38"/>
        <v>-4502.33</v>
      </c>
      <c r="Y52" s="1"/>
      <c r="Z52" s="5">
        <f t="shared" si="39"/>
        <v>-0.8828098039215686</v>
      </c>
    </row>
    <row r="53" spans="1:26" s="24" customFormat="1" hidden="1" outlineLevel="2" x14ac:dyDescent="0.25">
      <c r="A53" s="29"/>
      <c r="B53" s="11" t="str">
        <f>CONCATENATE("          ", "6351", " - ", "EQUIPMENT RENTAL")</f>
        <v xml:space="preserve">          6351 - EQUIPMENT RENTAL</v>
      </c>
      <c r="C53" s="11"/>
      <c r="D53" s="6">
        <v>415.15</v>
      </c>
      <c r="E53" s="2"/>
      <c r="F53" s="7">
        <f t="shared" si="32"/>
        <v>0</v>
      </c>
      <c r="G53" s="2"/>
      <c r="H53" s="6">
        <v>1700</v>
      </c>
      <c r="I53" s="2"/>
      <c r="J53" s="7">
        <f t="shared" si="33"/>
        <v>0</v>
      </c>
      <c r="K53" s="2"/>
      <c r="L53" s="6">
        <f t="shared" si="34"/>
        <v>-1284.8499999999999</v>
      </c>
      <c r="M53" s="2"/>
      <c r="N53" s="7">
        <f t="shared" si="35"/>
        <v>-0.75579411764705873</v>
      </c>
      <c r="O53" s="11"/>
      <c r="P53" s="6">
        <v>597.66999999999996</v>
      </c>
      <c r="Q53" s="2"/>
      <c r="R53" s="7">
        <f t="shared" si="36"/>
        <v>0</v>
      </c>
      <c r="S53" s="2"/>
      <c r="T53" s="6">
        <v>5100</v>
      </c>
      <c r="U53" s="2"/>
      <c r="V53" s="7">
        <f t="shared" si="37"/>
        <v>0</v>
      </c>
      <c r="W53" s="2"/>
      <c r="X53" s="6">
        <f t="shared" si="38"/>
        <v>-4502.33</v>
      </c>
      <c r="Y53" s="2"/>
      <c r="Z53" s="7">
        <f t="shared" si="39"/>
        <v>-0.8828098039215686</v>
      </c>
    </row>
    <row r="54" spans="1:26" s="28" customFormat="1" outlineLevel="1" collapsed="1" x14ac:dyDescent="0.25">
      <c r="A54" s="27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SUM(OSRRefD22_8x_0)</f>
        <v>315.95</v>
      </c>
      <c r="E54" s="1"/>
      <c r="F54" s="5">
        <f t="shared" si="32"/>
        <v>0</v>
      </c>
      <c r="G54" s="1"/>
      <c r="H54" s="1">
        <f>SUM(OSRRefH22_8x_0)</f>
        <v>10</v>
      </c>
      <c r="I54" s="1"/>
      <c r="J54" s="5">
        <f t="shared" si="33"/>
        <v>0</v>
      </c>
      <c r="K54" s="1"/>
      <c r="L54" s="1">
        <f t="shared" si="34"/>
        <v>305.95</v>
      </c>
      <c r="M54" s="1"/>
      <c r="N54" s="5">
        <f t="shared" si="35"/>
        <v>30.594999999999999</v>
      </c>
      <c r="O54" s="14"/>
      <c r="P54" s="1">
        <f>SUM(OSRRefP22_8x_0)</f>
        <v>631.9</v>
      </c>
      <c r="Q54" s="1"/>
      <c r="R54" s="5">
        <f t="shared" si="36"/>
        <v>0</v>
      </c>
      <c r="S54" s="1"/>
      <c r="T54" s="1">
        <f>SUM(OSRRefT22_8x_0)</f>
        <v>30</v>
      </c>
      <c r="U54" s="1"/>
      <c r="V54" s="5">
        <f t="shared" si="37"/>
        <v>0</v>
      </c>
      <c r="W54" s="1"/>
      <c r="X54" s="1">
        <f t="shared" si="38"/>
        <v>601.9</v>
      </c>
      <c r="Y54" s="1"/>
      <c r="Z54" s="5">
        <f t="shared" si="39"/>
        <v>20.063333333333333</v>
      </c>
    </row>
    <row r="55" spans="1:26" s="24" customFormat="1" hidden="1" outlineLevel="2" x14ac:dyDescent="0.25">
      <c r="A55" s="29"/>
      <c r="B55" s="11" t="str">
        <f>CONCATENATE("          ", "6307", " - ", "POSTAGE")</f>
        <v xml:space="preserve">          6307 - POSTAGE</v>
      </c>
      <c r="C55" s="11"/>
      <c r="D55" s="6">
        <v>315.95</v>
      </c>
      <c r="E55" s="2"/>
      <c r="F55" s="7">
        <f t="shared" si="32"/>
        <v>0</v>
      </c>
      <c r="G55" s="2"/>
      <c r="H55" s="6">
        <v>10</v>
      </c>
      <c r="I55" s="2"/>
      <c r="J55" s="7">
        <f t="shared" si="33"/>
        <v>0</v>
      </c>
      <c r="K55" s="2"/>
      <c r="L55" s="6">
        <f t="shared" si="34"/>
        <v>305.95</v>
      </c>
      <c r="M55" s="2"/>
      <c r="N55" s="7">
        <f t="shared" si="35"/>
        <v>30.594999999999999</v>
      </c>
      <c r="O55" s="11"/>
      <c r="P55" s="6">
        <v>631.9</v>
      </c>
      <c r="Q55" s="2"/>
      <c r="R55" s="7">
        <f t="shared" si="36"/>
        <v>0</v>
      </c>
      <c r="S55" s="2"/>
      <c r="T55" s="6">
        <v>30</v>
      </c>
      <c r="U55" s="2"/>
      <c r="V55" s="7">
        <f t="shared" si="37"/>
        <v>0</v>
      </c>
      <c r="W55" s="2"/>
      <c r="X55" s="6">
        <f t="shared" si="38"/>
        <v>601.9</v>
      </c>
      <c r="Y55" s="2"/>
      <c r="Z55" s="7">
        <f t="shared" si="39"/>
        <v>20.063333333333333</v>
      </c>
    </row>
    <row r="56" spans="1:26" s="28" customFormat="1" outlineLevel="1" collapsed="1" x14ac:dyDescent="0.25">
      <c r="A56" s="27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SUM(OSRRefD22_9x_0)</f>
        <v>0</v>
      </c>
      <c r="E56" s="1"/>
      <c r="F56" s="5">
        <f t="shared" si="32"/>
        <v>0</v>
      </c>
      <c r="G56" s="1"/>
      <c r="H56" s="1">
        <f>SUM(OSRRefH22_9x_0)</f>
        <v>500</v>
      </c>
      <c r="I56" s="1"/>
      <c r="J56" s="5">
        <f t="shared" si="33"/>
        <v>0</v>
      </c>
      <c r="K56" s="1"/>
      <c r="L56" s="1">
        <f t="shared" si="34"/>
        <v>-500</v>
      </c>
      <c r="M56" s="1"/>
      <c r="N56" s="5">
        <f t="shared" si="35"/>
        <v>-1</v>
      </c>
      <c r="O56" s="14"/>
      <c r="P56" s="1">
        <f>SUM(OSRRefP22_9x_0)</f>
        <v>867.81</v>
      </c>
      <c r="Q56" s="1"/>
      <c r="R56" s="5">
        <f t="shared" si="36"/>
        <v>0</v>
      </c>
      <c r="S56" s="1"/>
      <c r="T56" s="1">
        <f>SUM(OSRRefT22_9x_0)</f>
        <v>1500</v>
      </c>
      <c r="U56" s="1"/>
      <c r="V56" s="5">
        <f t="shared" si="37"/>
        <v>0</v>
      </c>
      <c r="W56" s="1"/>
      <c r="X56" s="1">
        <f t="shared" si="38"/>
        <v>-632.19000000000005</v>
      </c>
      <c r="Y56" s="1"/>
      <c r="Z56" s="5">
        <f t="shared" si="39"/>
        <v>-0.42146000000000006</v>
      </c>
    </row>
    <row r="57" spans="1:26" s="24" customFormat="1" hidden="1" outlineLevel="2" x14ac:dyDescent="0.25">
      <c r="A57" s="29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32"/>
        <v>0</v>
      </c>
      <c r="G57" s="2"/>
      <c r="H57" s="6">
        <v>500</v>
      </c>
      <c r="I57" s="2"/>
      <c r="J57" s="7">
        <f t="shared" si="33"/>
        <v>0</v>
      </c>
      <c r="K57" s="2"/>
      <c r="L57" s="6">
        <f t="shared" si="34"/>
        <v>-500</v>
      </c>
      <c r="M57" s="2"/>
      <c r="N57" s="7">
        <f t="shared" si="35"/>
        <v>-1</v>
      </c>
      <c r="O57" s="11"/>
      <c r="P57" s="6">
        <v>867.81</v>
      </c>
      <c r="Q57" s="2"/>
      <c r="R57" s="7">
        <f t="shared" si="36"/>
        <v>0</v>
      </c>
      <c r="S57" s="2"/>
      <c r="T57" s="6">
        <v>1500</v>
      </c>
      <c r="U57" s="2"/>
      <c r="V57" s="7">
        <f t="shared" si="37"/>
        <v>0</v>
      </c>
      <c r="W57" s="2"/>
      <c r="X57" s="6">
        <f t="shared" si="38"/>
        <v>-632.19000000000005</v>
      </c>
      <c r="Y57" s="2"/>
      <c r="Z57" s="7">
        <f t="shared" si="39"/>
        <v>-0.42146000000000006</v>
      </c>
    </row>
    <row r="58" spans="1:26" s="28" customFormat="1" outlineLevel="1" collapsed="1" x14ac:dyDescent="0.25">
      <c r="A58" s="27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SUM(OSRRefD22_10x_0)</f>
        <v>3883.56</v>
      </c>
      <c r="E58" s="1"/>
      <c r="F58" s="5">
        <f t="shared" si="32"/>
        <v>0</v>
      </c>
      <c r="G58" s="1"/>
      <c r="H58" s="1">
        <f>SUM(OSRRefH22_10x_0)</f>
        <v>4270</v>
      </c>
      <c r="I58" s="1"/>
      <c r="J58" s="5">
        <f t="shared" si="33"/>
        <v>0</v>
      </c>
      <c r="K58" s="1"/>
      <c r="L58" s="1">
        <f t="shared" si="34"/>
        <v>-386.44000000000005</v>
      </c>
      <c r="M58" s="1"/>
      <c r="N58" s="5">
        <f t="shared" si="35"/>
        <v>-9.0501170960187366E-2</v>
      </c>
      <c r="O58" s="14"/>
      <c r="P58" s="1">
        <f>SUM(OSRRefP22_10x_0)</f>
        <v>11650.68</v>
      </c>
      <c r="Q58" s="1"/>
      <c r="R58" s="5">
        <f t="shared" si="36"/>
        <v>0</v>
      </c>
      <c r="S58" s="1"/>
      <c r="T58" s="1">
        <f>SUM(OSRRefT22_10x_0)</f>
        <v>12810</v>
      </c>
      <c r="U58" s="1"/>
      <c r="V58" s="5">
        <f t="shared" si="37"/>
        <v>0</v>
      </c>
      <c r="W58" s="1"/>
      <c r="X58" s="1">
        <f t="shared" si="38"/>
        <v>-1159.3199999999997</v>
      </c>
      <c r="Y58" s="1"/>
      <c r="Z58" s="5">
        <f t="shared" si="39"/>
        <v>-9.0501170960187324E-2</v>
      </c>
    </row>
    <row r="59" spans="1:26" s="24" customFormat="1" hidden="1" outlineLevel="2" x14ac:dyDescent="0.25">
      <c r="A59" s="29"/>
      <c r="B59" s="11" t="str">
        <f>CONCATENATE("          ", "6314", " - ", "LIABILITY INSURANCE")</f>
        <v xml:space="preserve">          6314 - LIABILITY INSURANCE</v>
      </c>
      <c r="C59" s="11"/>
      <c r="D59" s="6">
        <v>3883.56</v>
      </c>
      <c r="E59" s="2"/>
      <c r="F59" s="7">
        <f t="shared" si="32"/>
        <v>0</v>
      </c>
      <c r="G59" s="2"/>
      <c r="H59" s="6">
        <v>4270</v>
      </c>
      <c r="I59" s="2"/>
      <c r="J59" s="7">
        <f t="shared" si="33"/>
        <v>0</v>
      </c>
      <c r="K59" s="2"/>
      <c r="L59" s="6">
        <f t="shared" si="34"/>
        <v>-386.44000000000005</v>
      </c>
      <c r="M59" s="2"/>
      <c r="N59" s="7">
        <f t="shared" si="35"/>
        <v>-9.0501170960187366E-2</v>
      </c>
      <c r="O59" s="11"/>
      <c r="P59" s="6">
        <v>11650.68</v>
      </c>
      <c r="Q59" s="2"/>
      <c r="R59" s="7">
        <f t="shared" si="36"/>
        <v>0</v>
      </c>
      <c r="S59" s="2"/>
      <c r="T59" s="6">
        <v>12810</v>
      </c>
      <c r="U59" s="2"/>
      <c r="V59" s="7">
        <f t="shared" si="37"/>
        <v>0</v>
      </c>
      <c r="W59" s="2"/>
      <c r="X59" s="6">
        <f t="shared" si="38"/>
        <v>-1159.3199999999997</v>
      </c>
      <c r="Y59" s="2"/>
      <c r="Z59" s="7">
        <f t="shared" si="39"/>
        <v>-9.0501170960187324E-2</v>
      </c>
    </row>
    <row r="60" spans="1:26" s="28" customFormat="1" outlineLevel="1" collapsed="1" x14ac:dyDescent="0.25">
      <c r="A60" s="27"/>
      <c r="B60" s="14" t="str">
        <f>CONCATENATE("     ","Inventory Adjustment                              ")</f>
        <v xml:space="preserve">     Inventory Adjustment                              </v>
      </c>
      <c r="C60" s="14"/>
      <c r="D60" s="1">
        <f>SUM(OSRRefD22_11x_0)</f>
        <v>0</v>
      </c>
      <c r="E60" s="1"/>
      <c r="F60" s="5">
        <f t="shared" si="32"/>
        <v>0</v>
      </c>
      <c r="G60" s="1"/>
      <c r="H60" s="1">
        <f>SUM(OSRRefH22_11x_0)</f>
        <v>1000</v>
      </c>
      <c r="I60" s="1"/>
      <c r="J60" s="5">
        <f t="shared" si="33"/>
        <v>0</v>
      </c>
      <c r="K60" s="1"/>
      <c r="L60" s="1">
        <f t="shared" si="34"/>
        <v>-1000</v>
      </c>
      <c r="M60" s="1"/>
      <c r="N60" s="5">
        <f t="shared" si="35"/>
        <v>-1</v>
      </c>
      <c r="O60" s="14"/>
      <c r="P60" s="1">
        <f>SUM(OSRRefP22_11x_0)</f>
        <v>0</v>
      </c>
      <c r="Q60" s="1"/>
      <c r="R60" s="5">
        <f t="shared" si="36"/>
        <v>0</v>
      </c>
      <c r="S60" s="1"/>
      <c r="T60" s="1">
        <f>SUM(OSRRefT22_11x_0)</f>
        <v>3000</v>
      </c>
      <c r="U60" s="1"/>
      <c r="V60" s="5">
        <f t="shared" si="37"/>
        <v>0</v>
      </c>
      <c r="W60" s="1"/>
      <c r="X60" s="1">
        <f t="shared" si="38"/>
        <v>-3000</v>
      </c>
      <c r="Y60" s="1"/>
      <c r="Z60" s="5">
        <f t="shared" si="39"/>
        <v>-1</v>
      </c>
    </row>
    <row r="61" spans="1:26" s="24" customFormat="1" hidden="1" outlineLevel="2" x14ac:dyDescent="0.25">
      <c r="A61" s="29"/>
      <c r="B61" s="11" t="str">
        <f>CONCATENATE("          ", "6408", " - ", "INVENTORY ADJUSTMENT")</f>
        <v xml:space="preserve">          6408 - INVENTORY ADJUSTMENT</v>
      </c>
      <c r="C61" s="11"/>
      <c r="D61" s="6"/>
      <c r="E61" s="2"/>
      <c r="F61" s="7">
        <f t="shared" si="32"/>
        <v>0</v>
      </c>
      <c r="G61" s="2"/>
      <c r="H61" s="6">
        <v>1000</v>
      </c>
      <c r="I61" s="2"/>
      <c r="J61" s="7">
        <f t="shared" si="33"/>
        <v>0</v>
      </c>
      <c r="K61" s="2"/>
      <c r="L61" s="6">
        <f t="shared" si="34"/>
        <v>-1000</v>
      </c>
      <c r="M61" s="2"/>
      <c r="N61" s="7">
        <f t="shared" si="35"/>
        <v>-1</v>
      </c>
      <c r="O61" s="11"/>
      <c r="P61" s="6"/>
      <c r="Q61" s="2"/>
      <c r="R61" s="7">
        <f t="shared" si="36"/>
        <v>0</v>
      </c>
      <c r="S61" s="2"/>
      <c r="T61" s="6">
        <v>3000</v>
      </c>
      <c r="U61" s="2"/>
      <c r="V61" s="7">
        <f t="shared" si="37"/>
        <v>0</v>
      </c>
      <c r="W61" s="2"/>
      <c r="X61" s="6">
        <f t="shared" si="38"/>
        <v>-3000</v>
      </c>
      <c r="Y61" s="2"/>
      <c r="Z61" s="7">
        <f t="shared" si="39"/>
        <v>-1</v>
      </c>
    </row>
    <row r="62" spans="1:26" s="28" customFormat="1" outlineLevel="1" collapsed="1" x14ac:dyDescent="0.25">
      <c r="A62" s="27"/>
      <c r="B62" s="14" t="str">
        <f>CONCATENATE("     ","Rent                                              ")</f>
        <v xml:space="preserve">     Rent                                              </v>
      </c>
      <c r="C62" s="14"/>
      <c r="D62" s="1">
        <f>SUM(OSRRefD22_12x_0)</f>
        <v>-800</v>
      </c>
      <c r="E62" s="1"/>
      <c r="F62" s="5">
        <f t="shared" si="32"/>
        <v>0</v>
      </c>
      <c r="G62" s="1"/>
      <c r="H62" s="1">
        <f>SUM(OSRRefH22_12x_0)</f>
        <v>-800</v>
      </c>
      <c r="I62" s="1"/>
      <c r="J62" s="5">
        <f t="shared" si="33"/>
        <v>0</v>
      </c>
      <c r="K62" s="1"/>
      <c r="L62" s="1">
        <f t="shared" si="34"/>
        <v>0</v>
      </c>
      <c r="M62" s="1"/>
      <c r="N62" s="5">
        <f t="shared" si="35"/>
        <v>0</v>
      </c>
      <c r="O62" s="14"/>
      <c r="P62" s="1">
        <f>SUM(OSRRefP22_12x_0)</f>
        <v>-2400</v>
      </c>
      <c r="Q62" s="1"/>
      <c r="R62" s="5">
        <f t="shared" si="36"/>
        <v>0</v>
      </c>
      <c r="S62" s="1"/>
      <c r="T62" s="1">
        <f>SUM(OSRRefT22_12x_0)</f>
        <v>-2400</v>
      </c>
      <c r="U62" s="1"/>
      <c r="V62" s="5">
        <f t="shared" si="37"/>
        <v>0</v>
      </c>
      <c r="W62" s="1"/>
      <c r="X62" s="1">
        <f t="shared" si="38"/>
        <v>0</v>
      </c>
      <c r="Y62" s="1"/>
      <c r="Z62" s="5">
        <f t="shared" si="39"/>
        <v>0</v>
      </c>
    </row>
    <row r="63" spans="1:26" s="24" customFormat="1" hidden="1" outlineLevel="2" x14ac:dyDescent="0.25">
      <c r="A63" s="29"/>
      <c r="B63" s="11" t="str">
        <f>CONCATENATE("          ", "6273", " - ", "RENT")</f>
        <v xml:space="preserve">          6273 - RENT</v>
      </c>
      <c r="C63" s="11"/>
      <c r="D63" s="6">
        <v>-800</v>
      </c>
      <c r="E63" s="2"/>
      <c r="F63" s="7">
        <f t="shared" si="32"/>
        <v>0</v>
      </c>
      <c r="G63" s="2"/>
      <c r="H63" s="6">
        <v>-800</v>
      </c>
      <c r="I63" s="2"/>
      <c r="J63" s="7">
        <f t="shared" si="33"/>
        <v>0</v>
      </c>
      <c r="K63" s="2"/>
      <c r="L63" s="6">
        <f t="shared" si="34"/>
        <v>0</v>
      </c>
      <c r="M63" s="2"/>
      <c r="N63" s="7">
        <f t="shared" si="35"/>
        <v>0</v>
      </c>
      <c r="O63" s="11"/>
      <c r="P63" s="6">
        <v>-2400</v>
      </c>
      <c r="Q63" s="2"/>
      <c r="R63" s="7">
        <f t="shared" si="36"/>
        <v>0</v>
      </c>
      <c r="S63" s="2"/>
      <c r="T63" s="6">
        <v>-2400</v>
      </c>
      <c r="U63" s="2"/>
      <c r="V63" s="7">
        <f t="shared" si="37"/>
        <v>0</v>
      </c>
      <c r="W63" s="2"/>
      <c r="X63" s="6">
        <f t="shared" si="38"/>
        <v>0</v>
      </c>
      <c r="Y63" s="2"/>
      <c r="Z63" s="7">
        <f t="shared" si="39"/>
        <v>0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SUM(OSRRefD22_13x_0)</f>
        <v>5917.67</v>
      </c>
      <c r="E64" s="1"/>
      <c r="F64" s="5">
        <f t="shared" si="32"/>
        <v>0</v>
      </c>
      <c r="G64" s="1"/>
      <c r="H64" s="1">
        <f>SUM(OSRRefH22_13x_0)</f>
        <v>9000</v>
      </c>
      <c r="I64" s="1"/>
      <c r="J64" s="5">
        <f t="shared" si="33"/>
        <v>0</v>
      </c>
      <c r="K64" s="1"/>
      <c r="L64" s="1">
        <f t="shared" si="34"/>
        <v>-3082.33</v>
      </c>
      <c r="M64" s="1"/>
      <c r="N64" s="5">
        <f t="shared" si="35"/>
        <v>-0.34248111111111113</v>
      </c>
      <c r="O64" s="14"/>
      <c r="P64" s="1">
        <f>SUM(OSRRefP22_13x_0)</f>
        <v>67265.88</v>
      </c>
      <c r="Q64" s="1"/>
      <c r="R64" s="5">
        <f t="shared" si="36"/>
        <v>0</v>
      </c>
      <c r="S64" s="1"/>
      <c r="T64" s="1">
        <f>SUM(OSRRefT22_13x_0)</f>
        <v>72000</v>
      </c>
      <c r="U64" s="1"/>
      <c r="V64" s="5">
        <f t="shared" si="37"/>
        <v>0</v>
      </c>
      <c r="W64" s="1"/>
      <c r="X64" s="1">
        <f t="shared" si="38"/>
        <v>-4734.1199999999953</v>
      </c>
      <c r="Y64" s="1"/>
      <c r="Z64" s="5">
        <f t="shared" si="39"/>
        <v>-6.5751666666666597E-2</v>
      </c>
    </row>
    <row r="65" spans="1:26" s="24" customFormat="1" hidden="1" outlineLevel="2" x14ac:dyDescent="0.25">
      <c r="A65" s="29"/>
      <c r="B65" s="11" t="str">
        <f>CONCATENATE("          ", "6371", " - ", "COMPUTER SOFTWARE MAINTENANCE")</f>
        <v xml:space="preserve">          6371 - COMPUTER SOFTWARE MAINTENANCE</v>
      </c>
      <c r="C65" s="11"/>
      <c r="D65" s="6"/>
      <c r="E65" s="2"/>
      <c r="F65" s="7">
        <f t="shared" si="32"/>
        <v>0</v>
      </c>
      <c r="G65" s="2"/>
      <c r="H65" s="6"/>
      <c r="I65" s="2"/>
      <c r="J65" s="7">
        <f t="shared" si="33"/>
        <v>0</v>
      </c>
      <c r="K65" s="2"/>
      <c r="L65" s="6">
        <f t="shared" si="34"/>
        <v>0</v>
      </c>
      <c r="M65" s="2"/>
      <c r="N65" s="7">
        <f t="shared" si="35"/>
        <v>0</v>
      </c>
      <c r="O65" s="11"/>
      <c r="P65" s="6">
        <v>58428.780000000006</v>
      </c>
      <c r="Q65" s="2"/>
      <c r="R65" s="7">
        <f t="shared" si="36"/>
        <v>0</v>
      </c>
      <c r="S65" s="2"/>
      <c r="T65" s="6">
        <v>45000</v>
      </c>
      <c r="U65" s="2"/>
      <c r="V65" s="7">
        <f t="shared" si="37"/>
        <v>0</v>
      </c>
      <c r="W65" s="2"/>
      <c r="X65" s="6">
        <f t="shared" si="38"/>
        <v>13428.780000000006</v>
      </c>
      <c r="Y65" s="2"/>
      <c r="Z65" s="7">
        <f t="shared" si="39"/>
        <v>0.29841733333333348</v>
      </c>
    </row>
    <row r="66" spans="1:26" s="24" customFormat="1" hidden="1" outlineLevel="2" x14ac:dyDescent="0.25">
      <c r="A66" s="29"/>
      <c r="B66" s="11" t="str">
        <f>CONCATENATE("          ", "6372", " - ", "COMPUTER HARDWARE MAINTENANCE")</f>
        <v xml:space="preserve">          6372 - COMPUTER HARDWARE MAINTENANCE</v>
      </c>
      <c r="C66" s="11"/>
      <c r="D66" s="6">
        <v>-9.09</v>
      </c>
      <c r="E66" s="2"/>
      <c r="F66" s="7">
        <f t="shared" si="32"/>
        <v>0</v>
      </c>
      <c r="G66" s="2"/>
      <c r="H66" s="6"/>
      <c r="I66" s="2"/>
      <c r="J66" s="7">
        <f t="shared" si="33"/>
        <v>0</v>
      </c>
      <c r="K66" s="2"/>
      <c r="L66" s="6">
        <f t="shared" si="34"/>
        <v>-9.09</v>
      </c>
      <c r="M66" s="2"/>
      <c r="N66" s="7">
        <f t="shared" si="35"/>
        <v>0</v>
      </c>
      <c r="O66" s="11"/>
      <c r="P66" s="6">
        <v>-8.11</v>
      </c>
      <c r="Q66" s="2"/>
      <c r="R66" s="7">
        <f t="shared" si="36"/>
        <v>0</v>
      </c>
      <c r="S66" s="2"/>
      <c r="T66" s="6"/>
      <c r="U66" s="2"/>
      <c r="V66" s="7">
        <f t="shared" si="37"/>
        <v>0</v>
      </c>
      <c r="W66" s="2"/>
      <c r="X66" s="6">
        <f t="shared" si="38"/>
        <v>-8.11</v>
      </c>
      <c r="Y66" s="2"/>
      <c r="Z66" s="7">
        <f t="shared" si="39"/>
        <v>0</v>
      </c>
    </row>
    <row r="67" spans="1:26" s="24" customFormat="1" hidden="1" outlineLevel="2" x14ac:dyDescent="0.25">
      <c r="A67" s="29"/>
      <c r="B67" s="11" t="str">
        <f>CONCATENATE("          ", "6373", " - ", "MAINTENANCE CONTRACTS")</f>
        <v xml:space="preserve">          6373 - MAINTENANCE CONTRACTS</v>
      </c>
      <c r="C67" s="11"/>
      <c r="D67" s="6">
        <v>5006.12</v>
      </c>
      <c r="E67" s="2"/>
      <c r="F67" s="7">
        <f t="shared" si="32"/>
        <v>0</v>
      </c>
      <c r="G67" s="2"/>
      <c r="H67" s="6">
        <v>1000</v>
      </c>
      <c r="I67" s="2"/>
      <c r="J67" s="7">
        <f t="shared" si="33"/>
        <v>0</v>
      </c>
      <c r="K67" s="2"/>
      <c r="L67" s="6">
        <f t="shared" si="34"/>
        <v>4006.12</v>
      </c>
      <c r="M67" s="2"/>
      <c r="N67" s="7">
        <f t="shared" si="35"/>
        <v>4.0061200000000001</v>
      </c>
      <c r="O67" s="11"/>
      <c r="P67" s="6">
        <v>6087.77</v>
      </c>
      <c r="Q67" s="2"/>
      <c r="R67" s="7">
        <f t="shared" si="36"/>
        <v>0</v>
      </c>
      <c r="S67" s="2"/>
      <c r="T67" s="6">
        <v>3000</v>
      </c>
      <c r="U67" s="2"/>
      <c r="V67" s="7">
        <f t="shared" si="37"/>
        <v>0</v>
      </c>
      <c r="W67" s="2"/>
      <c r="X67" s="6">
        <f t="shared" si="38"/>
        <v>3087.7700000000004</v>
      </c>
      <c r="Y67" s="2"/>
      <c r="Z67" s="7">
        <f t="shared" si="39"/>
        <v>1.0292566666666667</v>
      </c>
    </row>
    <row r="68" spans="1:26" s="24" customFormat="1" hidden="1" outlineLevel="2" x14ac:dyDescent="0.25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6">
        <v>920.64</v>
      </c>
      <c r="E68" s="2"/>
      <c r="F68" s="7">
        <f t="shared" si="32"/>
        <v>0</v>
      </c>
      <c r="G68" s="2"/>
      <c r="H68" s="6">
        <v>8000</v>
      </c>
      <c r="I68" s="2"/>
      <c r="J68" s="7">
        <f t="shared" si="33"/>
        <v>0</v>
      </c>
      <c r="K68" s="2"/>
      <c r="L68" s="6">
        <f t="shared" si="34"/>
        <v>-7079.36</v>
      </c>
      <c r="M68" s="2"/>
      <c r="N68" s="7">
        <f t="shared" si="35"/>
        <v>-0.88491999999999993</v>
      </c>
      <c r="O68" s="11"/>
      <c r="P68" s="6">
        <v>2757.44</v>
      </c>
      <c r="Q68" s="2"/>
      <c r="R68" s="7">
        <f t="shared" si="36"/>
        <v>0</v>
      </c>
      <c r="S68" s="2"/>
      <c r="T68" s="6">
        <v>24000</v>
      </c>
      <c r="U68" s="2"/>
      <c r="V68" s="7">
        <f t="shared" si="37"/>
        <v>0</v>
      </c>
      <c r="W68" s="2"/>
      <c r="X68" s="6">
        <f t="shared" si="38"/>
        <v>-21242.560000000001</v>
      </c>
      <c r="Y68" s="2"/>
      <c r="Z68" s="7">
        <f t="shared" si="39"/>
        <v>-0.88510666666666671</v>
      </c>
    </row>
    <row r="69" spans="1:26" s="28" customFormat="1" outlineLevel="1" collapsed="1" x14ac:dyDescent="0.25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SUM(OSRRefD22_14x_0)</f>
        <v>4330.68</v>
      </c>
      <c r="E69" s="1"/>
      <c r="F69" s="5">
        <f t="shared" ref="F69:F72" si="40">IF(D$12=0,0,D69/D$12)</f>
        <v>0</v>
      </c>
      <c r="G69" s="1"/>
      <c r="H69" s="1">
        <f>SUM(OSRRefH22_14x_0)</f>
        <v>4300</v>
      </c>
      <c r="I69" s="1"/>
      <c r="J69" s="5">
        <f t="shared" ref="J69:J72" si="41">IF(H$12=0,0,H69/H$12)</f>
        <v>0</v>
      </c>
      <c r="K69" s="1"/>
      <c r="L69" s="1">
        <f t="shared" ref="L69:L72" si="42">+D69-H69</f>
        <v>30.680000000000291</v>
      </c>
      <c r="M69" s="1"/>
      <c r="N69" s="5">
        <f t="shared" ref="N69:N72" si="43">IF(H69=0,0,L69/H69)</f>
        <v>7.1348837209303006E-3</v>
      </c>
      <c r="O69" s="14"/>
      <c r="P69" s="1">
        <f>SUM(OSRRefP22_14x_0)</f>
        <v>8957.3000000000011</v>
      </c>
      <c r="Q69" s="1"/>
      <c r="R69" s="5">
        <f t="shared" ref="R69:R72" si="44">IF(P$12=0,0,P69/P$12)</f>
        <v>0</v>
      </c>
      <c r="S69" s="1"/>
      <c r="T69" s="1">
        <f>SUM(OSRRefT22_14x_0)</f>
        <v>12900</v>
      </c>
      <c r="U69" s="1"/>
      <c r="V69" s="5">
        <f t="shared" ref="V69:V72" si="45">IF(T$12=0,0,T69/T$12)</f>
        <v>0</v>
      </c>
      <c r="W69" s="1"/>
      <c r="X69" s="1">
        <f t="shared" ref="X69:X72" si="46">+P69-T69</f>
        <v>-3942.6999999999989</v>
      </c>
      <c r="Y69" s="1"/>
      <c r="Z69" s="5">
        <f t="shared" ref="Z69:Z72" si="47">IF(T69=0,0,X69/T69)</f>
        <v>-0.3056356589147286</v>
      </c>
    </row>
    <row r="70" spans="1:26" s="24" customFormat="1" hidden="1" outlineLevel="2" x14ac:dyDescent="0.25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6">
        <v>222.5</v>
      </c>
      <c r="E70" s="2"/>
      <c r="F70" s="7">
        <f t="shared" si="40"/>
        <v>0</v>
      </c>
      <c r="G70" s="2"/>
      <c r="H70" s="6">
        <v>4000</v>
      </c>
      <c r="I70" s="2"/>
      <c r="J70" s="7">
        <f t="shared" si="41"/>
        <v>0</v>
      </c>
      <c r="K70" s="2"/>
      <c r="L70" s="6">
        <f t="shared" si="42"/>
        <v>-3777.5</v>
      </c>
      <c r="M70" s="2"/>
      <c r="N70" s="7">
        <f t="shared" si="43"/>
        <v>-0.94437499999999996</v>
      </c>
      <c r="O70" s="11"/>
      <c r="P70" s="6">
        <v>610.94000000000005</v>
      </c>
      <c r="Q70" s="2"/>
      <c r="R70" s="7">
        <f t="shared" si="44"/>
        <v>0</v>
      </c>
      <c r="S70" s="2"/>
      <c r="T70" s="6">
        <v>12000</v>
      </c>
      <c r="U70" s="2"/>
      <c r="V70" s="7">
        <f t="shared" si="45"/>
        <v>0</v>
      </c>
      <c r="W70" s="2"/>
      <c r="X70" s="6">
        <f t="shared" si="46"/>
        <v>-11389.06</v>
      </c>
      <c r="Y70" s="2"/>
      <c r="Z70" s="7">
        <f t="shared" si="47"/>
        <v>-0.94908833333333331</v>
      </c>
    </row>
    <row r="71" spans="1:26" s="24" customFormat="1" hidden="1" outlineLevel="2" x14ac:dyDescent="0.25">
      <c r="A71" s="29"/>
      <c r="B71" s="11" t="str">
        <f>CONCATENATE("          ", "6283", " - ", "PLANT SERVICE")</f>
        <v xml:space="preserve">          6283 - PLANT SERVICE</v>
      </c>
      <c r="C71" s="11"/>
      <c r="D71" s="6"/>
      <c r="E71" s="2"/>
      <c r="F71" s="7">
        <f t="shared" si="40"/>
        <v>0</v>
      </c>
      <c r="G71" s="2"/>
      <c r="H71" s="6"/>
      <c r="I71" s="2"/>
      <c r="J71" s="7">
        <f t="shared" si="41"/>
        <v>0</v>
      </c>
      <c r="K71" s="2"/>
      <c r="L71" s="6">
        <f t="shared" si="42"/>
        <v>0</v>
      </c>
      <c r="M71" s="2"/>
      <c r="N71" s="7">
        <f t="shared" si="43"/>
        <v>0</v>
      </c>
      <c r="O71" s="11"/>
      <c r="P71" s="6">
        <v>130</v>
      </c>
      <c r="Q71" s="2"/>
      <c r="R71" s="7">
        <f t="shared" si="44"/>
        <v>0</v>
      </c>
      <c r="S71" s="2"/>
      <c r="T71" s="6"/>
      <c r="U71" s="2"/>
      <c r="V71" s="7">
        <f t="shared" si="45"/>
        <v>0</v>
      </c>
      <c r="W71" s="2"/>
      <c r="X71" s="6">
        <f t="shared" si="46"/>
        <v>130</v>
      </c>
      <c r="Y71" s="2"/>
      <c r="Z71" s="7">
        <f t="shared" si="47"/>
        <v>0</v>
      </c>
    </row>
    <row r="72" spans="1:26" s="24" customFormat="1" hidden="1" outlineLevel="2" x14ac:dyDescent="0.25">
      <c r="A72" s="29"/>
      <c r="B72" s="11" t="str">
        <f>CONCATENATE("          ", "6285", " - ", "JANITORIAL SERVICES")</f>
        <v xml:space="preserve">          6285 - JANITORIAL SERVICES</v>
      </c>
      <c r="C72" s="11"/>
      <c r="D72" s="6">
        <v>4108.18</v>
      </c>
      <c r="E72" s="2"/>
      <c r="F72" s="7">
        <f t="shared" si="40"/>
        <v>0</v>
      </c>
      <c r="G72" s="2"/>
      <c r="H72" s="6">
        <v>300</v>
      </c>
      <c r="I72" s="2"/>
      <c r="J72" s="7">
        <f t="shared" si="41"/>
        <v>0</v>
      </c>
      <c r="K72" s="2"/>
      <c r="L72" s="6">
        <f t="shared" si="42"/>
        <v>3808.1800000000003</v>
      </c>
      <c r="M72" s="2"/>
      <c r="N72" s="7">
        <f t="shared" si="43"/>
        <v>12.693933333333334</v>
      </c>
      <c r="O72" s="11"/>
      <c r="P72" s="6">
        <v>8216.36</v>
      </c>
      <c r="Q72" s="2"/>
      <c r="R72" s="7">
        <f t="shared" si="44"/>
        <v>0</v>
      </c>
      <c r="S72" s="2"/>
      <c r="T72" s="6">
        <v>900</v>
      </c>
      <c r="U72" s="2"/>
      <c r="V72" s="7">
        <f t="shared" si="45"/>
        <v>0</v>
      </c>
      <c r="W72" s="2"/>
      <c r="X72" s="6">
        <f t="shared" si="46"/>
        <v>7316.3600000000006</v>
      </c>
      <c r="Y72" s="2"/>
      <c r="Z72" s="7">
        <f t="shared" si="47"/>
        <v>8.1292888888888903</v>
      </c>
    </row>
    <row r="73" spans="1:26" s="28" customFormat="1" outlineLevel="1" collapsed="1" x14ac:dyDescent="0.25">
      <c r="A73" s="27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SUM(OSRRefD22_15x_0)</f>
        <v>0</v>
      </c>
      <c r="E73" s="1"/>
      <c r="F73" s="5">
        <f t="shared" ref="F73:F82" si="48">IF(D$12=0,0,D73/D$12)</f>
        <v>0</v>
      </c>
      <c r="G73" s="1"/>
      <c r="H73" s="1">
        <f>SUM(OSRRefH22_15x_0)</f>
        <v>800</v>
      </c>
      <c r="I73" s="1"/>
      <c r="J73" s="5">
        <f t="shared" ref="J73:J82" si="49">IF(H$12=0,0,H73/H$12)</f>
        <v>0</v>
      </c>
      <c r="K73" s="1"/>
      <c r="L73" s="1">
        <f t="shared" ref="L73:L82" si="50">+D73-H73</f>
        <v>-800</v>
      </c>
      <c r="M73" s="1"/>
      <c r="N73" s="5">
        <f t="shared" ref="N73:N82" si="51">IF(H73=0,0,L73/H73)</f>
        <v>-1</v>
      </c>
      <c r="O73" s="14"/>
      <c r="P73" s="1">
        <f>SUM(OSRRefP22_15x_0)</f>
        <v>0</v>
      </c>
      <c r="Q73" s="1"/>
      <c r="R73" s="5">
        <f t="shared" ref="R73:R82" si="52">IF(P$12=0,0,P73/P$12)</f>
        <v>0</v>
      </c>
      <c r="S73" s="1"/>
      <c r="T73" s="1">
        <f>SUM(OSRRefT22_15x_0)</f>
        <v>2400</v>
      </c>
      <c r="U73" s="1"/>
      <c r="V73" s="5">
        <f t="shared" ref="V73:V82" si="53">IF(T$12=0,0,T73/T$12)</f>
        <v>0</v>
      </c>
      <c r="W73" s="1"/>
      <c r="X73" s="1">
        <f t="shared" ref="X73:X82" si="54">+P73-T73</f>
        <v>-2400</v>
      </c>
      <c r="Y73" s="1"/>
      <c r="Z73" s="5">
        <f t="shared" ref="Z73:Z82" si="55">IF(T73=0,0,X73/T73)</f>
        <v>-1</v>
      </c>
    </row>
    <row r="74" spans="1:26" s="24" customFormat="1" hidden="1" outlineLevel="2" x14ac:dyDescent="0.25">
      <c r="A74" s="29"/>
      <c r="B74" s="11" t="str">
        <f>CONCATENATE("          ", "6258", " - ", "MEMBERSHIP DUES")</f>
        <v xml:space="preserve">          6258 - MEMBERSHIP DUES</v>
      </c>
      <c r="C74" s="11"/>
      <c r="D74" s="6"/>
      <c r="E74" s="2"/>
      <c r="F74" s="7">
        <f t="shared" si="48"/>
        <v>0</v>
      </c>
      <c r="G74" s="2"/>
      <c r="H74" s="6">
        <v>800</v>
      </c>
      <c r="I74" s="2"/>
      <c r="J74" s="7">
        <f t="shared" si="49"/>
        <v>0</v>
      </c>
      <c r="K74" s="2"/>
      <c r="L74" s="6">
        <f t="shared" si="50"/>
        <v>-800</v>
      </c>
      <c r="M74" s="2"/>
      <c r="N74" s="7">
        <f t="shared" si="51"/>
        <v>-1</v>
      </c>
      <c r="O74" s="11"/>
      <c r="P74" s="6"/>
      <c r="Q74" s="2"/>
      <c r="R74" s="7">
        <f t="shared" si="52"/>
        <v>0</v>
      </c>
      <c r="S74" s="2"/>
      <c r="T74" s="6">
        <v>2400</v>
      </c>
      <c r="U74" s="2"/>
      <c r="V74" s="7">
        <f t="shared" si="53"/>
        <v>0</v>
      </c>
      <c r="W74" s="2"/>
      <c r="X74" s="6">
        <f t="shared" si="54"/>
        <v>-2400</v>
      </c>
      <c r="Y74" s="2"/>
      <c r="Z74" s="7">
        <f t="shared" si="55"/>
        <v>-1</v>
      </c>
    </row>
    <row r="75" spans="1:26" s="28" customFormat="1" outlineLevel="1" collapsed="1" x14ac:dyDescent="0.25">
      <c r="A75" s="27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SUM(OSRRefD22_16x_0)</f>
        <v>2360.1799999999998</v>
      </c>
      <c r="E75" s="1"/>
      <c r="F75" s="5">
        <f t="shared" si="48"/>
        <v>0</v>
      </c>
      <c r="G75" s="1"/>
      <c r="H75" s="1">
        <f>SUM(OSRRefH22_16x_0)</f>
        <v>33800</v>
      </c>
      <c r="I75" s="1"/>
      <c r="J75" s="5">
        <f t="shared" si="49"/>
        <v>0</v>
      </c>
      <c r="K75" s="1"/>
      <c r="L75" s="1">
        <f t="shared" si="50"/>
        <v>-31439.82</v>
      </c>
      <c r="M75" s="1"/>
      <c r="N75" s="5">
        <f t="shared" si="51"/>
        <v>-0.93017218934911239</v>
      </c>
      <c r="O75" s="14"/>
      <c r="P75" s="1">
        <f>SUM(OSRRefP22_16x_0)</f>
        <v>9835.1</v>
      </c>
      <c r="Q75" s="1"/>
      <c r="R75" s="5">
        <f t="shared" si="52"/>
        <v>0</v>
      </c>
      <c r="S75" s="1"/>
      <c r="T75" s="1">
        <f>SUM(OSRRefT22_16x_0)</f>
        <v>71500</v>
      </c>
      <c r="U75" s="1"/>
      <c r="V75" s="5">
        <f t="shared" si="53"/>
        <v>0</v>
      </c>
      <c r="W75" s="1"/>
      <c r="X75" s="1">
        <f t="shared" si="54"/>
        <v>-61664.9</v>
      </c>
      <c r="Y75" s="1"/>
      <c r="Z75" s="5">
        <f t="shared" si="55"/>
        <v>-0.86244615384615386</v>
      </c>
    </row>
    <row r="76" spans="1:26" s="24" customFormat="1" hidden="1" outlineLevel="2" x14ac:dyDescent="0.25">
      <c r="A76" s="29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48"/>
        <v>0</v>
      </c>
      <c r="G76" s="2"/>
      <c r="H76" s="6">
        <v>100</v>
      </c>
      <c r="I76" s="2"/>
      <c r="J76" s="7">
        <f t="shared" si="49"/>
        <v>0</v>
      </c>
      <c r="K76" s="2"/>
      <c r="L76" s="6">
        <f t="shared" si="50"/>
        <v>-100</v>
      </c>
      <c r="M76" s="2"/>
      <c r="N76" s="7">
        <f t="shared" si="51"/>
        <v>-1</v>
      </c>
      <c r="O76" s="11"/>
      <c r="P76" s="6"/>
      <c r="Q76" s="2"/>
      <c r="R76" s="7">
        <f t="shared" si="52"/>
        <v>0</v>
      </c>
      <c r="S76" s="2"/>
      <c r="T76" s="6">
        <v>300</v>
      </c>
      <c r="U76" s="2"/>
      <c r="V76" s="7">
        <f t="shared" si="53"/>
        <v>0</v>
      </c>
      <c r="W76" s="2"/>
      <c r="X76" s="6">
        <f t="shared" si="54"/>
        <v>-300</v>
      </c>
      <c r="Y76" s="2"/>
      <c r="Z76" s="7">
        <f t="shared" si="55"/>
        <v>-1</v>
      </c>
    </row>
    <row r="77" spans="1:26" s="24" customFormat="1" hidden="1" outlineLevel="2" x14ac:dyDescent="0.25">
      <c r="A77" s="29"/>
      <c r="B77" s="11" t="str">
        <f>CONCATENATE("          ", "6235", " - ", "COVID-19 EXPENSES")</f>
        <v xml:space="preserve">          6235 - COVID-19 EXPENSES</v>
      </c>
      <c r="C77" s="11"/>
      <c r="D77" s="6">
        <v>2195.08</v>
      </c>
      <c r="E77" s="2"/>
      <c r="F77" s="7">
        <f t="shared" si="48"/>
        <v>0</v>
      </c>
      <c r="G77" s="2"/>
      <c r="H77" s="6">
        <v>30000</v>
      </c>
      <c r="I77" s="2"/>
      <c r="J77" s="7">
        <f t="shared" si="49"/>
        <v>0</v>
      </c>
      <c r="K77" s="2"/>
      <c r="L77" s="6">
        <f t="shared" si="50"/>
        <v>-27804.92</v>
      </c>
      <c r="M77" s="2"/>
      <c r="N77" s="7">
        <f t="shared" si="51"/>
        <v>-0.92683066666666658</v>
      </c>
      <c r="O77" s="11"/>
      <c r="P77" s="6">
        <v>7112.38</v>
      </c>
      <c r="Q77" s="2"/>
      <c r="R77" s="7">
        <f t="shared" si="52"/>
        <v>0</v>
      </c>
      <c r="S77" s="2"/>
      <c r="T77" s="6">
        <v>60100</v>
      </c>
      <c r="U77" s="2"/>
      <c r="V77" s="7">
        <f t="shared" si="53"/>
        <v>0</v>
      </c>
      <c r="W77" s="2"/>
      <c r="X77" s="6">
        <f t="shared" si="54"/>
        <v>-52987.62</v>
      </c>
      <c r="Y77" s="2"/>
      <c r="Z77" s="7">
        <f t="shared" si="55"/>
        <v>-0.88165757071547424</v>
      </c>
    </row>
    <row r="78" spans="1:26" s="24" customFormat="1" hidden="1" outlineLevel="2" x14ac:dyDescent="0.25">
      <c r="A78" s="29"/>
      <c r="B78" s="11" t="str">
        <f>CONCATENATE("          ", "6237", " - ", "JANITORIAL SUPPLIES")</f>
        <v xml:space="preserve">          6237 - JANITORIAL SUPPLIES</v>
      </c>
      <c r="C78" s="11"/>
      <c r="D78" s="6"/>
      <c r="E78" s="2"/>
      <c r="F78" s="7">
        <f t="shared" si="48"/>
        <v>0</v>
      </c>
      <c r="G78" s="2"/>
      <c r="H78" s="6">
        <v>200</v>
      </c>
      <c r="I78" s="2"/>
      <c r="J78" s="7">
        <f t="shared" si="49"/>
        <v>0</v>
      </c>
      <c r="K78" s="2"/>
      <c r="L78" s="6">
        <f t="shared" si="50"/>
        <v>-200</v>
      </c>
      <c r="M78" s="2"/>
      <c r="N78" s="7">
        <f t="shared" si="51"/>
        <v>-1</v>
      </c>
      <c r="O78" s="11"/>
      <c r="P78" s="6"/>
      <c r="Q78" s="2"/>
      <c r="R78" s="7">
        <f t="shared" si="52"/>
        <v>0</v>
      </c>
      <c r="S78" s="2"/>
      <c r="T78" s="6">
        <v>600</v>
      </c>
      <c r="U78" s="2"/>
      <c r="V78" s="7">
        <f t="shared" si="53"/>
        <v>0</v>
      </c>
      <c r="W78" s="2"/>
      <c r="X78" s="6">
        <f t="shared" si="54"/>
        <v>-600</v>
      </c>
      <c r="Y78" s="2"/>
      <c r="Z78" s="7">
        <f t="shared" si="55"/>
        <v>-1</v>
      </c>
    </row>
    <row r="79" spans="1:26" s="24" customFormat="1" hidden="1" outlineLevel="2" x14ac:dyDescent="0.25">
      <c r="A79" s="29"/>
      <c r="B79" s="11" t="str">
        <f>CONCATENATE("          ", "6241", " - ", "OFFICE EXPENSE")</f>
        <v xml:space="preserve">          6241 - OFFICE EXPENSE</v>
      </c>
      <c r="C79" s="11"/>
      <c r="D79" s="6">
        <v>34.67</v>
      </c>
      <c r="E79" s="2"/>
      <c r="F79" s="7">
        <f t="shared" si="48"/>
        <v>0</v>
      </c>
      <c r="G79" s="2"/>
      <c r="H79" s="6"/>
      <c r="I79" s="2"/>
      <c r="J79" s="7">
        <f t="shared" si="49"/>
        <v>0</v>
      </c>
      <c r="K79" s="2"/>
      <c r="L79" s="6">
        <f t="shared" si="50"/>
        <v>34.67</v>
      </c>
      <c r="M79" s="2"/>
      <c r="N79" s="7">
        <f t="shared" si="51"/>
        <v>0</v>
      </c>
      <c r="O79" s="11"/>
      <c r="P79" s="6">
        <v>2064.8000000000002</v>
      </c>
      <c r="Q79" s="2"/>
      <c r="R79" s="7">
        <f t="shared" si="52"/>
        <v>0</v>
      </c>
      <c r="S79" s="2"/>
      <c r="T79" s="6"/>
      <c r="U79" s="2"/>
      <c r="V79" s="7">
        <f t="shared" si="53"/>
        <v>0</v>
      </c>
      <c r="W79" s="2"/>
      <c r="X79" s="6">
        <f t="shared" si="54"/>
        <v>2064.8000000000002</v>
      </c>
      <c r="Y79" s="2"/>
      <c r="Z79" s="7">
        <f t="shared" si="55"/>
        <v>0</v>
      </c>
    </row>
    <row r="80" spans="1:26" s="24" customFormat="1" hidden="1" outlineLevel="2" x14ac:dyDescent="0.25">
      <c r="A80" s="29"/>
      <c r="B80" s="11" t="str">
        <f>CONCATENATE("          ", "6245", " - ", "PRINTING")</f>
        <v xml:space="preserve">          6245 - PRINTING</v>
      </c>
      <c r="C80" s="11"/>
      <c r="D80" s="6">
        <v>68.66</v>
      </c>
      <c r="E80" s="2"/>
      <c r="F80" s="7">
        <f t="shared" si="48"/>
        <v>0</v>
      </c>
      <c r="G80" s="2"/>
      <c r="H80" s="6"/>
      <c r="I80" s="2"/>
      <c r="J80" s="7">
        <f t="shared" si="49"/>
        <v>0</v>
      </c>
      <c r="K80" s="2"/>
      <c r="L80" s="6">
        <f t="shared" si="50"/>
        <v>68.66</v>
      </c>
      <c r="M80" s="2"/>
      <c r="N80" s="7">
        <f t="shared" si="51"/>
        <v>0</v>
      </c>
      <c r="O80" s="11"/>
      <c r="P80" s="6">
        <v>68.66</v>
      </c>
      <c r="Q80" s="2"/>
      <c r="R80" s="7">
        <f t="shared" si="52"/>
        <v>0</v>
      </c>
      <c r="S80" s="2"/>
      <c r="T80" s="6"/>
      <c r="U80" s="2"/>
      <c r="V80" s="7">
        <f t="shared" si="53"/>
        <v>0</v>
      </c>
      <c r="W80" s="2"/>
      <c r="X80" s="6">
        <f t="shared" si="54"/>
        <v>68.66</v>
      </c>
      <c r="Y80" s="2"/>
      <c r="Z80" s="7">
        <f t="shared" si="55"/>
        <v>0</v>
      </c>
    </row>
    <row r="81" spans="1:26" s="24" customFormat="1" hidden="1" outlineLevel="2" x14ac:dyDescent="0.25">
      <c r="A81" s="29"/>
      <c r="B81" s="11" t="str">
        <f>CONCATENATE("          ", "6247", " - ", "STORE SUPPLIES")</f>
        <v xml:space="preserve">          6247 - STORE SUPPLIES</v>
      </c>
      <c r="C81" s="11"/>
      <c r="D81" s="6">
        <v>61.77</v>
      </c>
      <c r="E81" s="2"/>
      <c r="F81" s="7">
        <f t="shared" si="48"/>
        <v>0</v>
      </c>
      <c r="G81" s="2"/>
      <c r="H81" s="6">
        <v>2000</v>
      </c>
      <c r="I81" s="2"/>
      <c r="J81" s="7">
        <f t="shared" si="49"/>
        <v>0</v>
      </c>
      <c r="K81" s="2"/>
      <c r="L81" s="6">
        <f t="shared" si="50"/>
        <v>-1938.23</v>
      </c>
      <c r="M81" s="2"/>
      <c r="N81" s="7">
        <f t="shared" si="51"/>
        <v>-0.96911500000000006</v>
      </c>
      <c r="O81" s="11"/>
      <c r="P81" s="6">
        <v>589.26</v>
      </c>
      <c r="Q81" s="2"/>
      <c r="R81" s="7">
        <f t="shared" si="52"/>
        <v>0</v>
      </c>
      <c r="S81" s="2"/>
      <c r="T81" s="6">
        <v>6000</v>
      </c>
      <c r="U81" s="2"/>
      <c r="V81" s="7">
        <f t="shared" si="53"/>
        <v>0</v>
      </c>
      <c r="W81" s="2"/>
      <c r="X81" s="6">
        <f t="shared" si="54"/>
        <v>-5410.74</v>
      </c>
      <c r="Y81" s="2"/>
      <c r="Z81" s="7">
        <f t="shared" si="55"/>
        <v>-0.90178999999999998</v>
      </c>
    </row>
    <row r="82" spans="1:26" s="24" customFormat="1" hidden="1" outlineLevel="2" x14ac:dyDescent="0.25">
      <c r="A82" s="29"/>
      <c r="B82" s="11" t="str">
        <f>CONCATENATE("          ", "6248", " - ", "UNIFORMS")</f>
        <v xml:space="preserve">          6248 - UNIFORMS</v>
      </c>
      <c r="C82" s="11"/>
      <c r="D82" s="6"/>
      <c r="E82" s="2"/>
      <c r="F82" s="7">
        <f t="shared" si="48"/>
        <v>0</v>
      </c>
      <c r="G82" s="2"/>
      <c r="H82" s="6">
        <v>1500</v>
      </c>
      <c r="I82" s="2"/>
      <c r="J82" s="7">
        <f t="shared" si="49"/>
        <v>0</v>
      </c>
      <c r="K82" s="2"/>
      <c r="L82" s="6">
        <f t="shared" si="50"/>
        <v>-1500</v>
      </c>
      <c r="M82" s="2"/>
      <c r="N82" s="7">
        <f t="shared" si="51"/>
        <v>-1</v>
      </c>
      <c r="O82" s="11"/>
      <c r="P82" s="6"/>
      <c r="Q82" s="2"/>
      <c r="R82" s="7">
        <f t="shared" si="52"/>
        <v>0</v>
      </c>
      <c r="S82" s="2"/>
      <c r="T82" s="6">
        <v>4500</v>
      </c>
      <c r="U82" s="2"/>
      <c r="V82" s="7">
        <f t="shared" si="53"/>
        <v>0</v>
      </c>
      <c r="W82" s="2"/>
      <c r="X82" s="6">
        <f t="shared" si="54"/>
        <v>-4500</v>
      </c>
      <c r="Y82" s="2"/>
      <c r="Z82" s="7">
        <f t="shared" si="55"/>
        <v>-1</v>
      </c>
    </row>
    <row r="83" spans="1:26" s="28" customFormat="1" outlineLevel="1" collapsed="1" x14ac:dyDescent="0.25">
      <c r="A83" s="27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SUM(OSRRefD22_17x_0)</f>
        <v>799.06</v>
      </c>
      <c r="E83" s="1"/>
      <c r="F83" s="5">
        <f t="shared" ref="F83:F90" si="56">IF(D$12=0,0,D83/D$12)</f>
        <v>0</v>
      </c>
      <c r="G83" s="1"/>
      <c r="H83" s="1">
        <f>SUM(OSRRefH22_17x_0)</f>
        <v>600</v>
      </c>
      <c r="I83" s="1"/>
      <c r="J83" s="5">
        <f t="shared" ref="J83:J90" si="57">IF(H$12=0,0,H83/H$12)</f>
        <v>0</v>
      </c>
      <c r="K83" s="1"/>
      <c r="L83" s="1">
        <f t="shared" ref="L83:L90" si="58">+D83-H83</f>
        <v>199.05999999999995</v>
      </c>
      <c r="M83" s="1"/>
      <c r="N83" s="5">
        <f t="shared" ref="N83:N90" si="59">IF(H83=0,0,L83/H83)</f>
        <v>0.3317666666666666</v>
      </c>
      <c r="O83" s="14"/>
      <c r="P83" s="1">
        <f>SUM(OSRRefP22_17x_0)</f>
        <v>1973.68</v>
      </c>
      <c r="Q83" s="1"/>
      <c r="R83" s="5">
        <f t="shared" ref="R83:R90" si="60">IF(P$12=0,0,P83/P$12)</f>
        <v>0</v>
      </c>
      <c r="S83" s="1"/>
      <c r="T83" s="1">
        <f>SUM(OSRRefT22_17x_0)</f>
        <v>1800</v>
      </c>
      <c r="U83" s="1"/>
      <c r="V83" s="5">
        <f t="shared" ref="V83:V90" si="61">IF(T$12=0,0,T83/T$12)</f>
        <v>0</v>
      </c>
      <c r="W83" s="1"/>
      <c r="X83" s="1">
        <f t="shared" ref="X83:X90" si="62">+P83-T83</f>
        <v>173.68000000000006</v>
      </c>
      <c r="Y83" s="1"/>
      <c r="Z83" s="5">
        <f t="shared" ref="Z83:Z90" si="63">IF(T83=0,0,X83/T83)</f>
        <v>9.648888888888893E-2</v>
      </c>
    </row>
    <row r="84" spans="1:26" s="24" customFormat="1" hidden="1" outlineLevel="2" x14ac:dyDescent="0.25">
      <c r="A84" s="29"/>
      <c r="B84" s="11" t="str">
        <f>CONCATENATE("          ", "6309", " - ", "TELEPHONE")</f>
        <v xml:space="preserve">          6309 - TELEPHONE</v>
      </c>
      <c r="C84" s="11"/>
      <c r="D84" s="6">
        <v>799.06</v>
      </c>
      <c r="E84" s="2"/>
      <c r="F84" s="7">
        <f t="shared" si="56"/>
        <v>0</v>
      </c>
      <c r="G84" s="2"/>
      <c r="H84" s="6">
        <v>600</v>
      </c>
      <c r="I84" s="2"/>
      <c r="J84" s="7">
        <f t="shared" si="57"/>
        <v>0</v>
      </c>
      <c r="K84" s="2"/>
      <c r="L84" s="6">
        <f t="shared" si="58"/>
        <v>199.05999999999995</v>
      </c>
      <c r="M84" s="2"/>
      <c r="N84" s="7">
        <f t="shared" si="59"/>
        <v>0.3317666666666666</v>
      </c>
      <c r="O84" s="11"/>
      <c r="P84" s="6">
        <v>1973.68</v>
      </c>
      <c r="Q84" s="2"/>
      <c r="R84" s="7">
        <f t="shared" si="60"/>
        <v>0</v>
      </c>
      <c r="S84" s="2"/>
      <c r="T84" s="6">
        <v>1800</v>
      </c>
      <c r="U84" s="2"/>
      <c r="V84" s="7">
        <f t="shared" si="61"/>
        <v>0</v>
      </c>
      <c r="W84" s="2"/>
      <c r="X84" s="6">
        <f t="shared" si="62"/>
        <v>173.68000000000006</v>
      </c>
      <c r="Y84" s="2"/>
      <c r="Z84" s="7">
        <f t="shared" si="63"/>
        <v>9.648888888888893E-2</v>
      </c>
    </row>
    <row r="85" spans="1:26" s="28" customFormat="1" outlineLevel="1" collapsed="1" x14ac:dyDescent="0.25">
      <c r="A85" s="27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SUM(OSRRefD22_18x_0)</f>
        <v>0</v>
      </c>
      <c r="E85" s="1"/>
      <c r="F85" s="5">
        <f t="shared" si="56"/>
        <v>0</v>
      </c>
      <c r="G85" s="1"/>
      <c r="H85" s="1">
        <f>SUM(OSRRefH22_18x_0)</f>
        <v>0</v>
      </c>
      <c r="I85" s="1"/>
      <c r="J85" s="5">
        <f t="shared" si="57"/>
        <v>0</v>
      </c>
      <c r="K85" s="1"/>
      <c r="L85" s="1">
        <f t="shared" si="58"/>
        <v>0</v>
      </c>
      <c r="M85" s="1"/>
      <c r="N85" s="5">
        <f t="shared" si="59"/>
        <v>0</v>
      </c>
      <c r="O85" s="14"/>
      <c r="P85" s="1">
        <f>SUM(OSRRefP22_18x_0)</f>
        <v>131.63</v>
      </c>
      <c r="Q85" s="1"/>
      <c r="R85" s="5">
        <f t="shared" si="60"/>
        <v>0</v>
      </c>
      <c r="S85" s="1"/>
      <c r="T85" s="1">
        <f>SUM(OSRRefT22_18x_0)</f>
        <v>0</v>
      </c>
      <c r="U85" s="1"/>
      <c r="V85" s="5">
        <f t="shared" si="61"/>
        <v>0</v>
      </c>
      <c r="W85" s="1"/>
      <c r="X85" s="1">
        <f t="shared" si="62"/>
        <v>131.63</v>
      </c>
      <c r="Y85" s="1"/>
      <c r="Z85" s="5">
        <f t="shared" si="63"/>
        <v>0</v>
      </c>
    </row>
    <row r="86" spans="1:26" s="24" customFormat="1" hidden="1" outlineLevel="2" x14ac:dyDescent="0.25">
      <c r="A86" s="29"/>
      <c r="B86" s="11" t="str">
        <f>CONCATENATE("          ", "6376", " - ", "TRAINING")</f>
        <v xml:space="preserve">          6376 - TRAINING</v>
      </c>
      <c r="C86" s="11"/>
      <c r="D86" s="6"/>
      <c r="E86" s="2"/>
      <c r="F86" s="7">
        <f t="shared" si="56"/>
        <v>0</v>
      </c>
      <c r="G86" s="2"/>
      <c r="H86" s="6"/>
      <c r="I86" s="2"/>
      <c r="J86" s="7">
        <f t="shared" si="57"/>
        <v>0</v>
      </c>
      <c r="K86" s="2"/>
      <c r="L86" s="6">
        <f t="shared" si="58"/>
        <v>0</v>
      </c>
      <c r="M86" s="2"/>
      <c r="N86" s="7">
        <f t="shared" si="59"/>
        <v>0</v>
      </c>
      <c r="O86" s="11"/>
      <c r="P86" s="6">
        <v>131.63</v>
      </c>
      <c r="Q86" s="2"/>
      <c r="R86" s="7">
        <f t="shared" si="60"/>
        <v>0</v>
      </c>
      <c r="S86" s="2"/>
      <c r="T86" s="6"/>
      <c r="U86" s="2"/>
      <c r="V86" s="7">
        <f t="shared" si="61"/>
        <v>0</v>
      </c>
      <c r="W86" s="2"/>
      <c r="X86" s="6">
        <f t="shared" si="62"/>
        <v>131.63</v>
      </c>
      <c r="Y86" s="2"/>
      <c r="Z86" s="7">
        <f t="shared" si="63"/>
        <v>0</v>
      </c>
    </row>
    <row r="87" spans="1:26" s="28" customFormat="1" outlineLevel="1" collapsed="1" x14ac:dyDescent="0.25">
      <c r="A87" s="27"/>
      <c r="B87" s="14" t="str">
        <f>CONCATENATE("     ","Travel                                            ")</f>
        <v xml:space="preserve">     Travel                                            </v>
      </c>
      <c r="C87" s="14"/>
      <c r="D87" s="1">
        <f>SUM(OSRRefD22_19x_0)</f>
        <v>0</v>
      </c>
      <c r="E87" s="1"/>
      <c r="F87" s="5">
        <f t="shared" si="56"/>
        <v>0</v>
      </c>
      <c r="G87" s="1"/>
      <c r="H87" s="1">
        <f>SUM(OSRRefH22_19x_0)</f>
        <v>0</v>
      </c>
      <c r="I87" s="1"/>
      <c r="J87" s="5">
        <f t="shared" si="57"/>
        <v>0</v>
      </c>
      <c r="K87" s="1"/>
      <c r="L87" s="1">
        <f t="shared" si="58"/>
        <v>0</v>
      </c>
      <c r="M87" s="1"/>
      <c r="N87" s="5">
        <f t="shared" si="59"/>
        <v>0</v>
      </c>
      <c r="O87" s="14"/>
      <c r="P87" s="1">
        <f>SUM(OSRRefP22_19x_0)</f>
        <v>59.89</v>
      </c>
      <c r="Q87" s="1"/>
      <c r="R87" s="5">
        <f t="shared" si="60"/>
        <v>0</v>
      </c>
      <c r="S87" s="1"/>
      <c r="T87" s="1">
        <f>SUM(OSRRefT22_19x_0)</f>
        <v>0</v>
      </c>
      <c r="U87" s="1"/>
      <c r="V87" s="5">
        <f t="shared" si="61"/>
        <v>0</v>
      </c>
      <c r="W87" s="1"/>
      <c r="X87" s="1">
        <f t="shared" si="62"/>
        <v>59.89</v>
      </c>
      <c r="Y87" s="1"/>
      <c r="Z87" s="5">
        <f t="shared" si="63"/>
        <v>0</v>
      </c>
    </row>
    <row r="88" spans="1:26" s="24" customFormat="1" hidden="1" outlineLevel="2" x14ac:dyDescent="0.25">
      <c r="A88" s="29"/>
      <c r="B88" s="11" t="str">
        <f>CONCATENATE("          ", "6298", " - ", "VEHICLE MILEAGE")</f>
        <v xml:space="preserve">          6298 - VEHICLE MILEAGE</v>
      </c>
      <c r="C88" s="11"/>
      <c r="D88" s="6"/>
      <c r="E88" s="2"/>
      <c r="F88" s="7">
        <f t="shared" si="56"/>
        <v>0</v>
      </c>
      <c r="G88" s="2"/>
      <c r="H88" s="6"/>
      <c r="I88" s="2"/>
      <c r="J88" s="7">
        <f t="shared" si="57"/>
        <v>0</v>
      </c>
      <c r="K88" s="2"/>
      <c r="L88" s="6">
        <f t="shared" si="58"/>
        <v>0</v>
      </c>
      <c r="M88" s="2"/>
      <c r="N88" s="7">
        <f t="shared" si="59"/>
        <v>0</v>
      </c>
      <c r="O88" s="11"/>
      <c r="P88" s="6">
        <v>59.89</v>
      </c>
      <c r="Q88" s="2"/>
      <c r="R88" s="7">
        <f t="shared" si="60"/>
        <v>0</v>
      </c>
      <c r="S88" s="2"/>
      <c r="T88" s="6"/>
      <c r="U88" s="2"/>
      <c r="V88" s="7">
        <f t="shared" si="61"/>
        <v>0</v>
      </c>
      <c r="W88" s="2"/>
      <c r="X88" s="6">
        <f t="shared" si="62"/>
        <v>59.89</v>
      </c>
      <c r="Y88" s="2"/>
      <c r="Z88" s="7">
        <f t="shared" si="63"/>
        <v>0</v>
      </c>
    </row>
    <row r="89" spans="1:26" s="28" customFormat="1" outlineLevel="1" collapsed="1" x14ac:dyDescent="0.25">
      <c r="A89" s="27"/>
      <c r="B89" s="14" t="str">
        <f>CONCATENATE("     ","Utilities                                         ")</f>
        <v xml:space="preserve">     Utilities                                         </v>
      </c>
      <c r="C89" s="14"/>
      <c r="D89" s="1">
        <f>SUM(OSRRefD22_20x_0)</f>
        <v>6133</v>
      </c>
      <c r="E89" s="1"/>
      <c r="F89" s="5">
        <f t="shared" si="56"/>
        <v>0</v>
      </c>
      <c r="G89" s="1"/>
      <c r="H89" s="1">
        <f>SUM(OSRRefH22_20x_0)</f>
        <v>6000</v>
      </c>
      <c r="I89" s="1"/>
      <c r="J89" s="5">
        <f t="shared" si="57"/>
        <v>0</v>
      </c>
      <c r="K89" s="1"/>
      <c r="L89" s="1">
        <f t="shared" si="58"/>
        <v>133</v>
      </c>
      <c r="M89" s="1"/>
      <c r="N89" s="5">
        <f t="shared" si="59"/>
        <v>2.2166666666666668E-2</v>
      </c>
      <c r="O89" s="14"/>
      <c r="P89" s="1">
        <f>SUM(OSRRefP22_20x_0)</f>
        <v>18399</v>
      </c>
      <c r="Q89" s="1"/>
      <c r="R89" s="5">
        <f t="shared" si="60"/>
        <v>0</v>
      </c>
      <c r="S89" s="1"/>
      <c r="T89" s="1">
        <f>SUM(OSRRefT22_20x_0)</f>
        <v>18000</v>
      </c>
      <c r="U89" s="1"/>
      <c r="V89" s="5">
        <f t="shared" si="61"/>
        <v>0</v>
      </c>
      <c r="W89" s="1"/>
      <c r="X89" s="1">
        <f t="shared" si="62"/>
        <v>399</v>
      </c>
      <c r="Y89" s="1"/>
      <c r="Z89" s="5">
        <f t="shared" si="63"/>
        <v>2.2166666666666668E-2</v>
      </c>
    </row>
    <row r="90" spans="1:26" s="24" customFormat="1" hidden="1" outlineLevel="2" x14ac:dyDescent="0.25">
      <c r="A90" s="29"/>
      <c r="B90" s="11" t="str">
        <f>CONCATENATE("          ", "6274", " - ", "UTILITIES")</f>
        <v xml:space="preserve">          6274 - UTILITIES</v>
      </c>
      <c r="C90" s="11"/>
      <c r="D90" s="6">
        <v>6133</v>
      </c>
      <c r="E90" s="2"/>
      <c r="F90" s="7">
        <f t="shared" si="56"/>
        <v>0</v>
      </c>
      <c r="G90" s="2"/>
      <c r="H90" s="6">
        <v>6000</v>
      </c>
      <c r="I90" s="2"/>
      <c r="J90" s="7">
        <f t="shared" si="57"/>
        <v>0</v>
      </c>
      <c r="K90" s="2"/>
      <c r="L90" s="6">
        <f t="shared" si="58"/>
        <v>133</v>
      </c>
      <c r="M90" s="2"/>
      <c r="N90" s="7">
        <f t="shared" si="59"/>
        <v>2.2166666666666668E-2</v>
      </c>
      <c r="O90" s="11"/>
      <c r="P90" s="6">
        <v>18399</v>
      </c>
      <c r="Q90" s="2"/>
      <c r="R90" s="7">
        <f t="shared" si="60"/>
        <v>0</v>
      </c>
      <c r="S90" s="2"/>
      <c r="T90" s="6">
        <v>18000</v>
      </c>
      <c r="U90" s="2"/>
      <c r="V90" s="7">
        <f t="shared" si="61"/>
        <v>0</v>
      </c>
      <c r="W90" s="2"/>
      <c r="X90" s="6">
        <f t="shared" si="62"/>
        <v>399</v>
      </c>
      <c r="Y90" s="2"/>
      <c r="Z90" s="7">
        <f t="shared" si="63"/>
        <v>2.2166666666666668E-2</v>
      </c>
    </row>
    <row r="91" spans="1:26" s="61" customFormat="1" x14ac:dyDescent="0.25">
      <c r="A91" s="36"/>
      <c r="B91" s="36"/>
      <c r="C91" s="36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6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25">
      <c r="A92" s="10"/>
      <c r="B92" s="25" t="s">
        <v>0</v>
      </c>
      <c r="C92" s="10"/>
      <c r="D92" s="4">
        <f>SUM(OSRRefD25x_0)</f>
        <v>2929.62</v>
      </c>
      <c r="E92" s="4"/>
      <c r="F92" s="12">
        <f t="shared" ref="F92:F94" si="64">IF(D$12=0,0,D92/D$12)</f>
        <v>0</v>
      </c>
      <c r="G92" s="4"/>
      <c r="H92" s="4">
        <f>SUM(OSRRefH25x_0)</f>
        <v>17275</v>
      </c>
      <c r="I92" s="4"/>
      <c r="J92" s="12">
        <f t="shared" ref="J92:J94" si="65">IF(H$12=0,0,H92/H$12)</f>
        <v>0</v>
      </c>
      <c r="K92" s="4"/>
      <c r="L92" s="4">
        <f t="shared" ref="L92:L94" si="66">+D92-H92</f>
        <v>-14345.380000000001</v>
      </c>
      <c r="M92" s="4"/>
      <c r="N92" s="12">
        <f t="shared" ref="N92:N94" si="67">IF(H92=0,0,L92/H92)</f>
        <v>-0.83041273516642555</v>
      </c>
      <c r="O92" s="10"/>
      <c r="P92" s="4">
        <f>SUM(OSRRefP25x_0)</f>
        <v>68150.55</v>
      </c>
      <c r="Q92" s="4"/>
      <c r="R92" s="12">
        <f t="shared" ref="R92:R94" si="68">IF(P$12=0,0,P92/P$12)</f>
        <v>0</v>
      </c>
      <c r="S92" s="4"/>
      <c r="T92" s="4">
        <f>SUM(OSRRefT25x_0)</f>
        <v>51825</v>
      </c>
      <c r="U92" s="4"/>
      <c r="V92" s="12">
        <f t="shared" ref="V92:V94" si="69">IF(T$12=0,0,T92/T$12)</f>
        <v>0</v>
      </c>
      <c r="W92" s="4"/>
      <c r="X92" s="4">
        <f t="shared" ref="X92:X94" si="70">+P92-T92</f>
        <v>16325.550000000003</v>
      </c>
      <c r="Y92" s="4"/>
      <c r="Z92" s="12">
        <f t="shared" ref="Z92:Z94" si="71">IF(T92=0,0,X92/T92)</f>
        <v>0.31501302460202613</v>
      </c>
    </row>
    <row r="93" spans="1:26" s="24" customFormat="1" hidden="1" outlineLevel="1" x14ac:dyDescent="0.25">
      <c r="A93" s="51"/>
      <c r="B93" s="11" t="str">
        <f>CONCATENATE("          ", "9150", " - ", "MISC. INCOME")</f>
        <v xml:space="preserve">          9150 - MISC. INCOME</v>
      </c>
      <c r="C93" s="11"/>
      <c r="D93" s="2">
        <f>--2929.62</f>
        <v>2929.62</v>
      </c>
      <c r="E93" s="2"/>
      <c r="F93" s="22">
        <f t="shared" si="64"/>
        <v>0</v>
      </c>
      <c r="G93" s="2"/>
      <c r="H93" s="2">
        <v>2100</v>
      </c>
      <c r="I93" s="2"/>
      <c r="J93" s="22">
        <f t="shared" si="65"/>
        <v>0</v>
      </c>
      <c r="K93" s="2"/>
      <c r="L93" s="2">
        <f t="shared" si="66"/>
        <v>829.61999999999989</v>
      </c>
      <c r="M93" s="2"/>
      <c r="N93" s="22">
        <f t="shared" si="67"/>
        <v>0.39505714285714283</v>
      </c>
      <c r="O93" s="11"/>
      <c r="P93" s="2">
        <f>--68150.55</f>
        <v>68150.55</v>
      </c>
      <c r="Q93" s="2"/>
      <c r="R93" s="22">
        <f t="shared" si="68"/>
        <v>0</v>
      </c>
      <c r="S93" s="2"/>
      <c r="T93" s="2">
        <v>6300</v>
      </c>
      <c r="U93" s="2"/>
      <c r="V93" s="22">
        <f t="shared" si="69"/>
        <v>0</v>
      </c>
      <c r="W93" s="2"/>
      <c r="X93" s="2">
        <f t="shared" si="70"/>
        <v>61850.55</v>
      </c>
      <c r="Y93" s="2"/>
      <c r="Z93" s="22">
        <f t="shared" si="71"/>
        <v>9.8175476190476196</v>
      </c>
    </row>
    <row r="94" spans="1:26" s="24" customFormat="1" hidden="1" outlineLevel="1" x14ac:dyDescent="0.25">
      <c r="A94" s="51"/>
      <c r="B94" s="11" t="str">
        <f>CONCATENATE("          ", "9151", " - ", "MISC. INCOME")</f>
        <v xml:space="preserve">          9151 - MISC. INCOME</v>
      </c>
      <c r="C94" s="11"/>
      <c r="D94" s="2">
        <f>0</f>
        <v>0</v>
      </c>
      <c r="E94" s="2"/>
      <c r="F94" s="22">
        <f t="shared" si="64"/>
        <v>0</v>
      </c>
      <c r="G94" s="2"/>
      <c r="H94" s="2">
        <v>15175</v>
      </c>
      <c r="I94" s="2"/>
      <c r="J94" s="22">
        <f t="shared" si="65"/>
        <v>0</v>
      </c>
      <c r="K94" s="2"/>
      <c r="L94" s="2">
        <f t="shared" si="66"/>
        <v>-15175</v>
      </c>
      <c r="M94" s="2"/>
      <c r="N94" s="22">
        <f t="shared" si="67"/>
        <v>-1</v>
      </c>
      <c r="O94" s="11"/>
      <c r="P94" s="2">
        <f>0</f>
        <v>0</v>
      </c>
      <c r="Q94" s="2"/>
      <c r="R94" s="22">
        <f t="shared" si="68"/>
        <v>0</v>
      </c>
      <c r="S94" s="2"/>
      <c r="T94" s="2">
        <v>45525</v>
      </c>
      <c r="U94" s="2"/>
      <c r="V94" s="22">
        <f t="shared" si="69"/>
        <v>0</v>
      </c>
      <c r="W94" s="2"/>
      <c r="X94" s="2">
        <f t="shared" si="70"/>
        <v>-45525</v>
      </c>
      <c r="Y94" s="2"/>
      <c r="Z94" s="22">
        <f t="shared" si="71"/>
        <v>-1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6" t="s">
        <v>3</v>
      </c>
      <c r="C96" s="26"/>
      <c r="D96" s="20">
        <f>+D16-D18+D92</f>
        <v>-106296.06000000001</v>
      </c>
      <c r="E96" s="13"/>
      <c r="F96" s="21">
        <f>IF(D$12=0,0,D96/D$12)</f>
        <v>0</v>
      </c>
      <c r="G96" s="13"/>
      <c r="H96" s="20">
        <f>+H16-H18+H92</f>
        <v>-156903.36854033847</v>
      </c>
      <c r="I96" s="13"/>
      <c r="J96" s="21">
        <f>IF(H$12=0,0,H96/H$12)</f>
        <v>0</v>
      </c>
      <c r="K96" s="16"/>
      <c r="L96" s="20">
        <f>+D96-H96</f>
        <v>50607.308540338461</v>
      </c>
      <c r="M96" s="16"/>
      <c r="N96" s="21">
        <f>IF(H96=0,0,L96/H96)</f>
        <v>-0.32253806282895559</v>
      </c>
      <c r="O96" s="25"/>
      <c r="P96" s="20">
        <f>+P16-P18+P92</f>
        <v>-348454.49000000005</v>
      </c>
      <c r="Q96" s="13"/>
      <c r="R96" s="21">
        <f>IF(P$12=0,0,P96/P$12)</f>
        <v>0</v>
      </c>
      <c r="S96" s="13"/>
      <c r="T96" s="20">
        <f>+T16-T18+T92</f>
        <v>-503243.76593610004</v>
      </c>
      <c r="U96" s="13"/>
      <c r="V96" s="21">
        <f>IF(T$12=0,0,T96/T$12)</f>
        <v>0</v>
      </c>
      <c r="W96" s="16"/>
      <c r="X96" s="20">
        <f>+P96-T96</f>
        <v>154789.27593609999</v>
      </c>
      <c r="Y96" s="16"/>
      <c r="Z96" s="21">
        <f>IF(T96=0,0,X96/T96)</f>
        <v>-0.30758309672882173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2"/>
      <c r="B98" s="10" t="s">
        <v>14</v>
      </c>
      <c r="C98" s="10"/>
      <c r="D98" s="4"/>
      <c r="E98" s="4"/>
      <c r="F98" s="12">
        <f>IF(D$12=0,0,D98/D$12)</f>
        <v>0</v>
      </c>
      <c r="G98" s="4"/>
      <c r="H98" s="4"/>
      <c r="I98" s="4"/>
      <c r="J98" s="12">
        <f>IF(H$12=0,0,H98/H$12)</f>
        <v>0</v>
      </c>
      <c r="K98" s="4"/>
      <c r="L98" s="4">
        <f>+D98-H98</f>
        <v>0</v>
      </c>
      <c r="M98" s="4"/>
      <c r="N98" s="12">
        <f>IF(H98=0,0,L98/H98)</f>
        <v>0</v>
      </c>
      <c r="O98" s="10"/>
      <c r="P98" s="4"/>
      <c r="Q98" s="4"/>
      <c r="R98" s="12">
        <f>IF(P$12=0,0,P98/P$12)</f>
        <v>0</v>
      </c>
      <c r="S98" s="4"/>
      <c r="T98" s="4"/>
      <c r="U98" s="4"/>
      <c r="V98" s="12">
        <f>IF(T$12=0,0,T98/T$12)</f>
        <v>0</v>
      </c>
      <c r="W98" s="4"/>
      <c r="X98" s="4">
        <f>+P98-T98</f>
        <v>0</v>
      </c>
      <c r="Y98" s="4"/>
      <c r="Z98" s="12">
        <f>IF(T98=0,0,X98/T98)</f>
        <v>0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6" t="s">
        <v>4</v>
      </c>
      <c r="C100" s="26"/>
      <c r="D100" s="33">
        <f>+D96-D98</f>
        <v>-106296.06000000001</v>
      </c>
      <c r="E100" s="13"/>
      <c r="F100" s="34">
        <f>IF(D$12=0,0,D100/D$12)</f>
        <v>0</v>
      </c>
      <c r="G100" s="13"/>
      <c r="H100" s="33">
        <f>+H96-H98</f>
        <v>-156903.36854033847</v>
      </c>
      <c r="I100" s="13"/>
      <c r="J100" s="34">
        <f>IF(H$12=0,0,H100/H$12)</f>
        <v>0</v>
      </c>
      <c r="K100" s="16"/>
      <c r="L100" s="33">
        <f>D100-H100</f>
        <v>50607.308540338461</v>
      </c>
      <c r="M100" s="16"/>
      <c r="N100" s="34">
        <f>IF(H100=0,0,L100/H100)</f>
        <v>-0.32253806282895559</v>
      </c>
      <c r="O100" s="25"/>
      <c r="P100" s="33">
        <f>+P96-P98</f>
        <v>-348454.49000000005</v>
      </c>
      <c r="Q100" s="13"/>
      <c r="R100" s="34">
        <f>IF(P$12=0,0,P100/P$12)</f>
        <v>0</v>
      </c>
      <c r="S100" s="13"/>
      <c r="T100" s="33">
        <f>+T96-T98</f>
        <v>-503243.76593610004</v>
      </c>
      <c r="U100" s="13"/>
      <c r="V100" s="34">
        <f>IF(T$12=0,0,T100/T$12)</f>
        <v>0</v>
      </c>
      <c r="W100" s="16"/>
      <c r="X100" s="33">
        <f>P100-T100</f>
        <v>154789.27593609999</v>
      </c>
      <c r="Y100" s="16"/>
      <c r="Z100" s="34">
        <f>IF(T100=0,0,X100/T100)</f>
        <v>-0.30758309672882173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6" t="s">
        <v>5</v>
      </c>
      <c r="C103" s="26"/>
      <c r="D103" s="31">
        <f>SUM(D100:D102)</f>
        <v>-106296.06000000001</v>
      </c>
      <c r="E103" s="13"/>
      <c r="F103" s="32">
        <f>IF(D$12=0,0,D103/D$12)</f>
        <v>0</v>
      </c>
      <c r="G103" s="13"/>
      <c r="H103" s="31">
        <f>SUM(H100:H102)</f>
        <v>-156903.36854033847</v>
      </c>
      <c r="I103" s="13"/>
      <c r="J103" s="32">
        <f>IF(H$12=0,0,H103/H$12)</f>
        <v>0</v>
      </c>
      <c r="K103" s="16"/>
      <c r="L103" s="31">
        <f>+D103-H103</f>
        <v>50607.308540338461</v>
      </c>
      <c r="M103" s="16"/>
      <c r="N103" s="32">
        <f>IF(H103=0,0,L103/H103)</f>
        <v>-0.32253806282895559</v>
      </c>
      <c r="O103" s="25"/>
      <c r="P103" s="31">
        <f>SUM(P100:P102)</f>
        <v>-348454.49000000005</v>
      </c>
      <c r="Q103" s="13"/>
      <c r="R103" s="32">
        <f>IF(P$12=0,0,P103/P$12)</f>
        <v>0</v>
      </c>
      <c r="S103" s="13"/>
      <c r="T103" s="31">
        <f>SUM(T100:T102)</f>
        <v>-503243.76593610004</v>
      </c>
      <c r="U103" s="13"/>
      <c r="V103" s="32">
        <f>IF(T$12=0,0,T103/T$12)</f>
        <v>0</v>
      </c>
      <c r="W103" s="16"/>
      <c r="X103" s="31">
        <f>+P103-T103</f>
        <v>154789.27593609999</v>
      </c>
      <c r="Y103" s="16"/>
      <c r="Z103" s="32">
        <f>IF(T103=0,0,X103/T103)</f>
        <v>-0.30758309672882173</v>
      </c>
    </row>
    <row r="104" spans="1:26" ht="15.75" thickTop="1" x14ac:dyDescent="0.25">
      <c r="A104" s="9"/>
      <c r="C104" s="9"/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  <row r="105" spans="1:26" x14ac:dyDescent="0.25">
      <c r="A105" s="9"/>
      <c r="B105" s="55">
        <v>44123.571843136575</v>
      </c>
      <c r="D105" s="17"/>
      <c r="E105" s="17"/>
      <c r="G105" s="17"/>
      <c r="H105" s="17"/>
      <c r="I105" s="17"/>
      <c r="J105" s="43"/>
      <c r="K105" s="17"/>
      <c r="L105" s="17"/>
      <c r="M105" s="17"/>
      <c r="P105" s="17"/>
      <c r="Q105" s="17"/>
      <c r="R105" s="43"/>
      <c r="S105" s="17"/>
      <c r="T105" s="17"/>
      <c r="U105" s="17"/>
      <c r="V105" s="43"/>
      <c r="W105" s="17"/>
      <c r="X105" s="17"/>
    </row>
    <row r="106" spans="1:26" x14ac:dyDescent="0.25">
      <c r="A106" s="9"/>
      <c r="B106" s="53" t="s">
        <v>314</v>
      </c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62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306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8896.08</v>
      </c>
      <c r="E12" s="4"/>
      <c r="F12" s="12"/>
      <c r="G12" s="4"/>
      <c r="H12" s="4">
        <f>SUM(OSRRefH13x_0)</f>
        <v>14535</v>
      </c>
      <c r="I12" s="4"/>
      <c r="J12" s="12"/>
      <c r="K12" s="4"/>
      <c r="L12" s="4">
        <f t="shared" ref="L12:L23" si="0">+D12-H12</f>
        <v>-5638.92</v>
      </c>
      <c r="M12" s="4"/>
      <c r="N12" s="12">
        <f t="shared" ref="N12:N23" si="1">IF(H12=0,0,L12/H12)</f>
        <v>-0.38795459236326107</v>
      </c>
      <c r="O12" s="10"/>
      <c r="P12" s="4">
        <f>SUM(OSRRefP13x_0)</f>
        <v>21294.02</v>
      </c>
      <c r="Q12" s="4"/>
      <c r="R12" s="12"/>
      <c r="S12" s="4"/>
      <c r="T12" s="4">
        <f>SUM(OSRRefT13x_0)</f>
        <v>19861</v>
      </c>
      <c r="U12" s="4"/>
      <c r="V12" s="12"/>
      <c r="W12" s="4"/>
      <c r="X12" s="4">
        <f t="shared" ref="X12:X23" si="2">+P12-T12</f>
        <v>1433.0200000000004</v>
      </c>
      <c r="Y12" s="4"/>
      <c r="Z12" s="12">
        <f t="shared" ref="Z12:Z23" si="3">IF(T12=0,0,X12/T12)</f>
        <v>7.2152459594179569E-2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-25.17</f>
        <v>-25.17</v>
      </c>
      <c r="E13" s="2"/>
      <c r="F13" s="22"/>
      <c r="G13" s="2"/>
      <c r="H13" s="2"/>
      <c r="I13" s="2"/>
      <c r="J13" s="22"/>
      <c r="K13" s="2"/>
      <c r="L13" s="2">
        <f t="shared" si="0"/>
        <v>-25.17</v>
      </c>
      <c r="M13" s="2"/>
      <c r="N13" s="22">
        <f t="shared" si="1"/>
        <v>0</v>
      </c>
      <c r="O13" s="11"/>
      <c r="P13" s="2">
        <f>-1094.7</f>
        <v>-1094.7</v>
      </c>
      <c r="Q13" s="2"/>
      <c r="R13" s="22"/>
      <c r="S13" s="2"/>
      <c r="T13" s="2"/>
      <c r="U13" s="2"/>
      <c r="V13" s="22"/>
      <c r="W13" s="2"/>
      <c r="X13" s="2">
        <f t="shared" si="2"/>
        <v>-1094.7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--17.51</f>
        <v>17.510000000000002</v>
      </c>
      <c r="E14" s="2"/>
      <c r="F14" s="22"/>
      <c r="G14" s="2"/>
      <c r="H14" s="2"/>
      <c r="I14" s="2"/>
      <c r="J14" s="22"/>
      <c r="K14" s="2"/>
      <c r="L14" s="2">
        <f t="shared" si="0"/>
        <v>17.510000000000002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--4601.45</f>
        <v>4601.45</v>
      </c>
      <c r="E15" s="2"/>
      <c r="F15" s="22"/>
      <c r="G15" s="2"/>
      <c r="H15" s="2"/>
      <c r="I15" s="2"/>
      <c r="J15" s="22"/>
      <c r="K15" s="2"/>
      <c r="L15" s="2">
        <f t="shared" si="0"/>
        <v>4601.45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--2807.8</f>
        <v>2807.8</v>
      </c>
      <c r="E16" s="2"/>
      <c r="F16" s="22"/>
      <c r="G16" s="2"/>
      <c r="H16" s="2"/>
      <c r="I16" s="2"/>
      <c r="J16" s="22"/>
      <c r="K16" s="2"/>
      <c r="L16" s="2">
        <f t="shared" si="0"/>
        <v>2807.8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--244.33</f>
        <v>244.33</v>
      </c>
      <c r="E17" s="2"/>
      <c r="F17" s="22"/>
      <c r="G17" s="2"/>
      <c r="H17" s="2"/>
      <c r="I17" s="2"/>
      <c r="J17" s="22"/>
      <c r="K17" s="2"/>
      <c r="L17" s="2">
        <f t="shared" si="0"/>
        <v>244.33</v>
      </c>
      <c r="M17" s="2"/>
      <c r="N17" s="22">
        <f t="shared" si="1"/>
        <v>0</v>
      </c>
      <c r="O17" s="11"/>
      <c r="P17" s="2">
        <f>--369.37</f>
        <v>369.37</v>
      </c>
      <c r="Q17" s="2"/>
      <c r="R17" s="22"/>
      <c r="S17" s="2"/>
      <c r="T17" s="2"/>
      <c r="U17" s="2"/>
      <c r="V17" s="22"/>
      <c r="W17" s="2"/>
      <c r="X17" s="2">
        <f t="shared" si="2"/>
        <v>369.37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>--71.95</f>
        <v>71.95</v>
      </c>
      <c r="E18" s="2"/>
      <c r="F18" s="22"/>
      <c r="G18" s="2"/>
      <c r="H18" s="2"/>
      <c r="I18" s="2"/>
      <c r="J18" s="22"/>
      <c r="K18" s="2"/>
      <c r="L18" s="2">
        <f t="shared" si="0"/>
        <v>71.95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>--9.99</f>
        <v>9.99</v>
      </c>
      <c r="E19" s="2"/>
      <c r="F19" s="22"/>
      <c r="G19" s="2"/>
      <c r="H19" s="2"/>
      <c r="I19" s="2"/>
      <c r="J19" s="22"/>
      <c r="K19" s="2"/>
      <c r="L19" s="2">
        <f t="shared" si="0"/>
        <v>9.99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>0</f>
        <v>0</v>
      </c>
      <c r="E20" s="2"/>
      <c r="F20" s="22"/>
      <c r="G20" s="2"/>
      <c r="H20" s="2">
        <v>14535</v>
      </c>
      <c r="I20" s="2"/>
      <c r="J20" s="22"/>
      <c r="K20" s="2"/>
      <c r="L20" s="2">
        <f t="shared" si="0"/>
        <v>-14535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19861</v>
      </c>
      <c r="U20" s="2"/>
      <c r="V20" s="22"/>
      <c r="W20" s="2"/>
      <c r="X20" s="2">
        <f t="shared" si="2"/>
        <v>-19861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>--1245.56</f>
        <v>1245.56</v>
      </c>
      <c r="E21" s="2"/>
      <c r="F21" s="22"/>
      <c r="G21" s="2"/>
      <c r="H21" s="2"/>
      <c r="I21" s="2"/>
      <c r="J21" s="22"/>
      <c r="K21" s="2"/>
      <c r="L21" s="2">
        <f t="shared" si="0"/>
        <v>1245.56</v>
      </c>
      <c r="M21" s="2"/>
      <c r="N21" s="22">
        <f t="shared" si="1"/>
        <v>0</v>
      </c>
      <c r="O21" s="11"/>
      <c r="P21" s="2">
        <f>--1832.7</f>
        <v>1832.7</v>
      </c>
      <c r="Q21" s="2"/>
      <c r="R21" s="22"/>
      <c r="S21" s="2"/>
      <c r="T21" s="2"/>
      <c r="U21" s="2"/>
      <c r="V21" s="22"/>
      <c r="W21" s="2"/>
      <c r="X21" s="2">
        <f t="shared" si="2"/>
        <v>1832.7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>-19.58</f>
        <v>-19.579999999999998</v>
      </c>
      <c r="E22" s="2"/>
      <c r="F22" s="22"/>
      <c r="G22" s="2"/>
      <c r="H22" s="2"/>
      <c r="I22" s="2"/>
      <c r="J22" s="22"/>
      <c r="K22" s="2"/>
      <c r="L22" s="2">
        <f t="shared" si="0"/>
        <v>-19.579999999999998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>-57.76</f>
        <v>-57.76</v>
      </c>
      <c r="E23" s="2"/>
      <c r="F23" s="22"/>
      <c r="G23" s="2"/>
      <c r="H23" s="2"/>
      <c r="I23" s="2"/>
      <c r="J23" s="22"/>
      <c r="K23" s="2"/>
      <c r="L23" s="2">
        <f t="shared" si="0"/>
        <v>-57.76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5" t="s">
        <v>8</v>
      </c>
      <c r="C25" s="10"/>
      <c r="D25" s="4">
        <f>SUM(OSRRefD16x_0)</f>
        <v>5140</v>
      </c>
      <c r="E25" s="4"/>
      <c r="F25" s="12">
        <f t="shared" ref="F25:F30" si="4">IF(D$12=0,0,D25/D$12)</f>
        <v>0.5777825738977167</v>
      </c>
      <c r="G25" s="4"/>
      <c r="H25" s="4">
        <f>SUM(OSRRefH16x_0)</f>
        <v>7455</v>
      </c>
      <c r="I25" s="4"/>
      <c r="J25" s="12">
        <f t="shared" ref="J25:J30" si="5">IF(H$12=0,0,H25/H$12)</f>
        <v>0.51289989680082559</v>
      </c>
      <c r="K25" s="4"/>
      <c r="L25" s="4">
        <f t="shared" ref="L25:L30" si="6">+D25-H25</f>
        <v>-2315</v>
      </c>
      <c r="M25" s="4"/>
      <c r="N25" s="12">
        <f t="shared" ref="N25:N30" si="7">IF(H25=0,0,L25/H25)</f>
        <v>-0.31052984574111336</v>
      </c>
      <c r="O25" s="10"/>
      <c r="P25" s="4">
        <f>SUM(OSRRefP16x_0)</f>
        <v>14183.05</v>
      </c>
      <c r="Q25" s="4"/>
      <c r="R25" s="12">
        <f t="shared" ref="R25:R30" si="8">IF(P$12=0,0,P25/P$12)</f>
        <v>0.66605788855274861</v>
      </c>
      <c r="S25" s="4"/>
      <c r="T25" s="4">
        <f>SUM(OSRRefT16x_0)</f>
        <v>10320</v>
      </c>
      <c r="U25" s="4"/>
      <c r="V25" s="12">
        <f t="shared" ref="V25:V30" si="9">IF(T$12=0,0,T25/T$12)</f>
        <v>0.51961129852474697</v>
      </c>
      <c r="W25" s="4"/>
      <c r="X25" s="4">
        <f t="shared" ref="X25:X30" si="10">+P25-T25</f>
        <v>3863.0499999999993</v>
      </c>
      <c r="Y25" s="4"/>
      <c r="Z25" s="12">
        <f t="shared" ref="Z25:Z30" si="11">IF(T25=0,0,X25/T25)</f>
        <v>0.37432655038759682</v>
      </c>
    </row>
    <row r="26" spans="1:26" s="24" customFormat="1" hidden="1" outlineLevel="1" x14ac:dyDescent="0.2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4"/>
        <v>0</v>
      </c>
      <c r="G26" s="2"/>
      <c r="H26" s="2">
        <v>7455</v>
      </c>
      <c r="I26" s="2"/>
      <c r="J26" s="22">
        <f t="shared" si="5"/>
        <v>0.51289989680082559</v>
      </c>
      <c r="K26" s="2"/>
      <c r="L26" s="2">
        <f t="shared" si="6"/>
        <v>-7455</v>
      </c>
      <c r="M26" s="2"/>
      <c r="N26" s="22">
        <f t="shared" si="7"/>
        <v>-1</v>
      </c>
      <c r="O26" s="11"/>
      <c r="P26" s="2"/>
      <c r="Q26" s="2"/>
      <c r="R26" s="22">
        <f t="shared" si="8"/>
        <v>0</v>
      </c>
      <c r="S26" s="2"/>
      <c r="T26" s="2">
        <v>10320</v>
      </c>
      <c r="U26" s="2"/>
      <c r="V26" s="22">
        <f t="shared" si="9"/>
        <v>0.51961129852474697</v>
      </c>
      <c r="W26" s="2"/>
      <c r="X26" s="2">
        <f t="shared" si="10"/>
        <v>-10320</v>
      </c>
      <c r="Y26" s="2"/>
      <c r="Z26" s="22">
        <f t="shared" si="11"/>
        <v>-1</v>
      </c>
    </row>
    <row r="27" spans="1:26" s="24" customFormat="1" hidden="1" outlineLevel="1" x14ac:dyDescent="0.25">
      <c r="A27" s="51"/>
      <c r="B27" s="11" t="str">
        <f>CONCATENATE("          ", "5031", " - ", "PURCHASES @ COST-FOOD")</f>
        <v xml:space="preserve">          5031 - PURCHASES @ COST-FOOD</v>
      </c>
      <c r="C27" s="11"/>
      <c r="D27" s="2">
        <v>2882.41</v>
      </c>
      <c r="E27" s="2"/>
      <c r="F27" s="22">
        <f t="shared" si="4"/>
        <v>0.32400900171761043</v>
      </c>
      <c r="G27" s="2"/>
      <c r="H27" s="2"/>
      <c r="I27" s="2"/>
      <c r="J27" s="22">
        <f t="shared" si="5"/>
        <v>0</v>
      </c>
      <c r="K27" s="2"/>
      <c r="L27" s="2">
        <f t="shared" si="6"/>
        <v>2882.41</v>
      </c>
      <c r="M27" s="2"/>
      <c r="N27" s="22">
        <f t="shared" si="7"/>
        <v>0</v>
      </c>
      <c r="O27" s="11"/>
      <c r="P27" s="2">
        <v>2882.41</v>
      </c>
      <c r="Q27" s="2"/>
      <c r="R27" s="22">
        <f t="shared" si="8"/>
        <v>0.13536241630279297</v>
      </c>
      <c r="S27" s="2"/>
      <c r="T27" s="2"/>
      <c r="U27" s="2"/>
      <c r="V27" s="22">
        <f t="shared" si="9"/>
        <v>0</v>
      </c>
      <c r="W27" s="2"/>
      <c r="X27" s="2">
        <f t="shared" si="10"/>
        <v>2882.41</v>
      </c>
      <c r="Y27" s="2"/>
      <c r="Z27" s="22">
        <f t="shared" si="11"/>
        <v>0</v>
      </c>
    </row>
    <row r="28" spans="1:26" s="24" customFormat="1" hidden="1" outlineLevel="1" x14ac:dyDescent="0.25">
      <c r="A28" s="51"/>
      <c r="B28" s="11" t="str">
        <f>CONCATENATE("          ", "5200", " - ", "PURCHASES OFFSET")</f>
        <v xml:space="preserve">          5200 - PURCHASES OFFSET</v>
      </c>
      <c r="C28" s="11"/>
      <c r="D28" s="2">
        <v>-2889.17</v>
      </c>
      <c r="E28" s="2"/>
      <c r="F28" s="22">
        <f t="shared" si="4"/>
        <v>-0.32476888697044093</v>
      </c>
      <c r="G28" s="2"/>
      <c r="H28" s="2"/>
      <c r="I28" s="2"/>
      <c r="J28" s="22">
        <f t="shared" si="5"/>
        <v>0</v>
      </c>
      <c r="K28" s="2"/>
      <c r="L28" s="2">
        <f t="shared" si="6"/>
        <v>-2889.17</v>
      </c>
      <c r="M28" s="2"/>
      <c r="N28" s="22">
        <f t="shared" si="7"/>
        <v>0</v>
      </c>
      <c r="O28" s="11"/>
      <c r="P28" s="2">
        <v>-2889.17</v>
      </c>
      <c r="Q28" s="2"/>
      <c r="R28" s="22">
        <f t="shared" si="8"/>
        <v>-0.13567987632208478</v>
      </c>
      <c r="S28" s="2"/>
      <c r="T28" s="2"/>
      <c r="U28" s="2"/>
      <c r="V28" s="22">
        <f t="shared" si="9"/>
        <v>0</v>
      </c>
      <c r="W28" s="2"/>
      <c r="X28" s="2">
        <f t="shared" si="10"/>
        <v>-2889.17</v>
      </c>
      <c r="Y28" s="2"/>
      <c r="Z28" s="22">
        <f t="shared" si="11"/>
        <v>0</v>
      </c>
    </row>
    <row r="29" spans="1:26" s="24" customFormat="1" hidden="1" outlineLevel="1" x14ac:dyDescent="0.25">
      <c r="A29" s="51"/>
      <c r="B29" s="11" t="str">
        <f>CONCATENATE("          ", "5300", " - ", "COG$ OFFSET")</f>
        <v xml:space="preserve">          5300 - COG$ OFFSET</v>
      </c>
      <c r="C29" s="11"/>
      <c r="D29" s="2">
        <v>5140</v>
      </c>
      <c r="E29" s="2"/>
      <c r="F29" s="22">
        <f t="shared" si="4"/>
        <v>0.5777825738977167</v>
      </c>
      <c r="G29" s="2"/>
      <c r="H29" s="2"/>
      <c r="I29" s="2"/>
      <c r="J29" s="22">
        <f t="shared" si="5"/>
        <v>0</v>
      </c>
      <c r="K29" s="2"/>
      <c r="L29" s="2">
        <f t="shared" si="6"/>
        <v>5140</v>
      </c>
      <c r="M29" s="2"/>
      <c r="N29" s="22">
        <f t="shared" si="7"/>
        <v>0</v>
      </c>
      <c r="O29" s="11"/>
      <c r="P29" s="2">
        <v>14145</v>
      </c>
      <c r="Q29" s="2"/>
      <c r="R29" s="22">
        <f t="shared" si="8"/>
        <v>0.66427100190569932</v>
      </c>
      <c r="S29" s="2"/>
      <c r="T29" s="2"/>
      <c r="U29" s="2"/>
      <c r="V29" s="22">
        <f t="shared" si="9"/>
        <v>0</v>
      </c>
      <c r="W29" s="2"/>
      <c r="X29" s="2">
        <f t="shared" si="10"/>
        <v>14145</v>
      </c>
      <c r="Y29" s="2"/>
      <c r="Z29" s="22">
        <f t="shared" si="11"/>
        <v>0</v>
      </c>
    </row>
    <row r="30" spans="1:26" s="24" customFormat="1" hidden="1" outlineLevel="1" x14ac:dyDescent="0.25">
      <c r="A30" s="51"/>
      <c r="B30" s="11" t="str">
        <f>CONCATENATE("          ", "5528", " - ", "FREIGHT-IN-ART/TECH")</f>
        <v xml:space="preserve">          5528 - FREIGHT-IN-ART/TECH</v>
      </c>
      <c r="C30" s="11"/>
      <c r="D30" s="2">
        <v>6.76</v>
      </c>
      <c r="E30" s="2"/>
      <c r="F30" s="22">
        <f t="shared" si="4"/>
        <v>7.5988525283046009E-4</v>
      </c>
      <c r="G30" s="2"/>
      <c r="H30" s="2"/>
      <c r="I30" s="2"/>
      <c r="J30" s="22">
        <f t="shared" si="5"/>
        <v>0</v>
      </c>
      <c r="K30" s="2"/>
      <c r="L30" s="2">
        <f t="shared" si="6"/>
        <v>6.76</v>
      </c>
      <c r="M30" s="2"/>
      <c r="N30" s="22">
        <f t="shared" si="7"/>
        <v>0</v>
      </c>
      <c r="O30" s="11"/>
      <c r="P30" s="2">
        <v>44.81</v>
      </c>
      <c r="Q30" s="2"/>
      <c r="R30" s="22">
        <f t="shared" si="8"/>
        <v>2.1043466663410665E-3</v>
      </c>
      <c r="S30" s="2"/>
      <c r="T30" s="2"/>
      <c r="U30" s="2"/>
      <c r="V30" s="22">
        <f t="shared" si="9"/>
        <v>0</v>
      </c>
      <c r="W30" s="2"/>
      <c r="X30" s="2">
        <f t="shared" si="10"/>
        <v>44.81</v>
      </c>
      <c r="Y30" s="2"/>
      <c r="Z30" s="22">
        <f t="shared" si="11"/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6" t="s">
        <v>6</v>
      </c>
      <c r="C32" s="26"/>
      <c r="D32" s="20">
        <f>D12-D25</f>
        <v>3756.08</v>
      </c>
      <c r="E32" s="13"/>
      <c r="F32" s="21">
        <f>IF(D$12=0,0,D32/D$12)</f>
        <v>0.42221742610228324</v>
      </c>
      <c r="G32" s="13"/>
      <c r="H32" s="20">
        <f>H12-H25</f>
        <v>7080</v>
      </c>
      <c r="I32" s="13"/>
      <c r="J32" s="21">
        <f>IF(H$12=0,0,H32/H$12)</f>
        <v>0.48710010319917441</v>
      </c>
      <c r="K32" s="16"/>
      <c r="L32" s="20">
        <f>+D32-H32</f>
        <v>-3323.92</v>
      </c>
      <c r="M32" s="16"/>
      <c r="N32" s="21">
        <f>IF(H32=0,0,L32/H32)</f>
        <v>-0.46948022598870059</v>
      </c>
      <c r="O32" s="25"/>
      <c r="P32" s="20">
        <f>P12-P25</f>
        <v>7110.9700000000012</v>
      </c>
      <c r="Q32" s="13"/>
      <c r="R32" s="21">
        <f>IF(P$12=0,0,P32/P$12)</f>
        <v>0.33394211144725144</v>
      </c>
      <c r="S32" s="13"/>
      <c r="T32" s="20">
        <f>T12-T25</f>
        <v>9541</v>
      </c>
      <c r="U32" s="13"/>
      <c r="V32" s="21">
        <f>IF(T$12=0,0,T32/T$12)</f>
        <v>0.48038870147525303</v>
      </c>
      <c r="W32" s="16"/>
      <c r="X32" s="20">
        <f>+P32-T32</f>
        <v>-2430.0299999999988</v>
      </c>
      <c r="Y32" s="16"/>
      <c r="Z32" s="21">
        <f>IF(T32=0,0,X32/T32)</f>
        <v>-0.25469342836180681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5" t="s">
        <v>9</v>
      </c>
      <c r="C34" s="10"/>
      <c r="D34" s="19">
        <f>SUM(OSRRefD22x_0)</f>
        <v>3608.6000000000004</v>
      </c>
      <c r="E34" s="19"/>
      <c r="F34" s="35">
        <f t="shared" ref="F34:F43" si="12">IF(D$12=0,0,D34/D$12)</f>
        <v>0.40563933777573946</v>
      </c>
      <c r="G34" s="19"/>
      <c r="H34" s="19">
        <f>SUM(OSRRefH22x_0)</f>
        <v>10706.904978999999</v>
      </c>
      <c r="I34" s="19"/>
      <c r="J34" s="35">
        <f t="shared" ref="J34:J43" si="13">IF(H$12=0,0,H34/H$12)</f>
        <v>0.73662916952184376</v>
      </c>
      <c r="K34" s="4"/>
      <c r="L34" s="19">
        <f t="shared" ref="L34:L43" si="14">+D34-H34</f>
        <v>-7098.3049789999986</v>
      </c>
      <c r="M34" s="4"/>
      <c r="N34" s="35">
        <f t="shared" ref="N34:N43" si="15">IF(H34=0,0,L34/H34)</f>
        <v>-0.66296516060638133</v>
      </c>
      <c r="O34" s="10"/>
      <c r="P34" s="19">
        <f>SUM(OSRRefP22x_0)</f>
        <v>10193.669999999996</v>
      </c>
      <c r="Q34" s="19"/>
      <c r="R34" s="35">
        <f t="shared" ref="R34:R43" si="16">IF(P$12=0,0,P34/P$12)</f>
        <v>0.47871045486009667</v>
      </c>
      <c r="S34" s="19"/>
      <c r="T34" s="19">
        <f>SUM(OSRRefT22x_0)</f>
        <v>28836.467966999997</v>
      </c>
      <c r="U34" s="19"/>
      <c r="V34" s="35">
        <f t="shared" ref="V34:V43" si="17">IF(T$12=0,0,T34/T$12)</f>
        <v>1.451914202054277</v>
      </c>
      <c r="W34" s="4"/>
      <c r="X34" s="19">
        <f t="shared" ref="X34:X43" si="18">+P34-T34</f>
        <v>-18642.797966999999</v>
      </c>
      <c r="Y34" s="4"/>
      <c r="Z34" s="35">
        <f t="shared" ref="Z34:Z43" si="19">IF(T34=0,0,X34/T34)</f>
        <v>-0.64650074302908822</v>
      </c>
    </row>
    <row r="35" spans="1:26" s="28" customFormat="1" outlineLevel="1" collapsed="1" x14ac:dyDescent="0.25">
      <c r="A35" s="27"/>
      <c r="B35" s="14" t="str">
        <f>CONCATENATE("     ","*Benefits                                         ")</f>
        <v xml:space="preserve">     *Benefits                                         </v>
      </c>
      <c r="C35" s="14"/>
      <c r="D35" s="1">
        <f>SUM(OSRRefD22_0x_0)</f>
        <v>248.82999999999998</v>
      </c>
      <c r="E35" s="1"/>
      <c r="F35" s="5">
        <f t="shared" si="12"/>
        <v>2.7970746665947246E-2</v>
      </c>
      <c r="G35" s="1"/>
      <c r="H35" s="1">
        <f>SUM(OSRRefH22_0x_0)</f>
        <v>1818.514979</v>
      </c>
      <c r="I35" s="1"/>
      <c r="J35" s="5">
        <f t="shared" si="13"/>
        <v>0.12511282965256279</v>
      </c>
      <c r="K35" s="1"/>
      <c r="L35" s="1">
        <f t="shared" si="14"/>
        <v>-1569.6849790000001</v>
      </c>
      <c r="M35" s="1"/>
      <c r="N35" s="5">
        <f t="shared" si="15"/>
        <v>-0.86316857277863535</v>
      </c>
      <c r="O35" s="14"/>
      <c r="P35" s="1">
        <f>SUM(OSRRefP22_0x_0)</f>
        <v>562.16999999999996</v>
      </c>
      <c r="Q35" s="1"/>
      <c r="R35" s="5">
        <f t="shared" si="16"/>
        <v>2.6400369681253231E-2</v>
      </c>
      <c r="S35" s="1"/>
      <c r="T35" s="1">
        <f>SUM(OSRRefT22_0x_0)</f>
        <v>5497.6879669999998</v>
      </c>
      <c r="U35" s="1"/>
      <c r="V35" s="5">
        <f t="shared" si="17"/>
        <v>0.27680821544735912</v>
      </c>
      <c r="W35" s="1"/>
      <c r="X35" s="1">
        <f t="shared" si="18"/>
        <v>-4935.5179669999998</v>
      </c>
      <c r="Y35" s="1"/>
      <c r="Z35" s="5">
        <f t="shared" si="19"/>
        <v>-0.89774428753060587</v>
      </c>
    </row>
    <row r="36" spans="1:26" s="24" customFormat="1" hidden="1" outlineLevel="2" x14ac:dyDescent="0.25">
      <c r="A36" s="29"/>
      <c r="B36" s="11" t="str">
        <f>CONCATENATE("          ", "6111", " - ", "F.I.C.A.")</f>
        <v xml:space="preserve">          6111 - F.I.C.A.</v>
      </c>
      <c r="C36" s="11"/>
      <c r="D36" s="6">
        <v>149.04</v>
      </c>
      <c r="E36" s="2"/>
      <c r="F36" s="7">
        <f t="shared" si="12"/>
        <v>1.6753446461812392E-2</v>
      </c>
      <c r="G36" s="2"/>
      <c r="H36" s="6">
        <v>376.91025000000002</v>
      </c>
      <c r="I36" s="2"/>
      <c r="J36" s="7">
        <f t="shared" si="13"/>
        <v>2.5931217750257998E-2</v>
      </c>
      <c r="K36" s="2"/>
      <c r="L36" s="6">
        <f t="shared" si="14"/>
        <v>-227.87025000000003</v>
      </c>
      <c r="M36" s="2"/>
      <c r="N36" s="7">
        <f t="shared" si="15"/>
        <v>-0.60457429852332223</v>
      </c>
      <c r="O36" s="11"/>
      <c r="P36" s="6">
        <v>406.4</v>
      </c>
      <c r="Q36" s="2"/>
      <c r="R36" s="7">
        <f t="shared" si="16"/>
        <v>1.9085170390560353E-2</v>
      </c>
      <c r="S36" s="2"/>
      <c r="T36" s="6">
        <v>1152.9474089999999</v>
      </c>
      <c r="U36" s="2"/>
      <c r="V36" s="7">
        <f t="shared" si="17"/>
        <v>5.8050823674538031E-2</v>
      </c>
      <c r="W36" s="2"/>
      <c r="X36" s="6">
        <f t="shared" si="18"/>
        <v>-746.5474089999999</v>
      </c>
      <c r="Y36" s="2"/>
      <c r="Z36" s="7">
        <f t="shared" si="19"/>
        <v>-0.64751210954844163</v>
      </c>
    </row>
    <row r="37" spans="1:26" s="24" customFormat="1" hidden="1" outlineLevel="2" x14ac:dyDescent="0.25">
      <c r="A37" s="29"/>
      <c r="B37" s="11" t="str">
        <f>CONCATENATE("          ", "6112", " - ", "COMPENSATION INSURANCE")</f>
        <v xml:space="preserve">          6112 - COMPENSATION INSURANCE</v>
      </c>
      <c r="C37" s="11"/>
      <c r="D37" s="6">
        <v>87.49</v>
      </c>
      <c r="E37" s="2"/>
      <c r="F37" s="7">
        <f t="shared" si="12"/>
        <v>9.8346687529788403E-3</v>
      </c>
      <c r="G37" s="2"/>
      <c r="H37" s="6">
        <v>121.515215</v>
      </c>
      <c r="I37" s="2"/>
      <c r="J37" s="7">
        <f t="shared" si="13"/>
        <v>8.3601799105607159E-3</v>
      </c>
      <c r="K37" s="2"/>
      <c r="L37" s="6">
        <f t="shared" si="14"/>
        <v>-34.025215000000003</v>
      </c>
      <c r="M37" s="2"/>
      <c r="N37" s="7">
        <f t="shared" si="15"/>
        <v>-0.28000785745225404</v>
      </c>
      <c r="O37" s="11"/>
      <c r="P37" s="6">
        <v>134.72999999999999</v>
      </c>
      <c r="Q37" s="2"/>
      <c r="R37" s="7">
        <f t="shared" si="16"/>
        <v>6.3271284614178063E-3</v>
      </c>
      <c r="S37" s="2"/>
      <c r="T37" s="6">
        <v>331.84893</v>
      </c>
      <c r="U37" s="2"/>
      <c r="V37" s="7">
        <f t="shared" si="17"/>
        <v>1.6708571068929055E-2</v>
      </c>
      <c r="W37" s="2"/>
      <c r="X37" s="6">
        <f t="shared" si="18"/>
        <v>-197.11893000000001</v>
      </c>
      <c r="Y37" s="2"/>
      <c r="Z37" s="7">
        <f t="shared" si="19"/>
        <v>-0.59400200567167716</v>
      </c>
    </row>
    <row r="38" spans="1:26" s="24" customFormat="1" hidden="1" outlineLevel="2" x14ac:dyDescent="0.25">
      <c r="A38" s="29"/>
      <c r="B38" s="11" t="str">
        <f>CONCATENATE("          ", "6113", " - ", "GROUP INSURANCE")</f>
        <v xml:space="preserve">          6113 - GROUP INSURANCE</v>
      </c>
      <c r="C38" s="11"/>
      <c r="D38" s="6"/>
      <c r="E38" s="2"/>
      <c r="F38" s="7">
        <f t="shared" si="12"/>
        <v>0</v>
      </c>
      <c r="G38" s="2"/>
      <c r="H38" s="6">
        <v>665</v>
      </c>
      <c r="I38" s="2"/>
      <c r="J38" s="7">
        <f t="shared" si="13"/>
        <v>4.5751633986928102E-2</v>
      </c>
      <c r="K38" s="2"/>
      <c r="L38" s="6">
        <f t="shared" si="14"/>
        <v>-665</v>
      </c>
      <c r="M38" s="2"/>
      <c r="N38" s="7">
        <f t="shared" si="15"/>
        <v>-1</v>
      </c>
      <c r="O38" s="11"/>
      <c r="P38" s="6"/>
      <c r="Q38" s="2"/>
      <c r="R38" s="7">
        <f t="shared" si="16"/>
        <v>0</v>
      </c>
      <c r="S38" s="2"/>
      <c r="T38" s="6">
        <v>1995</v>
      </c>
      <c r="U38" s="2"/>
      <c r="V38" s="7">
        <f t="shared" si="17"/>
        <v>0.10044811439504557</v>
      </c>
      <c r="W38" s="2"/>
      <c r="X38" s="6">
        <f t="shared" si="18"/>
        <v>-1995</v>
      </c>
      <c r="Y38" s="2"/>
      <c r="Z38" s="7">
        <f t="shared" si="19"/>
        <v>-1</v>
      </c>
    </row>
    <row r="39" spans="1:26" s="24" customFormat="1" hidden="1" outlineLevel="2" x14ac:dyDescent="0.25">
      <c r="A39" s="29"/>
      <c r="B39" s="11" t="str">
        <f>CONCATENATE("          ", "6114", " - ", "STATE UNEMPLOYMENT INSURANCE")</f>
        <v xml:space="preserve">          6114 - STATE UNEMPLOYMENT INSURANCE</v>
      </c>
      <c r="C39" s="11"/>
      <c r="D39" s="6">
        <v>12.3</v>
      </c>
      <c r="E39" s="2"/>
      <c r="F39" s="7">
        <f t="shared" si="12"/>
        <v>1.3826314511560149E-3</v>
      </c>
      <c r="G39" s="2"/>
      <c r="H39" s="6">
        <v>17.077814</v>
      </c>
      <c r="I39" s="2"/>
      <c r="J39" s="7">
        <f t="shared" si="13"/>
        <v>1.1749442036463708E-3</v>
      </c>
      <c r="K39" s="2"/>
      <c r="L39" s="6">
        <f t="shared" si="14"/>
        <v>-4.7778139999999993</v>
      </c>
      <c r="M39" s="2"/>
      <c r="N39" s="7">
        <f t="shared" si="15"/>
        <v>-0.27976730511293774</v>
      </c>
      <c r="O39" s="11"/>
      <c r="P39" s="6">
        <v>21.04</v>
      </c>
      <c r="Q39" s="2"/>
      <c r="R39" s="7">
        <f t="shared" si="16"/>
        <v>9.8807082927507349E-4</v>
      </c>
      <c r="S39" s="2"/>
      <c r="T39" s="6">
        <v>46.638227999999998</v>
      </c>
      <c r="U39" s="2"/>
      <c r="V39" s="7">
        <f t="shared" si="17"/>
        <v>2.3482316096873268E-3</v>
      </c>
      <c r="W39" s="2"/>
      <c r="X39" s="6">
        <f t="shared" si="18"/>
        <v>-25.598227999999999</v>
      </c>
      <c r="Y39" s="2"/>
      <c r="Z39" s="7">
        <f t="shared" si="19"/>
        <v>-0.54886793726382577</v>
      </c>
    </row>
    <row r="40" spans="1:26" s="24" customFormat="1" hidden="1" outlineLevel="2" x14ac:dyDescent="0.25">
      <c r="A40" s="29"/>
      <c r="B40" s="11" t="str">
        <f>CONCATENATE("          ", "6115", " - ", "P.E.R.S.")</f>
        <v xml:space="preserve">          6115 - P.E.R.S.</v>
      </c>
      <c r="C40" s="11"/>
      <c r="D40" s="6"/>
      <c r="E40" s="2"/>
      <c r="F40" s="7">
        <f t="shared" si="12"/>
        <v>0</v>
      </c>
      <c r="G40" s="2"/>
      <c r="H40" s="6">
        <v>357.76</v>
      </c>
      <c r="I40" s="2"/>
      <c r="J40" s="7">
        <f t="shared" si="13"/>
        <v>2.4613691090471276E-2</v>
      </c>
      <c r="K40" s="2"/>
      <c r="L40" s="6">
        <f t="shared" si="14"/>
        <v>-357.76</v>
      </c>
      <c r="M40" s="2"/>
      <c r="N40" s="7">
        <f t="shared" si="15"/>
        <v>-1</v>
      </c>
      <c r="O40" s="11"/>
      <c r="P40" s="6"/>
      <c r="Q40" s="2"/>
      <c r="R40" s="7">
        <f t="shared" si="16"/>
        <v>0</v>
      </c>
      <c r="S40" s="2"/>
      <c r="T40" s="6">
        <v>1162.72</v>
      </c>
      <c r="U40" s="2"/>
      <c r="V40" s="7">
        <f t="shared" si="17"/>
        <v>5.8542872967121497E-2</v>
      </c>
      <c r="W40" s="2"/>
      <c r="X40" s="6">
        <f t="shared" si="18"/>
        <v>-1162.72</v>
      </c>
      <c r="Y40" s="2"/>
      <c r="Z40" s="7">
        <f t="shared" si="19"/>
        <v>-1</v>
      </c>
    </row>
    <row r="41" spans="1:26" s="24" customFormat="1" hidden="1" outlineLevel="2" x14ac:dyDescent="0.25">
      <c r="A41" s="29"/>
      <c r="B41" s="11" t="str">
        <f>CONCATENATE("          ", "6116", " - ", "EDUCATIONAL BENEFITS")</f>
        <v xml:space="preserve">          6116 - EDUCATIONAL BENEFITS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9"/>
      <c r="B42" s="11" t="str">
        <f>CONCATENATE("          ", "6118", " - ", "VACATION")</f>
        <v xml:space="preserve">          6118 - VACATION</v>
      </c>
      <c r="C42" s="11"/>
      <c r="D42" s="6"/>
      <c r="E42" s="2"/>
      <c r="F42" s="7">
        <f t="shared" si="12"/>
        <v>0</v>
      </c>
      <c r="G42" s="2"/>
      <c r="H42" s="6">
        <v>124.8</v>
      </c>
      <c r="I42" s="2"/>
      <c r="J42" s="7">
        <f t="shared" si="13"/>
        <v>8.5861713106295152E-3</v>
      </c>
      <c r="K42" s="2"/>
      <c r="L42" s="6">
        <f t="shared" si="14"/>
        <v>-124.8</v>
      </c>
      <c r="M42" s="2"/>
      <c r="N42" s="7">
        <f t="shared" si="15"/>
        <v>-1</v>
      </c>
      <c r="O42" s="11"/>
      <c r="P42" s="6"/>
      <c r="Q42" s="2"/>
      <c r="R42" s="7">
        <f t="shared" si="16"/>
        <v>0</v>
      </c>
      <c r="S42" s="2"/>
      <c r="T42" s="6">
        <v>405.6</v>
      </c>
      <c r="U42" s="2"/>
      <c r="V42" s="7">
        <f t="shared" si="17"/>
        <v>2.0421932430391219E-2</v>
      </c>
      <c r="W42" s="2"/>
      <c r="X42" s="6">
        <f t="shared" si="18"/>
        <v>-405.6</v>
      </c>
      <c r="Y42" s="2"/>
      <c r="Z42" s="7">
        <f t="shared" si="19"/>
        <v>-1</v>
      </c>
    </row>
    <row r="43" spans="1:26" s="24" customFormat="1" hidden="1" outlineLevel="2" x14ac:dyDescent="0.25">
      <c r="A43" s="29"/>
      <c r="B43" s="11" t="str">
        <f>CONCATENATE("          ", "6119", " - ", "SICK LEAVE")</f>
        <v xml:space="preserve">          6119 - SICK LEAVE</v>
      </c>
      <c r="C43" s="11"/>
      <c r="D43" s="6"/>
      <c r="E43" s="2"/>
      <c r="F43" s="7">
        <f t="shared" si="12"/>
        <v>0</v>
      </c>
      <c r="G43" s="2"/>
      <c r="H43" s="6">
        <v>155.45169999999999</v>
      </c>
      <c r="I43" s="2"/>
      <c r="J43" s="7">
        <f t="shared" si="13"/>
        <v>1.0694991400068798E-2</v>
      </c>
      <c r="K43" s="2"/>
      <c r="L43" s="6">
        <f t="shared" si="14"/>
        <v>-155.45169999999999</v>
      </c>
      <c r="M43" s="2"/>
      <c r="N43" s="7">
        <f t="shared" si="15"/>
        <v>-1</v>
      </c>
      <c r="O43" s="11"/>
      <c r="P43" s="6"/>
      <c r="Q43" s="2"/>
      <c r="R43" s="7">
        <f t="shared" si="16"/>
        <v>0</v>
      </c>
      <c r="S43" s="2"/>
      <c r="T43" s="6">
        <v>402.93340000000001</v>
      </c>
      <c r="U43" s="2"/>
      <c r="V43" s="7">
        <f t="shared" si="17"/>
        <v>2.0287669301646442E-2</v>
      </c>
      <c r="W43" s="2"/>
      <c r="X43" s="6">
        <f t="shared" si="18"/>
        <v>-402.93340000000001</v>
      </c>
      <c r="Y43" s="2"/>
      <c r="Z43" s="7">
        <f t="shared" si="19"/>
        <v>-1</v>
      </c>
    </row>
    <row r="44" spans="1:26" s="28" customFormat="1" outlineLevel="1" collapsed="1" x14ac:dyDescent="0.25">
      <c r="A44" s="27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2735.85</v>
      </c>
      <c r="E44" s="1"/>
      <c r="F44" s="5">
        <f t="shared" ref="F44:F54" si="20">IF(D$12=0,0,D44/D$12)</f>
        <v>0.30753432972725064</v>
      </c>
      <c r="G44" s="1"/>
      <c r="H44" s="1">
        <f>SUM(OSRRefH22_1x_0)</f>
        <v>6360.39</v>
      </c>
      <c r="I44" s="1"/>
      <c r="J44" s="5">
        <f t="shared" ref="J44:J54" si="21">IF(H$12=0,0,H44/H$12)</f>
        <v>0.43759133126934985</v>
      </c>
      <c r="K44" s="1"/>
      <c r="L44" s="1">
        <f t="shared" ref="L44:L54" si="22">+D44-H44</f>
        <v>-3624.5400000000004</v>
      </c>
      <c r="M44" s="1"/>
      <c r="N44" s="5">
        <f t="shared" ref="N44:N54" si="23">IF(H44=0,0,L44/H44)</f>
        <v>-0.56986128209119258</v>
      </c>
      <c r="O44" s="14"/>
      <c r="P44" s="1">
        <f>SUM(OSRRefP22_1x_0)</f>
        <v>7242.9699999999993</v>
      </c>
      <c r="Q44" s="1"/>
      <c r="R44" s="5">
        <f t="shared" ref="R44:R54" si="24">IF(P$12=0,0,P44/P$12)</f>
        <v>0.34014103490087821</v>
      </c>
      <c r="S44" s="1"/>
      <c r="T44" s="1">
        <f>SUM(OSRRefT22_1x_0)</f>
        <v>17261.78</v>
      </c>
      <c r="U44" s="1"/>
      <c r="V44" s="5">
        <f t="shared" ref="V44:V54" si="25">IF(T$12=0,0,T44/T$12)</f>
        <v>0.86912944967524286</v>
      </c>
      <c r="W44" s="1"/>
      <c r="X44" s="1">
        <f t="shared" ref="X44:X54" si="26">+P44-T44</f>
        <v>-10018.81</v>
      </c>
      <c r="Y44" s="1"/>
      <c r="Z44" s="5">
        <f t="shared" ref="Z44:Z54" si="27">IF(T44=0,0,X44/T44)</f>
        <v>-0.58040422250775991</v>
      </c>
    </row>
    <row r="45" spans="1:26" s="24" customFormat="1" hidden="1" outlineLevel="2" x14ac:dyDescent="0.25">
      <c r="A45" s="29"/>
      <c r="B45" s="11" t="str">
        <f>CONCATENATE("          ", "6001", " - ", "ADMINISTRATIVE SALARIES")</f>
        <v xml:space="preserve">          6001 - ADMINISTRATIVE SALARIES</v>
      </c>
      <c r="C45" s="11"/>
      <c r="D45" s="6"/>
      <c r="E45" s="2"/>
      <c r="F45" s="7">
        <f t="shared" si="20"/>
        <v>0</v>
      </c>
      <c r="G45" s="2"/>
      <c r="H45" s="6">
        <v>3952</v>
      </c>
      <c r="I45" s="2"/>
      <c r="J45" s="7">
        <f t="shared" si="21"/>
        <v>0.27189542483660128</v>
      </c>
      <c r="K45" s="2"/>
      <c r="L45" s="6">
        <f t="shared" si="22"/>
        <v>-3952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12844</v>
      </c>
      <c r="U45" s="2"/>
      <c r="V45" s="7">
        <f t="shared" si="25"/>
        <v>0.64669452696238861</v>
      </c>
      <c r="W45" s="2"/>
      <c r="X45" s="6">
        <f t="shared" si="26"/>
        <v>-12844</v>
      </c>
      <c r="Y45" s="2"/>
      <c r="Z45" s="7">
        <f t="shared" si="27"/>
        <v>-1</v>
      </c>
    </row>
    <row r="46" spans="1:26" s="24" customFormat="1" hidden="1" outlineLevel="2" x14ac:dyDescent="0.25">
      <c r="A46" s="29"/>
      <c r="B46" s="11" t="str">
        <f>CONCATENATE("          ", "6002", " - ", "STAFF SALARIES")</f>
        <v xml:space="preserve">          6002 - STAFF SALARIES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9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25">
      <c r="A48" s="29"/>
      <c r="B48" s="11" t="str">
        <f>CONCATENATE("          ", "6004", " - ", "STAFF HOURLY")</f>
        <v xml:space="preserve">          6004 - STAFF HOURLY</v>
      </c>
      <c r="C48" s="11"/>
      <c r="D48" s="6"/>
      <c r="E48" s="2"/>
      <c r="F48" s="7">
        <f t="shared" si="20"/>
        <v>0</v>
      </c>
      <c r="G48" s="2"/>
      <c r="H48" s="6">
        <v>765</v>
      </c>
      <c r="I48" s="2"/>
      <c r="J48" s="7">
        <f t="shared" si="21"/>
        <v>5.2631578947368418E-2</v>
      </c>
      <c r="K48" s="2"/>
      <c r="L48" s="6">
        <f t="shared" si="22"/>
        <v>-765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1545.3</v>
      </c>
      <c r="U48" s="2"/>
      <c r="V48" s="7">
        <f t="shared" si="25"/>
        <v>7.7805749962237547E-2</v>
      </c>
      <c r="W48" s="2"/>
      <c r="X48" s="6">
        <f t="shared" si="26"/>
        <v>-1545.3</v>
      </c>
      <c r="Y48" s="2"/>
      <c r="Z48" s="7">
        <f t="shared" si="27"/>
        <v>-1</v>
      </c>
    </row>
    <row r="49" spans="1:26" s="24" customFormat="1" hidden="1" outlineLevel="2" x14ac:dyDescent="0.25">
      <c r="A49" s="29"/>
      <c r="B49" s="11" t="str">
        <f>CONCATENATE("          ", "6005", " - ", "TEMPORARY WAGES-HOURLY")</f>
        <v xml:space="preserve">          6005 - TEMPORARY WAGES-HOURLY</v>
      </c>
      <c r="C49" s="11"/>
      <c r="D49" s="6">
        <v>1948.22</v>
      </c>
      <c r="E49" s="2"/>
      <c r="F49" s="7">
        <f t="shared" si="20"/>
        <v>0.21899758095700578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1948.22</v>
      </c>
      <c r="M49" s="2"/>
      <c r="N49" s="7">
        <f t="shared" si="23"/>
        <v>0</v>
      </c>
      <c r="O49" s="11"/>
      <c r="P49" s="6">
        <v>4356.45</v>
      </c>
      <c r="Q49" s="2"/>
      <c r="R49" s="7">
        <f t="shared" si="24"/>
        <v>0.20458560666327916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4356.45</v>
      </c>
      <c r="Y49" s="2"/>
      <c r="Z49" s="7">
        <f t="shared" si="27"/>
        <v>0</v>
      </c>
    </row>
    <row r="50" spans="1:26" s="24" customFormat="1" hidden="1" outlineLevel="2" x14ac:dyDescent="0.25">
      <c r="A50" s="29"/>
      <c r="B50" s="11" t="str">
        <f>CONCATENATE("          ", "6006", " - ", "TEMPORARY PART TIME")</f>
        <v xml:space="preserve">          6006 - TEMPORARY PART TIME</v>
      </c>
      <c r="C50" s="11"/>
      <c r="D50" s="6"/>
      <c r="E50" s="2"/>
      <c r="F50" s="7">
        <f t="shared" si="20"/>
        <v>0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0</v>
      </c>
      <c r="M50" s="2"/>
      <c r="N50" s="7">
        <f t="shared" si="23"/>
        <v>0</v>
      </c>
      <c r="O50" s="11"/>
      <c r="P50" s="6"/>
      <c r="Q50" s="2"/>
      <c r="R50" s="7">
        <f t="shared" si="24"/>
        <v>0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0</v>
      </c>
      <c r="Y50" s="2"/>
      <c r="Z50" s="7">
        <f t="shared" si="27"/>
        <v>0</v>
      </c>
    </row>
    <row r="51" spans="1:26" s="24" customFormat="1" hidden="1" outlineLevel="2" x14ac:dyDescent="0.25">
      <c r="A51" s="29"/>
      <c r="B51" s="11" t="str">
        <f>CONCATENATE("          ", "6007", " - ", "STUDENT HOURLY")</f>
        <v xml:space="preserve">          6007 - STUDENT HOURLY</v>
      </c>
      <c r="C51" s="11"/>
      <c r="D51" s="6">
        <v>787.63</v>
      </c>
      <c r="E51" s="2"/>
      <c r="F51" s="7">
        <f t="shared" si="20"/>
        <v>8.8536748770244866E-2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787.63</v>
      </c>
      <c r="M51" s="2"/>
      <c r="N51" s="7">
        <f t="shared" si="23"/>
        <v>0</v>
      </c>
      <c r="O51" s="11"/>
      <c r="P51" s="6">
        <v>2886.52</v>
      </c>
      <c r="Q51" s="2"/>
      <c r="R51" s="7">
        <f t="shared" si="24"/>
        <v>0.13555542823759908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2886.52</v>
      </c>
      <c r="Y51" s="2"/>
      <c r="Z51" s="7">
        <f t="shared" si="27"/>
        <v>0</v>
      </c>
    </row>
    <row r="52" spans="1:26" s="24" customFormat="1" hidden="1" outlineLevel="2" x14ac:dyDescent="0.25">
      <c r="A52" s="29"/>
      <c r="B52" s="11" t="str">
        <f>CONCATENATE("          ", "6008", " - ", "STUDENT HOURLY-FICA EXEMPT")</f>
        <v xml:space="preserve">          6008 - STUDENT HOURLY-FICA EXEMPT</v>
      </c>
      <c r="C52" s="11"/>
      <c r="D52" s="6"/>
      <c r="E52" s="2"/>
      <c r="F52" s="7">
        <f t="shared" si="20"/>
        <v>0</v>
      </c>
      <c r="G52" s="2"/>
      <c r="H52" s="6">
        <v>1643.39</v>
      </c>
      <c r="I52" s="2"/>
      <c r="J52" s="7">
        <f t="shared" si="21"/>
        <v>0.11306432748538012</v>
      </c>
      <c r="K52" s="2"/>
      <c r="L52" s="6">
        <f t="shared" si="22"/>
        <v>-1643.39</v>
      </c>
      <c r="M52" s="2"/>
      <c r="N52" s="7">
        <f t="shared" si="23"/>
        <v>-1</v>
      </c>
      <c r="O52" s="11"/>
      <c r="P52" s="6"/>
      <c r="Q52" s="2"/>
      <c r="R52" s="7">
        <f t="shared" si="24"/>
        <v>0</v>
      </c>
      <c r="S52" s="2"/>
      <c r="T52" s="6">
        <v>2872.48</v>
      </c>
      <c r="U52" s="2"/>
      <c r="V52" s="7">
        <f t="shared" si="25"/>
        <v>0.14462917275061679</v>
      </c>
      <c r="W52" s="2"/>
      <c r="X52" s="6">
        <f t="shared" si="26"/>
        <v>-2872.48</v>
      </c>
      <c r="Y52" s="2"/>
      <c r="Z52" s="7">
        <f t="shared" si="27"/>
        <v>-1</v>
      </c>
    </row>
    <row r="53" spans="1:26" s="24" customFormat="1" hidden="1" outlineLevel="2" x14ac:dyDescent="0.25">
      <c r="A53" s="29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9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8" customFormat="1" outlineLevel="1" collapsed="1" x14ac:dyDescent="0.25">
      <c r="A55" s="27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0</v>
      </c>
      <c r="E55" s="1"/>
      <c r="F55" s="5">
        <f t="shared" ref="F55:F71" si="28">IF(D$12=0,0,D55/D$12)</f>
        <v>0</v>
      </c>
      <c r="G55" s="1"/>
      <c r="H55" s="1">
        <f>SUM(OSRRefH22_2x_0)</f>
        <v>100</v>
      </c>
      <c r="I55" s="1"/>
      <c r="J55" s="5">
        <f t="shared" ref="J55:J71" si="29">IF(H$12=0,0,H55/H$12)</f>
        <v>6.8799449604403165E-3</v>
      </c>
      <c r="K55" s="1"/>
      <c r="L55" s="1">
        <f t="shared" ref="L55:L71" si="30">+D55-H55</f>
        <v>-100</v>
      </c>
      <c r="M55" s="1"/>
      <c r="N55" s="5">
        <f t="shared" ref="N55:N71" si="31">IF(H55=0,0,L55/H55)</f>
        <v>-1</v>
      </c>
      <c r="O55" s="14"/>
      <c r="P55" s="1">
        <f>SUM(OSRRefP22_2x_0)</f>
        <v>0</v>
      </c>
      <c r="Q55" s="1"/>
      <c r="R55" s="5">
        <f t="shared" ref="R55:R71" si="32">IF(P$12=0,0,P55/P$12)</f>
        <v>0</v>
      </c>
      <c r="S55" s="1"/>
      <c r="T55" s="1">
        <f>SUM(OSRRefT22_2x_0)</f>
        <v>200</v>
      </c>
      <c r="U55" s="1"/>
      <c r="V55" s="5">
        <f t="shared" ref="V55:V71" si="33">IF(T$12=0,0,T55/T$12)</f>
        <v>1.0069986405518353E-2</v>
      </c>
      <c r="W55" s="1"/>
      <c r="X55" s="1">
        <f t="shared" ref="X55:X71" si="34">+P55-T55</f>
        <v>-200</v>
      </c>
      <c r="Y55" s="1"/>
      <c r="Z55" s="5">
        <f t="shared" ref="Z55:Z71" si="35">IF(T55=0,0,X55/T55)</f>
        <v>-1</v>
      </c>
    </row>
    <row r="56" spans="1:26" s="24" customFormat="1" hidden="1" outlineLevel="2" x14ac:dyDescent="0.25">
      <c r="A56" s="29"/>
      <c r="B56" s="11" t="str">
        <f>CONCATENATE("          ", "6362", " - ", "ADVERTISING EXPENSE")</f>
        <v xml:space="preserve">          6362 - ADVERTISING EXPENSE</v>
      </c>
      <c r="C56" s="11"/>
      <c r="D56" s="6"/>
      <c r="E56" s="2"/>
      <c r="F56" s="7">
        <f t="shared" si="28"/>
        <v>0</v>
      </c>
      <c r="G56" s="2"/>
      <c r="H56" s="6">
        <v>100</v>
      </c>
      <c r="I56" s="2"/>
      <c r="J56" s="7">
        <f t="shared" si="29"/>
        <v>6.8799449604403165E-3</v>
      </c>
      <c r="K56" s="2"/>
      <c r="L56" s="6">
        <f t="shared" si="30"/>
        <v>-100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200</v>
      </c>
      <c r="U56" s="2"/>
      <c r="V56" s="7">
        <f t="shared" si="33"/>
        <v>1.0069986405518353E-2</v>
      </c>
      <c r="W56" s="2"/>
      <c r="X56" s="6">
        <f t="shared" si="34"/>
        <v>-200</v>
      </c>
      <c r="Y56" s="2"/>
      <c r="Z56" s="7">
        <f t="shared" si="35"/>
        <v>-1</v>
      </c>
    </row>
    <row r="57" spans="1:26" s="28" customFormat="1" outlineLevel="1" collapsed="1" x14ac:dyDescent="0.25">
      <c r="A57" s="27"/>
      <c r="B57" s="14" t="str">
        <f>CONCATENATE("     ","Bad Debts/Over/Short                              ")</f>
        <v xml:space="preserve">     Bad Debts/Over/Short                              </v>
      </c>
      <c r="C57" s="14"/>
      <c r="D57" s="1">
        <f>SUM(OSRRefD22_3x_0)</f>
        <v>0.8</v>
      </c>
      <c r="E57" s="1"/>
      <c r="F57" s="5">
        <f t="shared" si="28"/>
        <v>8.9927248855675766E-5</v>
      </c>
      <c r="G57" s="1"/>
      <c r="H57" s="1">
        <f>SUM(OSRRefH22_3x_0)</f>
        <v>0</v>
      </c>
      <c r="I57" s="1"/>
      <c r="J57" s="5">
        <f t="shared" si="29"/>
        <v>0</v>
      </c>
      <c r="K57" s="1"/>
      <c r="L57" s="1">
        <f t="shared" si="30"/>
        <v>0.8</v>
      </c>
      <c r="M57" s="1"/>
      <c r="N57" s="5">
        <f t="shared" si="31"/>
        <v>0</v>
      </c>
      <c r="O57" s="14"/>
      <c r="P57" s="1">
        <f>SUM(OSRRefP22_3x_0)</f>
        <v>1.1000000000000001</v>
      </c>
      <c r="Q57" s="1"/>
      <c r="R57" s="5">
        <f t="shared" si="32"/>
        <v>5.1657695446890725E-5</v>
      </c>
      <c r="S57" s="1"/>
      <c r="T57" s="1">
        <f>SUM(OSRRefT22_3x_0)</f>
        <v>0</v>
      </c>
      <c r="U57" s="1"/>
      <c r="V57" s="5">
        <f t="shared" si="33"/>
        <v>0</v>
      </c>
      <c r="W57" s="1"/>
      <c r="X57" s="1">
        <f t="shared" si="34"/>
        <v>1.1000000000000001</v>
      </c>
      <c r="Y57" s="1"/>
      <c r="Z57" s="5">
        <f t="shared" si="35"/>
        <v>0</v>
      </c>
    </row>
    <row r="58" spans="1:26" s="24" customFormat="1" hidden="1" outlineLevel="2" x14ac:dyDescent="0.25">
      <c r="A58" s="29"/>
      <c r="B58" s="11" t="str">
        <f>CONCATENATE("          ", "6272", " - ", "CASH (OVER/SHORT)")</f>
        <v xml:space="preserve">          6272 - CASH (OVER/SHORT)</v>
      </c>
      <c r="C58" s="11"/>
      <c r="D58" s="6">
        <v>0.8</v>
      </c>
      <c r="E58" s="2"/>
      <c r="F58" s="7">
        <f t="shared" si="28"/>
        <v>8.9927248855675766E-5</v>
      </c>
      <c r="G58" s="2"/>
      <c r="H58" s="6"/>
      <c r="I58" s="2"/>
      <c r="J58" s="7">
        <f t="shared" si="29"/>
        <v>0</v>
      </c>
      <c r="K58" s="2"/>
      <c r="L58" s="6">
        <f t="shared" si="30"/>
        <v>0.8</v>
      </c>
      <c r="M58" s="2"/>
      <c r="N58" s="7">
        <f t="shared" si="31"/>
        <v>0</v>
      </c>
      <c r="O58" s="11"/>
      <c r="P58" s="6">
        <v>1.1000000000000001</v>
      </c>
      <c r="Q58" s="2"/>
      <c r="R58" s="7">
        <f t="shared" si="32"/>
        <v>5.1657695446890725E-5</v>
      </c>
      <c r="S58" s="2"/>
      <c r="T58" s="6"/>
      <c r="U58" s="2"/>
      <c r="V58" s="7">
        <f t="shared" si="33"/>
        <v>0</v>
      </c>
      <c r="W58" s="2"/>
      <c r="X58" s="6">
        <f t="shared" si="34"/>
        <v>1.1000000000000001</v>
      </c>
      <c r="Y58" s="2"/>
      <c r="Z58" s="7">
        <f t="shared" si="35"/>
        <v>0</v>
      </c>
    </row>
    <row r="59" spans="1:26" s="28" customFormat="1" outlineLevel="1" collapsed="1" x14ac:dyDescent="0.25">
      <c r="A59" s="27"/>
      <c r="B59" s="14" t="str">
        <f>CONCATENATE("     ","Bank/card Fees                                    ")</f>
        <v xml:space="preserve">     Bank/card Fees                                    </v>
      </c>
      <c r="C59" s="14"/>
      <c r="D59" s="1">
        <f>SUM(OSRRefD22_4x_0)</f>
        <v>0</v>
      </c>
      <c r="E59" s="1"/>
      <c r="F59" s="5">
        <f t="shared" si="28"/>
        <v>0</v>
      </c>
      <c r="G59" s="1"/>
      <c r="H59" s="1">
        <f>SUM(OSRRefH22_4x_0)</f>
        <v>1001</v>
      </c>
      <c r="I59" s="1"/>
      <c r="J59" s="5">
        <f t="shared" si="29"/>
        <v>6.8868249054007569E-2</v>
      </c>
      <c r="K59" s="1"/>
      <c r="L59" s="1">
        <f t="shared" si="30"/>
        <v>-1001</v>
      </c>
      <c r="M59" s="1"/>
      <c r="N59" s="5">
        <f t="shared" si="31"/>
        <v>-1</v>
      </c>
      <c r="O59" s="14"/>
      <c r="P59" s="1">
        <f>SUM(OSRRefP22_4x_0)</f>
        <v>0</v>
      </c>
      <c r="Q59" s="1"/>
      <c r="R59" s="5">
        <f t="shared" si="32"/>
        <v>0</v>
      </c>
      <c r="S59" s="1"/>
      <c r="T59" s="1">
        <f>SUM(OSRRefT22_4x_0)</f>
        <v>1161</v>
      </c>
      <c r="U59" s="1"/>
      <c r="V59" s="5">
        <f t="shared" si="33"/>
        <v>5.8456271084034034E-2</v>
      </c>
      <c r="W59" s="1"/>
      <c r="X59" s="1">
        <f t="shared" si="34"/>
        <v>-1161</v>
      </c>
      <c r="Y59" s="1"/>
      <c r="Z59" s="5">
        <f t="shared" si="35"/>
        <v>-1</v>
      </c>
    </row>
    <row r="60" spans="1:26" s="24" customFormat="1" hidden="1" outlineLevel="2" x14ac:dyDescent="0.25">
      <c r="A60" s="29"/>
      <c r="B60" s="11" t="str">
        <f>CONCATENATE("          ", "6381", " - ", "BANK/CREDIT CARD FEES")</f>
        <v xml:space="preserve">          6381 - BANK/CREDIT CARD FEES</v>
      </c>
      <c r="C60" s="11"/>
      <c r="D60" s="6"/>
      <c r="E60" s="2"/>
      <c r="F60" s="7">
        <f t="shared" si="28"/>
        <v>0</v>
      </c>
      <c r="G60" s="2"/>
      <c r="H60" s="6">
        <v>1001</v>
      </c>
      <c r="I60" s="2"/>
      <c r="J60" s="7">
        <f t="shared" si="29"/>
        <v>6.8868249054007569E-2</v>
      </c>
      <c r="K60" s="2"/>
      <c r="L60" s="6">
        <f t="shared" si="30"/>
        <v>-1001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1161</v>
      </c>
      <c r="U60" s="2"/>
      <c r="V60" s="7">
        <f t="shared" si="33"/>
        <v>5.8456271084034034E-2</v>
      </c>
      <c r="W60" s="2"/>
      <c r="X60" s="6">
        <f t="shared" si="34"/>
        <v>-1161</v>
      </c>
      <c r="Y60" s="2"/>
      <c r="Z60" s="7">
        <f t="shared" si="35"/>
        <v>-1</v>
      </c>
    </row>
    <row r="61" spans="1:26" s="28" customFormat="1" outlineLevel="1" collapsed="1" x14ac:dyDescent="0.25">
      <c r="A61" s="27"/>
      <c r="B61" s="14" t="str">
        <f>CONCATENATE("     ","Discounts and Markdowns                           ")</f>
        <v xml:space="preserve">     Discounts and Markdowns                           </v>
      </c>
      <c r="C61" s="14"/>
      <c r="D61" s="1">
        <f>SUM(OSRRefD22_5x_0)</f>
        <v>0</v>
      </c>
      <c r="E61" s="1"/>
      <c r="F61" s="5">
        <f t="shared" si="28"/>
        <v>0</v>
      </c>
      <c r="G61" s="1"/>
      <c r="H61" s="1">
        <f>SUM(OSRRefH22_5x_0)</f>
        <v>320</v>
      </c>
      <c r="I61" s="1"/>
      <c r="J61" s="5">
        <f t="shared" si="29"/>
        <v>2.2015823873409012E-2</v>
      </c>
      <c r="K61" s="1"/>
      <c r="L61" s="1">
        <f t="shared" si="30"/>
        <v>-320</v>
      </c>
      <c r="M61" s="1"/>
      <c r="N61" s="5">
        <f t="shared" si="31"/>
        <v>-1</v>
      </c>
      <c r="O61" s="14"/>
      <c r="P61" s="1">
        <f>SUM(OSRRefP22_5x_0)</f>
        <v>0</v>
      </c>
      <c r="Q61" s="1"/>
      <c r="R61" s="5">
        <f t="shared" si="32"/>
        <v>0</v>
      </c>
      <c r="S61" s="1"/>
      <c r="T61" s="1">
        <f>SUM(OSRRefT22_5x_0)</f>
        <v>420</v>
      </c>
      <c r="U61" s="1"/>
      <c r="V61" s="5">
        <f t="shared" si="33"/>
        <v>2.1146971451588541E-2</v>
      </c>
      <c r="W61" s="1"/>
      <c r="X61" s="1">
        <f t="shared" si="34"/>
        <v>-420</v>
      </c>
      <c r="Y61" s="1"/>
      <c r="Z61" s="5">
        <f t="shared" si="35"/>
        <v>-1</v>
      </c>
    </row>
    <row r="62" spans="1:26" s="24" customFormat="1" hidden="1" outlineLevel="2" x14ac:dyDescent="0.25">
      <c r="A62" s="29"/>
      <c r="B62" s="11" t="str">
        <f>CONCATENATE("          ", "6382", " - ", "DISCOUNTS/MARK DOWNS")</f>
        <v xml:space="preserve">          6382 - DISCOUNTS/MARK DOWNS</v>
      </c>
      <c r="C62" s="11"/>
      <c r="D62" s="6"/>
      <c r="E62" s="2"/>
      <c r="F62" s="7">
        <f t="shared" si="28"/>
        <v>0</v>
      </c>
      <c r="G62" s="2"/>
      <c r="H62" s="6">
        <v>320</v>
      </c>
      <c r="I62" s="2"/>
      <c r="J62" s="7">
        <f t="shared" si="29"/>
        <v>2.2015823873409012E-2</v>
      </c>
      <c r="K62" s="2"/>
      <c r="L62" s="6">
        <f t="shared" si="30"/>
        <v>-320</v>
      </c>
      <c r="M62" s="2"/>
      <c r="N62" s="7">
        <f t="shared" si="31"/>
        <v>-1</v>
      </c>
      <c r="O62" s="11"/>
      <c r="P62" s="6"/>
      <c r="Q62" s="2"/>
      <c r="R62" s="7">
        <f t="shared" si="32"/>
        <v>0</v>
      </c>
      <c r="S62" s="2"/>
      <c r="T62" s="6">
        <v>420</v>
      </c>
      <c r="U62" s="2"/>
      <c r="V62" s="7">
        <f t="shared" si="33"/>
        <v>2.1146971451588541E-2</v>
      </c>
      <c r="W62" s="2"/>
      <c r="X62" s="6">
        <f t="shared" si="34"/>
        <v>-420</v>
      </c>
      <c r="Y62" s="2"/>
      <c r="Z62" s="7">
        <f t="shared" si="35"/>
        <v>-1</v>
      </c>
    </row>
    <row r="63" spans="1:26" s="28" customFormat="1" outlineLevel="1" collapsed="1" x14ac:dyDescent="0.25">
      <c r="A63" s="27"/>
      <c r="B63" s="14" t="str">
        <f>CONCATENATE("     ","Freight out/Postage                               ")</f>
        <v xml:space="preserve">     Freight out/Postage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333</v>
      </c>
      <c r="I63" s="1"/>
      <c r="J63" s="5">
        <f t="shared" si="29"/>
        <v>2.2910216718266253E-2</v>
      </c>
      <c r="K63" s="1"/>
      <c r="L63" s="1">
        <f t="shared" si="30"/>
        <v>-333</v>
      </c>
      <c r="M63" s="1"/>
      <c r="N63" s="5">
        <f t="shared" si="31"/>
        <v>-1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588</v>
      </c>
      <c r="U63" s="1"/>
      <c r="V63" s="5">
        <f t="shared" si="33"/>
        <v>2.9605760032223958E-2</v>
      </c>
      <c r="W63" s="1"/>
      <c r="X63" s="1">
        <f t="shared" si="34"/>
        <v>-588</v>
      </c>
      <c r="Y63" s="1"/>
      <c r="Z63" s="5">
        <f t="shared" si="35"/>
        <v>-1</v>
      </c>
    </row>
    <row r="64" spans="1:26" s="24" customFormat="1" hidden="1" outlineLevel="2" x14ac:dyDescent="0.25">
      <c r="A64" s="29"/>
      <c r="B64" s="11" t="str">
        <f>CONCATENATE("          ", "6305", " - ", "FREIGHT OUT")</f>
        <v xml:space="preserve">          6305 - FREIGHT OUT</v>
      </c>
      <c r="C64" s="11"/>
      <c r="D64" s="6"/>
      <c r="E64" s="2"/>
      <c r="F64" s="7">
        <f t="shared" si="28"/>
        <v>0</v>
      </c>
      <c r="G64" s="2"/>
      <c r="H64" s="6">
        <v>333</v>
      </c>
      <c r="I64" s="2"/>
      <c r="J64" s="7">
        <f t="shared" si="29"/>
        <v>2.2910216718266253E-2</v>
      </c>
      <c r="K64" s="2"/>
      <c r="L64" s="6">
        <f t="shared" si="30"/>
        <v>-333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588</v>
      </c>
      <c r="U64" s="2"/>
      <c r="V64" s="7">
        <f t="shared" si="33"/>
        <v>2.9605760032223958E-2</v>
      </c>
      <c r="W64" s="2"/>
      <c r="X64" s="6">
        <f t="shared" si="34"/>
        <v>-588</v>
      </c>
      <c r="Y64" s="2"/>
      <c r="Z64" s="7">
        <f t="shared" si="35"/>
        <v>-1</v>
      </c>
    </row>
    <row r="65" spans="1:26" s="28" customFormat="1" outlineLevel="1" collapsed="1" x14ac:dyDescent="0.25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SUM(OSRRefD22_7x_0)</f>
        <v>0</v>
      </c>
      <c r="E65" s="1"/>
      <c r="F65" s="5">
        <f t="shared" si="28"/>
        <v>0</v>
      </c>
      <c r="G65" s="1"/>
      <c r="H65" s="1">
        <f>SUM(OSRRefH22_7x_0)</f>
        <v>0</v>
      </c>
      <c r="I65" s="1"/>
      <c r="J65" s="5">
        <f t="shared" si="29"/>
        <v>0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719.55</v>
      </c>
      <c r="Q65" s="1"/>
      <c r="R65" s="5">
        <f t="shared" si="32"/>
        <v>3.3791177053463836E-2</v>
      </c>
      <c r="S65" s="1"/>
      <c r="T65" s="1">
        <f>SUM(OSRRefT22_7x_0)</f>
        <v>1000</v>
      </c>
      <c r="U65" s="1"/>
      <c r="V65" s="5">
        <f t="shared" si="33"/>
        <v>5.0349932027591762E-2</v>
      </c>
      <c r="W65" s="1"/>
      <c r="X65" s="1">
        <f t="shared" si="34"/>
        <v>-280.45000000000005</v>
      </c>
      <c r="Y65" s="1"/>
      <c r="Z65" s="5">
        <f t="shared" si="35"/>
        <v>-0.28045000000000003</v>
      </c>
    </row>
    <row r="66" spans="1:26" s="24" customFormat="1" hidden="1" outlineLevel="2" x14ac:dyDescent="0.25">
      <c r="A66" s="29"/>
      <c r="B66" s="11" t="str">
        <f>CONCATENATE("          ", "6279", " - ", "GENERAL EXPENSE")</f>
        <v xml:space="preserve">          6279 - GENERAL EXPENSE</v>
      </c>
      <c r="C66" s="11"/>
      <c r="D66" s="6"/>
      <c r="E66" s="2"/>
      <c r="F66" s="7">
        <f t="shared" si="28"/>
        <v>0</v>
      </c>
      <c r="G66" s="2"/>
      <c r="H66" s="6"/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719.55</v>
      </c>
      <c r="Q66" s="2"/>
      <c r="R66" s="7">
        <f t="shared" si="32"/>
        <v>3.3791177053463836E-2</v>
      </c>
      <c r="S66" s="2"/>
      <c r="T66" s="6">
        <v>1000</v>
      </c>
      <c r="U66" s="2"/>
      <c r="V66" s="7">
        <f t="shared" si="33"/>
        <v>5.0349932027591762E-2</v>
      </c>
      <c r="W66" s="2"/>
      <c r="X66" s="6">
        <f t="shared" si="34"/>
        <v>-280.45000000000005</v>
      </c>
      <c r="Y66" s="2"/>
      <c r="Z66" s="7">
        <f t="shared" si="35"/>
        <v>-0.28045000000000003</v>
      </c>
    </row>
    <row r="67" spans="1:26" s="28" customFormat="1" outlineLevel="1" collapsed="1" x14ac:dyDescent="0.25">
      <c r="A67" s="27"/>
      <c r="B67" s="14" t="str">
        <f>CONCATENATE("     ","Professional Services                             ")</f>
        <v xml:space="preserve">     Professional Services                             </v>
      </c>
      <c r="C67" s="14"/>
      <c r="D67" s="1">
        <f>SUM(OSRRefD22_8x_0)</f>
        <v>0</v>
      </c>
      <c r="E67" s="1"/>
      <c r="F67" s="5">
        <f t="shared" si="28"/>
        <v>0</v>
      </c>
      <c r="G67" s="1"/>
      <c r="H67" s="1">
        <f>SUM(OSRRefH22_8x_0)</f>
        <v>0</v>
      </c>
      <c r="I67" s="1"/>
      <c r="J67" s="5">
        <f t="shared" si="29"/>
        <v>0</v>
      </c>
      <c r="K67" s="1"/>
      <c r="L67" s="1">
        <f t="shared" si="30"/>
        <v>0</v>
      </c>
      <c r="M67" s="1"/>
      <c r="N67" s="5">
        <f t="shared" si="31"/>
        <v>0</v>
      </c>
      <c r="O67" s="14"/>
      <c r="P67" s="1">
        <f>SUM(OSRRefP22_8x_0)</f>
        <v>0</v>
      </c>
      <c r="Q67" s="1"/>
      <c r="R67" s="5">
        <f t="shared" si="32"/>
        <v>0</v>
      </c>
      <c r="S67" s="1"/>
      <c r="T67" s="1">
        <f>SUM(OSRRefT22_8x_0)</f>
        <v>800</v>
      </c>
      <c r="U67" s="1"/>
      <c r="V67" s="5">
        <f t="shared" si="33"/>
        <v>4.0279945622073411E-2</v>
      </c>
      <c r="W67" s="1"/>
      <c r="X67" s="1">
        <f t="shared" si="34"/>
        <v>-800</v>
      </c>
      <c r="Y67" s="1"/>
      <c r="Z67" s="5">
        <f t="shared" si="35"/>
        <v>-1</v>
      </c>
    </row>
    <row r="68" spans="1:26" s="24" customFormat="1" hidden="1" outlineLevel="2" x14ac:dyDescent="0.25">
      <c r="A68" s="29"/>
      <c r="B68" s="11" t="str">
        <f>CONCATENATE("          ", "6336", " - ", "PROFESSIONAL SERVICES")</f>
        <v xml:space="preserve">          6336 - PROFESSIONAL SERVICES</v>
      </c>
      <c r="C68" s="11"/>
      <c r="D68" s="6"/>
      <c r="E68" s="2"/>
      <c r="F68" s="7">
        <f t="shared" si="28"/>
        <v>0</v>
      </c>
      <c r="G68" s="2"/>
      <c r="H68" s="6"/>
      <c r="I68" s="2"/>
      <c r="J68" s="7">
        <f t="shared" si="29"/>
        <v>0</v>
      </c>
      <c r="K68" s="2"/>
      <c r="L68" s="6">
        <f t="shared" si="30"/>
        <v>0</v>
      </c>
      <c r="M68" s="2"/>
      <c r="N68" s="7">
        <f t="shared" si="31"/>
        <v>0</v>
      </c>
      <c r="O68" s="11"/>
      <c r="P68" s="6"/>
      <c r="Q68" s="2"/>
      <c r="R68" s="7">
        <f t="shared" si="32"/>
        <v>0</v>
      </c>
      <c r="S68" s="2"/>
      <c r="T68" s="6">
        <v>800</v>
      </c>
      <c r="U68" s="2"/>
      <c r="V68" s="7">
        <f t="shared" si="33"/>
        <v>4.0279945622073411E-2</v>
      </c>
      <c r="W68" s="2"/>
      <c r="X68" s="6">
        <f t="shared" si="34"/>
        <v>-800</v>
      </c>
      <c r="Y68" s="2"/>
      <c r="Z68" s="7">
        <f t="shared" si="35"/>
        <v>-1</v>
      </c>
    </row>
    <row r="69" spans="1:26" s="28" customFormat="1" outlineLevel="1" collapsed="1" x14ac:dyDescent="0.25">
      <c r="A69" s="27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SUM(OSRRefD22_9x_0)</f>
        <v>61.11</v>
      </c>
      <c r="E69" s="1"/>
      <c r="F69" s="5">
        <f t="shared" si="28"/>
        <v>6.8693177219629319E-3</v>
      </c>
      <c r="G69" s="1"/>
      <c r="H69" s="1">
        <f>SUM(OSRRefH22_9x_0)</f>
        <v>100</v>
      </c>
      <c r="I69" s="1"/>
      <c r="J69" s="5">
        <f t="shared" si="29"/>
        <v>6.8799449604403165E-3</v>
      </c>
      <c r="K69" s="1"/>
      <c r="L69" s="1">
        <f t="shared" si="30"/>
        <v>-38.89</v>
      </c>
      <c r="M69" s="1"/>
      <c r="N69" s="5">
        <f t="shared" si="31"/>
        <v>-0.38890000000000002</v>
      </c>
      <c r="O69" s="14"/>
      <c r="P69" s="1">
        <f>SUM(OSRRefP22_9x_0)</f>
        <v>139.71</v>
      </c>
      <c r="Q69" s="1"/>
      <c r="R69" s="5">
        <f t="shared" si="32"/>
        <v>6.5609969371682756E-3</v>
      </c>
      <c r="S69" s="1"/>
      <c r="T69" s="1">
        <f>SUM(OSRRefT22_9x_0)</f>
        <v>300</v>
      </c>
      <c r="U69" s="1"/>
      <c r="V69" s="5">
        <f t="shared" si="33"/>
        <v>1.5104979608277528E-2</v>
      </c>
      <c r="W69" s="1"/>
      <c r="X69" s="1">
        <f t="shared" si="34"/>
        <v>-160.29</v>
      </c>
      <c r="Y69" s="1"/>
      <c r="Z69" s="5">
        <f t="shared" si="35"/>
        <v>-0.5343</v>
      </c>
    </row>
    <row r="70" spans="1:26" s="24" customFormat="1" hidden="1" outlineLevel="2" x14ac:dyDescent="0.25">
      <c r="A70" s="29"/>
      <c r="B70" s="11" t="str">
        <f>CONCATENATE("          ", "6373", " - ", "MAINTENANCE CONTRACTS")</f>
        <v xml:space="preserve">          6373 - MAINTENANCE CONTRACTS</v>
      </c>
      <c r="C70" s="11"/>
      <c r="D70" s="6">
        <v>61.11</v>
      </c>
      <c r="E70" s="2"/>
      <c r="F70" s="7">
        <f t="shared" si="28"/>
        <v>6.8693177219629319E-3</v>
      </c>
      <c r="G70" s="2"/>
      <c r="H70" s="6"/>
      <c r="I70" s="2"/>
      <c r="J70" s="7">
        <f t="shared" si="29"/>
        <v>0</v>
      </c>
      <c r="K70" s="2"/>
      <c r="L70" s="6">
        <f t="shared" si="30"/>
        <v>61.11</v>
      </c>
      <c r="M70" s="2"/>
      <c r="N70" s="7">
        <f t="shared" si="31"/>
        <v>0</v>
      </c>
      <c r="O70" s="11"/>
      <c r="P70" s="6">
        <v>139.71</v>
      </c>
      <c r="Q70" s="2"/>
      <c r="R70" s="7">
        <f t="shared" si="32"/>
        <v>6.5609969371682756E-3</v>
      </c>
      <c r="S70" s="2"/>
      <c r="T70" s="6"/>
      <c r="U70" s="2"/>
      <c r="V70" s="7">
        <f t="shared" si="33"/>
        <v>0</v>
      </c>
      <c r="W70" s="2"/>
      <c r="X70" s="6">
        <f t="shared" si="34"/>
        <v>139.71</v>
      </c>
      <c r="Y70" s="2"/>
      <c r="Z70" s="7">
        <f t="shared" si="35"/>
        <v>0</v>
      </c>
    </row>
    <row r="71" spans="1:26" s="24" customFormat="1" hidden="1" outlineLevel="2" x14ac:dyDescent="0.25">
      <c r="A71" s="29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28"/>
        <v>0</v>
      </c>
      <c r="G71" s="2"/>
      <c r="H71" s="6">
        <v>100</v>
      </c>
      <c r="I71" s="2"/>
      <c r="J71" s="7">
        <f t="shared" si="29"/>
        <v>6.8799449604403165E-3</v>
      </c>
      <c r="K71" s="2"/>
      <c r="L71" s="6">
        <f t="shared" si="30"/>
        <v>-100</v>
      </c>
      <c r="M71" s="2"/>
      <c r="N71" s="7">
        <f t="shared" si="31"/>
        <v>-1</v>
      </c>
      <c r="O71" s="11"/>
      <c r="P71" s="6"/>
      <c r="Q71" s="2"/>
      <c r="R71" s="7">
        <f t="shared" si="32"/>
        <v>0</v>
      </c>
      <c r="S71" s="2"/>
      <c r="T71" s="6">
        <v>300</v>
      </c>
      <c r="U71" s="2"/>
      <c r="V71" s="7">
        <f t="shared" si="33"/>
        <v>1.5104979608277528E-2</v>
      </c>
      <c r="W71" s="2"/>
      <c r="X71" s="6">
        <f t="shared" si="34"/>
        <v>-300</v>
      </c>
      <c r="Y71" s="2"/>
      <c r="Z71" s="7">
        <f t="shared" si="35"/>
        <v>-1</v>
      </c>
    </row>
    <row r="72" spans="1:26" s="28" customFormat="1" outlineLevel="1" collapsed="1" x14ac:dyDescent="0.25">
      <c r="A72" s="27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SUM(OSRRefD22_10x_0)</f>
        <v>44</v>
      </c>
      <c r="E72" s="1"/>
      <c r="F72" s="5">
        <f t="shared" ref="F72:F74" si="36">IF(D$12=0,0,D72/D$12)</f>
        <v>4.9459986870621668E-3</v>
      </c>
      <c r="G72" s="1"/>
      <c r="H72" s="1">
        <f>SUM(OSRRefH22_10x_0)</f>
        <v>274</v>
      </c>
      <c r="I72" s="1"/>
      <c r="J72" s="5">
        <f t="shared" ref="J72:J74" si="37">IF(H$12=0,0,H72/H$12)</f>
        <v>1.8851049191606468E-2</v>
      </c>
      <c r="K72" s="1"/>
      <c r="L72" s="1">
        <f t="shared" ref="L72:L74" si="38">+D72-H72</f>
        <v>-230</v>
      </c>
      <c r="M72" s="1"/>
      <c r="N72" s="5">
        <f t="shared" ref="N72:N74" si="39">IF(H72=0,0,L72/H72)</f>
        <v>-0.83941605839416056</v>
      </c>
      <c r="O72" s="14"/>
      <c r="P72" s="1">
        <f>SUM(OSRRefP22_10x_0)</f>
        <v>-25.5</v>
      </c>
      <c r="Q72" s="1"/>
      <c r="R72" s="5">
        <f t="shared" ref="R72:R74" si="40">IF(P$12=0,0,P72/P$12)</f>
        <v>-1.1975193035415577E-3</v>
      </c>
      <c r="S72" s="1"/>
      <c r="T72" s="1">
        <f>SUM(OSRRefT22_10x_0)</f>
        <v>548</v>
      </c>
      <c r="U72" s="1"/>
      <c r="V72" s="5">
        <f t="shared" ref="V72:V74" si="41">IF(T$12=0,0,T72/T$12)</f>
        <v>2.7591762751120286E-2</v>
      </c>
      <c r="W72" s="1"/>
      <c r="X72" s="1">
        <f t="shared" ref="X72:X74" si="42">+P72-T72</f>
        <v>-573.5</v>
      </c>
      <c r="Y72" s="1"/>
      <c r="Z72" s="5">
        <f t="shared" ref="Z72:Z74" si="43">IF(T72=0,0,X72/T72)</f>
        <v>-1.0465328467153285</v>
      </c>
    </row>
    <row r="73" spans="1:26" s="24" customFormat="1" hidden="1" outlineLevel="2" x14ac:dyDescent="0.25">
      <c r="A73" s="29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44</v>
      </c>
      <c r="E73" s="2"/>
      <c r="F73" s="7">
        <f t="shared" si="36"/>
        <v>4.9459986870621668E-3</v>
      </c>
      <c r="G73" s="2"/>
      <c r="H73" s="6"/>
      <c r="I73" s="2"/>
      <c r="J73" s="7">
        <f t="shared" si="37"/>
        <v>0</v>
      </c>
      <c r="K73" s="2"/>
      <c r="L73" s="6">
        <f t="shared" si="38"/>
        <v>44</v>
      </c>
      <c r="M73" s="2"/>
      <c r="N73" s="7">
        <f t="shared" si="39"/>
        <v>0</v>
      </c>
      <c r="O73" s="11"/>
      <c r="P73" s="6">
        <v>132</v>
      </c>
      <c r="Q73" s="2"/>
      <c r="R73" s="7">
        <f t="shared" si="40"/>
        <v>6.1989234536268863E-3</v>
      </c>
      <c r="S73" s="2"/>
      <c r="T73" s="6"/>
      <c r="U73" s="2"/>
      <c r="V73" s="7">
        <f t="shared" si="41"/>
        <v>0</v>
      </c>
      <c r="W73" s="2"/>
      <c r="X73" s="6">
        <f t="shared" si="42"/>
        <v>132</v>
      </c>
      <c r="Y73" s="2"/>
      <c r="Z73" s="7">
        <f t="shared" si="43"/>
        <v>0</v>
      </c>
    </row>
    <row r="74" spans="1:26" s="24" customFormat="1" hidden="1" outlineLevel="2" x14ac:dyDescent="0.25">
      <c r="A74" s="29"/>
      <c r="B74" s="11" t="str">
        <f>CONCATENATE("          ", "6285", " - ", "JANITORIAL SERVICES")</f>
        <v xml:space="preserve">          6285 - JANITORIAL SERVICES</v>
      </c>
      <c r="C74" s="11"/>
      <c r="D74" s="6"/>
      <c r="E74" s="2"/>
      <c r="F74" s="7">
        <f t="shared" si="36"/>
        <v>0</v>
      </c>
      <c r="G74" s="2"/>
      <c r="H74" s="6">
        <v>274</v>
      </c>
      <c r="I74" s="2"/>
      <c r="J74" s="7">
        <f t="shared" si="37"/>
        <v>1.8851049191606468E-2</v>
      </c>
      <c r="K74" s="2"/>
      <c r="L74" s="6">
        <f t="shared" si="38"/>
        <v>-274</v>
      </c>
      <c r="M74" s="2"/>
      <c r="N74" s="7">
        <f t="shared" si="39"/>
        <v>-1</v>
      </c>
      <c r="O74" s="11"/>
      <c r="P74" s="6">
        <v>-157.5</v>
      </c>
      <c r="Q74" s="2"/>
      <c r="R74" s="7">
        <f t="shared" si="40"/>
        <v>-7.3964427571684447E-3</v>
      </c>
      <c r="S74" s="2"/>
      <c r="T74" s="6">
        <v>548</v>
      </c>
      <c r="U74" s="2"/>
      <c r="V74" s="7">
        <f t="shared" si="41"/>
        <v>2.7591762751120286E-2</v>
      </c>
      <c r="W74" s="2"/>
      <c r="X74" s="6">
        <f t="shared" si="42"/>
        <v>-705.5</v>
      </c>
      <c r="Y74" s="2"/>
      <c r="Z74" s="7">
        <f t="shared" si="43"/>
        <v>-1.2874087591240877</v>
      </c>
    </row>
    <row r="75" spans="1:26" s="28" customFormat="1" outlineLevel="1" collapsed="1" x14ac:dyDescent="0.25">
      <c r="A75" s="27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SUM(OSRRefD22_11x_0)</f>
        <v>418.01</v>
      </c>
      <c r="E75" s="1"/>
      <c r="F75" s="5">
        <f t="shared" ref="F75:F79" si="44">IF(D$12=0,0,D75/D$12)</f>
        <v>4.6988111617701278E-2</v>
      </c>
      <c r="G75" s="1"/>
      <c r="H75" s="1">
        <f>SUM(OSRRefH22_11x_0)</f>
        <v>300</v>
      </c>
      <c r="I75" s="1"/>
      <c r="J75" s="5">
        <f t="shared" ref="J75:J79" si="45">IF(H$12=0,0,H75/H$12)</f>
        <v>2.063983488132095E-2</v>
      </c>
      <c r="K75" s="1"/>
      <c r="L75" s="1">
        <f t="shared" ref="L75:L79" si="46">+D75-H75</f>
        <v>118.00999999999999</v>
      </c>
      <c r="M75" s="1"/>
      <c r="N75" s="5">
        <f t="shared" ref="N75:N79" si="47">IF(H75=0,0,L75/H75)</f>
        <v>0.39336666666666664</v>
      </c>
      <c r="O75" s="14"/>
      <c r="P75" s="1">
        <f>SUM(OSRRefP22_11x_0)</f>
        <v>1347.67</v>
      </c>
      <c r="Q75" s="1"/>
      <c r="R75" s="5">
        <f t="shared" ref="R75:R79" si="48">IF(P$12=0,0,P75/P$12)</f>
        <v>6.3288660384464748E-2</v>
      </c>
      <c r="S75" s="1"/>
      <c r="T75" s="1">
        <f>SUM(OSRRefT22_11x_0)</f>
        <v>700</v>
      </c>
      <c r="U75" s="1"/>
      <c r="V75" s="5">
        <f t="shared" ref="V75:V79" si="49">IF(T$12=0,0,T75/T$12)</f>
        <v>3.5244952419314232E-2</v>
      </c>
      <c r="W75" s="1"/>
      <c r="X75" s="1">
        <f t="shared" ref="X75:X79" si="50">+P75-T75</f>
        <v>647.67000000000007</v>
      </c>
      <c r="Y75" s="1"/>
      <c r="Z75" s="5">
        <f t="shared" ref="Z75:Z79" si="51">IF(T75=0,0,X75/T75)</f>
        <v>0.92524285714285726</v>
      </c>
    </row>
    <row r="76" spans="1:26" s="24" customFormat="1" hidden="1" outlineLevel="2" x14ac:dyDescent="0.25">
      <c r="A76" s="29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44"/>
        <v>0</v>
      </c>
      <c r="G76" s="2"/>
      <c r="H76" s="6">
        <v>200</v>
      </c>
      <c r="I76" s="2"/>
      <c r="J76" s="7">
        <f t="shared" si="45"/>
        <v>1.3759889920880633E-2</v>
      </c>
      <c r="K76" s="2"/>
      <c r="L76" s="6">
        <f t="shared" si="46"/>
        <v>-200</v>
      </c>
      <c r="M76" s="2"/>
      <c r="N76" s="7">
        <f t="shared" si="47"/>
        <v>-1</v>
      </c>
      <c r="O76" s="11"/>
      <c r="P76" s="6">
        <v>444.3</v>
      </c>
      <c r="Q76" s="2"/>
      <c r="R76" s="7">
        <f t="shared" si="48"/>
        <v>2.0865012806412318E-2</v>
      </c>
      <c r="S76" s="2"/>
      <c r="T76" s="6">
        <v>400</v>
      </c>
      <c r="U76" s="2"/>
      <c r="V76" s="7">
        <f t="shared" si="49"/>
        <v>2.0139972811036706E-2</v>
      </c>
      <c r="W76" s="2"/>
      <c r="X76" s="6">
        <f t="shared" si="50"/>
        <v>44.300000000000011</v>
      </c>
      <c r="Y76" s="2"/>
      <c r="Z76" s="7">
        <f t="shared" si="51"/>
        <v>0.11075000000000003</v>
      </c>
    </row>
    <row r="77" spans="1:26" s="24" customFormat="1" hidden="1" outlineLevel="2" x14ac:dyDescent="0.25">
      <c r="A77" s="29"/>
      <c r="B77" s="11" t="str">
        <f>CONCATENATE("          ", "6241", " - ", "OFFICE EXPENSE")</f>
        <v xml:space="preserve">          6241 - OFFICE EXPENSE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>
        <v>225.24</v>
      </c>
      <c r="Q77" s="2"/>
      <c r="R77" s="7">
        <f t="shared" si="48"/>
        <v>1.0577617565870607E-2</v>
      </c>
      <c r="S77" s="2"/>
      <c r="T77" s="6"/>
      <c r="U77" s="2"/>
      <c r="V77" s="7">
        <f t="shared" si="49"/>
        <v>0</v>
      </c>
      <c r="W77" s="2"/>
      <c r="X77" s="6">
        <f t="shared" si="50"/>
        <v>225.24</v>
      </c>
      <c r="Y77" s="2"/>
      <c r="Z77" s="7">
        <f t="shared" si="51"/>
        <v>0</v>
      </c>
    </row>
    <row r="78" spans="1:26" s="24" customFormat="1" hidden="1" outlineLevel="2" x14ac:dyDescent="0.25">
      <c r="A78" s="29"/>
      <c r="B78" s="11" t="str">
        <f>CONCATENATE("          ", "6247", " - ", "STORE SUPPLIES")</f>
        <v xml:space="preserve">          6247 - STORE SUPPLIES</v>
      </c>
      <c r="C78" s="11"/>
      <c r="D78" s="6">
        <v>418.01</v>
      </c>
      <c r="E78" s="2"/>
      <c r="F78" s="7">
        <f t="shared" si="44"/>
        <v>4.6988111617701278E-2</v>
      </c>
      <c r="G78" s="2"/>
      <c r="H78" s="6">
        <v>100</v>
      </c>
      <c r="I78" s="2"/>
      <c r="J78" s="7">
        <f t="shared" si="45"/>
        <v>6.8799449604403165E-3</v>
      </c>
      <c r="K78" s="2"/>
      <c r="L78" s="6">
        <f t="shared" si="46"/>
        <v>318.01</v>
      </c>
      <c r="M78" s="2"/>
      <c r="N78" s="7">
        <f t="shared" si="47"/>
        <v>3.1800999999999999</v>
      </c>
      <c r="O78" s="11"/>
      <c r="P78" s="6">
        <v>678.13</v>
      </c>
      <c r="Q78" s="2"/>
      <c r="R78" s="7">
        <f t="shared" si="48"/>
        <v>3.1846030012181822E-2</v>
      </c>
      <c r="S78" s="2"/>
      <c r="T78" s="6">
        <v>200</v>
      </c>
      <c r="U78" s="2"/>
      <c r="V78" s="7">
        <f t="shared" si="49"/>
        <v>1.0069986405518353E-2</v>
      </c>
      <c r="W78" s="2"/>
      <c r="X78" s="6">
        <f t="shared" si="50"/>
        <v>478.13</v>
      </c>
      <c r="Y78" s="2"/>
      <c r="Z78" s="7">
        <f t="shared" si="51"/>
        <v>2.3906499999999999</v>
      </c>
    </row>
    <row r="79" spans="1:26" s="24" customFormat="1" hidden="1" outlineLevel="2" x14ac:dyDescent="0.25">
      <c r="A79" s="29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1"/>
      <c r="P79" s="6"/>
      <c r="Q79" s="2"/>
      <c r="R79" s="7">
        <f t="shared" si="48"/>
        <v>0</v>
      </c>
      <c r="S79" s="2"/>
      <c r="T79" s="6">
        <v>100</v>
      </c>
      <c r="U79" s="2"/>
      <c r="V79" s="7">
        <f t="shared" si="49"/>
        <v>5.0349932027591764E-3</v>
      </c>
      <c r="W79" s="2"/>
      <c r="X79" s="6">
        <f t="shared" si="50"/>
        <v>-100</v>
      </c>
      <c r="Y79" s="2"/>
      <c r="Z79" s="7">
        <f t="shared" si="51"/>
        <v>-1</v>
      </c>
    </row>
    <row r="80" spans="1:26" s="28" customFormat="1" outlineLevel="1" collapsed="1" x14ac:dyDescent="0.25">
      <c r="A80" s="27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SUM(OSRRefD22_12x_0)</f>
        <v>100</v>
      </c>
      <c r="E80" s="1"/>
      <c r="F80" s="5">
        <f t="shared" ref="F80:F82" si="52">IF(D$12=0,0,D80/D$12)</f>
        <v>1.1240906106959469E-2</v>
      </c>
      <c r="G80" s="1"/>
      <c r="H80" s="1">
        <f>SUM(OSRRefH22_12x_0)</f>
        <v>100</v>
      </c>
      <c r="I80" s="1"/>
      <c r="J80" s="5">
        <f t="shared" ref="J80:J82" si="53">IF(H$12=0,0,H80/H$12)</f>
        <v>6.8799449604403165E-3</v>
      </c>
      <c r="K80" s="1"/>
      <c r="L80" s="1">
        <f t="shared" ref="L80:L82" si="54">+D80-H80</f>
        <v>0</v>
      </c>
      <c r="M80" s="1"/>
      <c r="N80" s="5">
        <f t="shared" ref="N80:N82" si="55">IF(H80=0,0,L80/H80)</f>
        <v>0</v>
      </c>
      <c r="O80" s="14"/>
      <c r="P80" s="1">
        <f>SUM(OSRRefP22_12x_0)</f>
        <v>206</v>
      </c>
      <c r="Q80" s="1"/>
      <c r="R80" s="5">
        <f t="shared" ref="R80:R82" si="56">IF(P$12=0,0,P80/P$12)</f>
        <v>9.6740775109631708E-3</v>
      </c>
      <c r="S80" s="1"/>
      <c r="T80" s="1">
        <f>SUM(OSRRefT22_12x_0)</f>
        <v>300</v>
      </c>
      <c r="U80" s="1"/>
      <c r="V80" s="5">
        <f t="shared" ref="V80:V82" si="57">IF(T$12=0,0,T80/T$12)</f>
        <v>1.5104979608277528E-2</v>
      </c>
      <c r="W80" s="1"/>
      <c r="X80" s="1">
        <f t="shared" ref="X80:X82" si="58">+P80-T80</f>
        <v>-94</v>
      </c>
      <c r="Y80" s="1"/>
      <c r="Z80" s="5">
        <f t="shared" ref="Z80:Z82" si="59">IF(T80=0,0,X80/T80)</f>
        <v>-0.31333333333333335</v>
      </c>
    </row>
    <row r="81" spans="1:26" s="24" customFormat="1" hidden="1" outlineLevel="2" x14ac:dyDescent="0.25">
      <c r="A81" s="29"/>
      <c r="B81" s="11" t="str">
        <f>CONCATENATE("          ", "6303", " - ", "DATA PHONE LINES")</f>
        <v xml:space="preserve">          6303 - DATA PHONE LINES</v>
      </c>
      <c r="C81" s="11"/>
      <c r="D81" s="6"/>
      <c r="E81" s="2"/>
      <c r="F81" s="7">
        <f t="shared" si="52"/>
        <v>0</v>
      </c>
      <c r="G81" s="2"/>
      <c r="H81" s="6">
        <v>100</v>
      </c>
      <c r="I81" s="2"/>
      <c r="J81" s="7">
        <f t="shared" si="53"/>
        <v>6.8799449604403165E-3</v>
      </c>
      <c r="K81" s="2"/>
      <c r="L81" s="6">
        <f t="shared" si="54"/>
        <v>-100</v>
      </c>
      <c r="M81" s="2"/>
      <c r="N81" s="7">
        <f t="shared" si="55"/>
        <v>-1</v>
      </c>
      <c r="O81" s="11"/>
      <c r="P81" s="6"/>
      <c r="Q81" s="2"/>
      <c r="R81" s="7">
        <f t="shared" si="56"/>
        <v>0</v>
      </c>
      <c r="S81" s="2"/>
      <c r="T81" s="6">
        <v>300</v>
      </c>
      <c r="U81" s="2"/>
      <c r="V81" s="7">
        <f t="shared" si="57"/>
        <v>1.5104979608277528E-2</v>
      </c>
      <c r="W81" s="2"/>
      <c r="X81" s="6">
        <f t="shared" si="58"/>
        <v>-300</v>
      </c>
      <c r="Y81" s="2"/>
      <c r="Z81" s="7">
        <f t="shared" si="59"/>
        <v>-1</v>
      </c>
    </row>
    <row r="82" spans="1:26" s="24" customFormat="1" hidden="1" outlineLevel="2" x14ac:dyDescent="0.25">
      <c r="A82" s="29"/>
      <c r="B82" s="11" t="str">
        <f>CONCATENATE("          ", "6309", " - ", "TELEPHONE")</f>
        <v xml:space="preserve">          6309 - TELEPHONE</v>
      </c>
      <c r="C82" s="11"/>
      <c r="D82" s="6">
        <v>100</v>
      </c>
      <c r="E82" s="2"/>
      <c r="F82" s="7">
        <f t="shared" si="52"/>
        <v>1.1240906106959469E-2</v>
      </c>
      <c r="G82" s="2"/>
      <c r="H82" s="6"/>
      <c r="I82" s="2"/>
      <c r="J82" s="7">
        <f t="shared" si="53"/>
        <v>0</v>
      </c>
      <c r="K82" s="2"/>
      <c r="L82" s="6">
        <f t="shared" si="54"/>
        <v>100</v>
      </c>
      <c r="M82" s="2"/>
      <c r="N82" s="7">
        <f t="shared" si="55"/>
        <v>0</v>
      </c>
      <c r="O82" s="11"/>
      <c r="P82" s="6">
        <v>206</v>
      </c>
      <c r="Q82" s="2"/>
      <c r="R82" s="7">
        <f t="shared" si="56"/>
        <v>9.6740775109631708E-3</v>
      </c>
      <c r="S82" s="2"/>
      <c r="T82" s="6"/>
      <c r="U82" s="2"/>
      <c r="V82" s="7">
        <f t="shared" si="57"/>
        <v>0</v>
      </c>
      <c r="W82" s="2"/>
      <c r="X82" s="6">
        <f t="shared" si="58"/>
        <v>206</v>
      </c>
      <c r="Y82" s="2"/>
      <c r="Z82" s="7">
        <f t="shared" si="59"/>
        <v>0</v>
      </c>
    </row>
    <row r="83" spans="1:26" s="28" customFormat="1" outlineLevel="1" collapsed="1" x14ac:dyDescent="0.25">
      <c r="A83" s="27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SUM(OSRRefD22_13x_0)</f>
        <v>0</v>
      </c>
      <c r="E83" s="1"/>
      <c r="F83" s="5">
        <f t="shared" ref="F83:F84" si="60">IF(D$12=0,0,D83/D$12)</f>
        <v>0</v>
      </c>
      <c r="G83" s="1"/>
      <c r="H83" s="1">
        <f>SUM(OSRRefH22_13x_0)</f>
        <v>0</v>
      </c>
      <c r="I83" s="1"/>
      <c r="J83" s="5">
        <f t="shared" ref="J83:J84" si="61">IF(H$12=0,0,H83/H$12)</f>
        <v>0</v>
      </c>
      <c r="K83" s="1"/>
      <c r="L83" s="1">
        <f t="shared" ref="L83:L84" si="62">+D83-H83</f>
        <v>0</v>
      </c>
      <c r="M83" s="1"/>
      <c r="N83" s="5">
        <f t="shared" ref="N83:N84" si="63">IF(H83=0,0,L83/H83)</f>
        <v>0</v>
      </c>
      <c r="O83" s="14"/>
      <c r="P83" s="1">
        <f>SUM(OSRRefP22_13x_0)</f>
        <v>0</v>
      </c>
      <c r="Q83" s="1"/>
      <c r="R83" s="5">
        <f t="shared" ref="R83:R84" si="64">IF(P$12=0,0,P83/P$12)</f>
        <v>0</v>
      </c>
      <c r="S83" s="1"/>
      <c r="T83" s="1">
        <f>SUM(OSRRefT22_13x_0)</f>
        <v>60</v>
      </c>
      <c r="U83" s="1"/>
      <c r="V83" s="5">
        <f t="shared" ref="V83:V84" si="65">IF(T$12=0,0,T83/T$12)</f>
        <v>3.0209959216555057E-3</v>
      </c>
      <c r="W83" s="1"/>
      <c r="X83" s="1">
        <f t="shared" ref="X83:X84" si="66">+P83-T83</f>
        <v>-60</v>
      </c>
      <c r="Y83" s="1"/>
      <c r="Z83" s="5">
        <f t="shared" ref="Z83:Z84" si="67">IF(T83=0,0,X83/T83)</f>
        <v>-1</v>
      </c>
    </row>
    <row r="84" spans="1:26" s="24" customFormat="1" hidden="1" outlineLevel="2" x14ac:dyDescent="0.25">
      <c r="A84" s="29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60"/>
        <v>0</v>
      </c>
      <c r="G84" s="2"/>
      <c r="H84" s="6"/>
      <c r="I84" s="2"/>
      <c r="J84" s="7">
        <f t="shared" si="61"/>
        <v>0</v>
      </c>
      <c r="K84" s="2"/>
      <c r="L84" s="6">
        <f t="shared" si="62"/>
        <v>0</v>
      </c>
      <c r="M84" s="2"/>
      <c r="N84" s="7">
        <f t="shared" si="63"/>
        <v>0</v>
      </c>
      <c r="O84" s="11"/>
      <c r="P84" s="6"/>
      <c r="Q84" s="2"/>
      <c r="R84" s="7">
        <f t="shared" si="64"/>
        <v>0</v>
      </c>
      <c r="S84" s="2"/>
      <c r="T84" s="6">
        <v>60</v>
      </c>
      <c r="U84" s="2"/>
      <c r="V84" s="7">
        <f t="shared" si="65"/>
        <v>3.0209959216555057E-3</v>
      </c>
      <c r="W84" s="2"/>
      <c r="X84" s="6">
        <f t="shared" si="66"/>
        <v>-60</v>
      </c>
      <c r="Y84" s="2"/>
      <c r="Z84" s="7">
        <f t="shared" si="67"/>
        <v>-1</v>
      </c>
    </row>
    <row r="85" spans="1:26" s="61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6" t="s">
        <v>3</v>
      </c>
      <c r="C88" s="26"/>
      <c r="D88" s="20">
        <f>+D32-D34+D86</f>
        <v>147.47999999999956</v>
      </c>
      <c r="E88" s="13"/>
      <c r="F88" s="21">
        <f>IF(D$12=0,0,D88/D$12)</f>
        <v>1.6578088326543776E-2</v>
      </c>
      <c r="G88" s="13"/>
      <c r="H88" s="20">
        <f>+H32-H34+H86</f>
        <v>-3626.904978999999</v>
      </c>
      <c r="I88" s="13"/>
      <c r="J88" s="21">
        <f>IF(H$12=0,0,H88/H$12)</f>
        <v>-0.24952906632266936</v>
      </c>
      <c r="K88" s="16"/>
      <c r="L88" s="20">
        <f>+D88-H88</f>
        <v>3774.3849789999986</v>
      </c>
      <c r="M88" s="16"/>
      <c r="N88" s="21">
        <f>IF(H88=0,0,L88/H88)</f>
        <v>-1.0406627691803114</v>
      </c>
      <c r="O88" s="25"/>
      <c r="P88" s="20">
        <f>+P32-P34+P86</f>
        <v>-3082.6999999999953</v>
      </c>
      <c r="Q88" s="13"/>
      <c r="R88" s="21">
        <f>IF(P$12=0,0,P88/P$12)</f>
        <v>-0.14476834341284525</v>
      </c>
      <c r="S88" s="13"/>
      <c r="T88" s="20">
        <f>+T32-T34+T86</f>
        <v>-19295.467966999997</v>
      </c>
      <c r="U88" s="13"/>
      <c r="V88" s="21">
        <f>IF(T$12=0,0,T88/T$12)</f>
        <v>-0.97152550057902409</v>
      </c>
      <c r="W88" s="16"/>
      <c r="X88" s="20">
        <f>+P88-T88</f>
        <v>16212.767967000002</v>
      </c>
      <c r="Y88" s="16"/>
      <c r="Z88" s="21">
        <f>IF(T88=0,0,X88/T88)</f>
        <v>-0.84023709581585837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1851.59</v>
      </c>
      <c r="E90" s="4"/>
      <c r="F90" s="12">
        <f>IF(D$12=0,0,D90/D$12)</f>
        <v>0.20813549338585083</v>
      </c>
      <c r="G90" s="4"/>
      <c r="H90" s="4">
        <v>1732</v>
      </c>
      <c r="I90" s="4"/>
      <c r="J90" s="12">
        <f>IF(H$12=0,0,H90/H$12)</f>
        <v>0.11916064671482628</v>
      </c>
      <c r="K90" s="4"/>
      <c r="L90" s="4">
        <f>+D90-H90</f>
        <v>119.58999999999992</v>
      </c>
      <c r="M90" s="4"/>
      <c r="N90" s="12">
        <f>IF(H90=0,0,L90/H90)</f>
        <v>6.9047344110854461E-2</v>
      </c>
      <c r="O90" s="10"/>
      <c r="P90" s="4">
        <v>3944.82</v>
      </c>
      <c r="Q90" s="4"/>
      <c r="R90" s="12">
        <f>IF(P$12=0,0,P90/P$12)</f>
        <v>0.18525482741163951</v>
      </c>
      <c r="S90" s="4"/>
      <c r="T90" s="4">
        <v>4975</v>
      </c>
      <c r="U90" s="4"/>
      <c r="V90" s="12">
        <f>IF(T$12=0,0,T90/T$12)</f>
        <v>0.25049091183726901</v>
      </c>
      <c r="W90" s="4"/>
      <c r="X90" s="4">
        <f>+P90-T90</f>
        <v>-1030.1799999999998</v>
      </c>
      <c r="Y90" s="4"/>
      <c r="Z90" s="12">
        <f>IF(T90=0,0,X90/T90)</f>
        <v>-0.20707135678391955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4</v>
      </c>
      <c r="C92" s="26"/>
      <c r="D92" s="33">
        <f>+D88-D90</f>
        <v>-1704.1100000000004</v>
      </c>
      <c r="E92" s="13"/>
      <c r="F92" s="34">
        <f>IF(D$12=0,0,D92/D$12)</f>
        <v>-0.19155740505930707</v>
      </c>
      <c r="G92" s="13"/>
      <c r="H92" s="33">
        <f>+H88-H90</f>
        <v>-5358.904978999999</v>
      </c>
      <c r="I92" s="13"/>
      <c r="J92" s="34">
        <f>IF(H$12=0,0,H92/H$12)</f>
        <v>-0.36868971303749565</v>
      </c>
      <c r="K92" s="16"/>
      <c r="L92" s="33">
        <f>D92-H92</f>
        <v>3654.7949789999984</v>
      </c>
      <c r="M92" s="16"/>
      <c r="N92" s="34">
        <f>IF(H92=0,0,L92/H92)</f>
        <v>-0.68200406488304688</v>
      </c>
      <c r="O92" s="25"/>
      <c r="P92" s="33">
        <f>+P88-P90</f>
        <v>-7027.519999999995</v>
      </c>
      <c r="Q92" s="13"/>
      <c r="R92" s="34">
        <f>IF(P$12=0,0,P92/P$12)</f>
        <v>-0.33002317082448474</v>
      </c>
      <c r="S92" s="13"/>
      <c r="T92" s="33">
        <f>+T88-T90</f>
        <v>-24270.467966999997</v>
      </c>
      <c r="U92" s="13"/>
      <c r="V92" s="34">
        <f>IF(T$12=0,0,T92/T$12)</f>
        <v>-1.2220164124162931</v>
      </c>
      <c r="W92" s="16"/>
      <c r="X92" s="33">
        <f>P92-T92</f>
        <v>17242.947967</v>
      </c>
      <c r="Y92" s="16"/>
      <c r="Z92" s="34">
        <f>IF(T92=0,0,X92/T92)</f>
        <v>-0.71044975277958566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5</v>
      </c>
      <c r="C95" s="26"/>
      <c r="D95" s="31">
        <f>SUM(D92:D94)</f>
        <v>-1704.1100000000004</v>
      </c>
      <c r="E95" s="13"/>
      <c r="F95" s="32">
        <f>IF(D$12=0,0,D95/D$12)</f>
        <v>-0.19155740505930707</v>
      </c>
      <c r="G95" s="13"/>
      <c r="H95" s="31">
        <f>SUM(H92:H94)</f>
        <v>-5358.904978999999</v>
      </c>
      <c r="I95" s="13"/>
      <c r="J95" s="32">
        <f>IF(H$12=0,0,H95/H$12)</f>
        <v>-0.36868971303749565</v>
      </c>
      <c r="K95" s="16"/>
      <c r="L95" s="31">
        <f>+D95-H95</f>
        <v>3654.7949789999984</v>
      </c>
      <c r="M95" s="16"/>
      <c r="N95" s="32">
        <f>IF(H95=0,0,L95/H95)</f>
        <v>-0.68200406488304688</v>
      </c>
      <c r="O95" s="25"/>
      <c r="P95" s="31">
        <f>SUM(P92:P94)</f>
        <v>-7027.519999999995</v>
      </c>
      <c r="Q95" s="13"/>
      <c r="R95" s="32">
        <f>IF(P$12=0,0,P95/P$12)</f>
        <v>-0.33002317082448474</v>
      </c>
      <c r="S95" s="13"/>
      <c r="T95" s="31">
        <f>SUM(T92:T94)</f>
        <v>-24270.467966999997</v>
      </c>
      <c r="U95" s="13"/>
      <c r="V95" s="32">
        <f>IF(T$12=0,0,T95/T$12)</f>
        <v>-1.2220164124162931</v>
      </c>
      <c r="W95" s="16"/>
      <c r="X95" s="31">
        <f>+P95-T95</f>
        <v>17242.947967</v>
      </c>
      <c r="Y95" s="16"/>
      <c r="Z95" s="32">
        <f>IF(T95=0,0,X95/T95)</f>
        <v>-0.71044975277958566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5">
        <v>44123.571497881945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53" t="s">
        <v>314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A99" s="9"/>
      <c r="B99" s="62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25"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","307", " - ", "Art Store")</f>
        <v>Department 307 - Art Store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8896.08</v>
      </c>
      <c r="E12" s="4"/>
      <c r="F12" s="12"/>
      <c r="G12" s="4"/>
      <c r="H12" s="4">
        <f>SUM(OSRRefH13x_0)</f>
        <v>14535</v>
      </c>
      <c r="I12" s="4"/>
      <c r="J12" s="12"/>
      <c r="K12" s="4"/>
      <c r="L12" s="4">
        <f t="shared" ref="L12:L23" si="0">+D12-H12</f>
        <v>-5638.92</v>
      </c>
      <c r="M12" s="4"/>
      <c r="N12" s="12">
        <f t="shared" ref="N12:N23" si="1">IF(H12=0,0,L12/H12)</f>
        <v>-0.38795459236326107</v>
      </c>
      <c r="O12" s="10"/>
      <c r="P12" s="4">
        <f>SUM(OSRRefP13x_0)</f>
        <v>21294.02</v>
      </c>
      <c r="Q12" s="4"/>
      <c r="R12" s="12"/>
      <c r="S12" s="4"/>
      <c r="T12" s="4">
        <f>SUM(OSRRefT13x_0)</f>
        <v>19861</v>
      </c>
      <c r="U12" s="4"/>
      <c r="V12" s="12"/>
      <c r="W12" s="4"/>
      <c r="X12" s="4">
        <f t="shared" ref="X12:X23" si="2">+P12-T12</f>
        <v>1433.0200000000004</v>
      </c>
      <c r="Y12" s="4"/>
      <c r="Z12" s="12">
        <f t="shared" ref="Z12:Z23" si="3">IF(T12=0,0,X12/T12)</f>
        <v>7.2152459594179569E-2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-25.17</f>
        <v>-25.17</v>
      </c>
      <c r="E13" s="2"/>
      <c r="F13" s="22"/>
      <c r="G13" s="2"/>
      <c r="H13" s="2"/>
      <c r="I13" s="2"/>
      <c r="J13" s="22"/>
      <c r="K13" s="2"/>
      <c r="L13" s="2">
        <f t="shared" si="0"/>
        <v>-25.17</v>
      </c>
      <c r="M13" s="2"/>
      <c r="N13" s="22">
        <f t="shared" si="1"/>
        <v>0</v>
      </c>
      <c r="O13" s="11"/>
      <c r="P13" s="2">
        <f>-1094.7</f>
        <v>-1094.7</v>
      </c>
      <c r="Q13" s="2"/>
      <c r="R13" s="22"/>
      <c r="S13" s="2"/>
      <c r="T13" s="2"/>
      <c r="U13" s="2"/>
      <c r="V13" s="22"/>
      <c r="W13" s="2"/>
      <c r="X13" s="2">
        <f t="shared" si="2"/>
        <v>-1094.7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--17.51</f>
        <v>17.510000000000002</v>
      </c>
      <c r="E14" s="2"/>
      <c r="F14" s="22"/>
      <c r="G14" s="2"/>
      <c r="H14" s="2"/>
      <c r="I14" s="2"/>
      <c r="J14" s="22"/>
      <c r="K14" s="2"/>
      <c r="L14" s="2">
        <f t="shared" si="0"/>
        <v>17.510000000000002</v>
      </c>
      <c r="M14" s="2"/>
      <c r="N14" s="22">
        <f t="shared" si="1"/>
        <v>0</v>
      </c>
      <c r="O14" s="11"/>
      <c r="P14" s="2">
        <f>--17.51</f>
        <v>17.510000000000002</v>
      </c>
      <c r="Q14" s="2"/>
      <c r="R14" s="22"/>
      <c r="S14" s="2"/>
      <c r="T14" s="2"/>
      <c r="U14" s="2"/>
      <c r="V14" s="22"/>
      <c r="W14" s="2"/>
      <c r="X14" s="2">
        <f t="shared" si="2"/>
        <v>17.510000000000002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--4601.45</f>
        <v>4601.45</v>
      </c>
      <c r="E15" s="2"/>
      <c r="F15" s="22"/>
      <c r="G15" s="2"/>
      <c r="H15" s="2"/>
      <c r="I15" s="2"/>
      <c r="J15" s="22"/>
      <c r="K15" s="2"/>
      <c r="L15" s="2">
        <f t="shared" si="0"/>
        <v>4601.45</v>
      </c>
      <c r="M15" s="2"/>
      <c r="N15" s="22">
        <f t="shared" si="1"/>
        <v>0</v>
      </c>
      <c r="O15" s="11"/>
      <c r="P15" s="2">
        <f>--7990.32</f>
        <v>7990.32</v>
      </c>
      <c r="Q15" s="2"/>
      <c r="R15" s="22"/>
      <c r="S15" s="2"/>
      <c r="T15" s="2"/>
      <c r="U15" s="2"/>
      <c r="V15" s="22"/>
      <c r="W15" s="2"/>
      <c r="X15" s="2">
        <f t="shared" si="2"/>
        <v>7990.32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--2807.8</f>
        <v>2807.8</v>
      </c>
      <c r="E16" s="2"/>
      <c r="F16" s="22"/>
      <c r="G16" s="2"/>
      <c r="H16" s="2"/>
      <c r="I16" s="2"/>
      <c r="J16" s="22"/>
      <c r="K16" s="2"/>
      <c r="L16" s="2">
        <f t="shared" si="0"/>
        <v>2807.8</v>
      </c>
      <c r="M16" s="2"/>
      <c r="N16" s="22">
        <f t="shared" si="1"/>
        <v>0</v>
      </c>
      <c r="O16" s="11"/>
      <c r="P16" s="2">
        <f>--12479.05</f>
        <v>12479.05</v>
      </c>
      <c r="Q16" s="2"/>
      <c r="R16" s="22"/>
      <c r="S16" s="2"/>
      <c r="T16" s="2"/>
      <c r="U16" s="2"/>
      <c r="V16" s="22"/>
      <c r="W16" s="2"/>
      <c r="X16" s="2">
        <f t="shared" si="2"/>
        <v>12479.05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--244.33</f>
        <v>244.33</v>
      </c>
      <c r="E17" s="2"/>
      <c r="F17" s="22"/>
      <c r="G17" s="2"/>
      <c r="H17" s="2"/>
      <c r="I17" s="2"/>
      <c r="J17" s="22"/>
      <c r="K17" s="2"/>
      <c r="L17" s="2">
        <f t="shared" si="0"/>
        <v>244.33</v>
      </c>
      <c r="M17" s="2"/>
      <c r="N17" s="22">
        <f t="shared" si="1"/>
        <v>0</v>
      </c>
      <c r="O17" s="11"/>
      <c r="P17" s="2">
        <f>--369.37</f>
        <v>369.37</v>
      </c>
      <c r="Q17" s="2"/>
      <c r="R17" s="22"/>
      <c r="S17" s="2"/>
      <c r="T17" s="2"/>
      <c r="U17" s="2"/>
      <c r="V17" s="22"/>
      <c r="W17" s="2"/>
      <c r="X17" s="2">
        <f t="shared" si="2"/>
        <v>369.37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"4081", " - ", "TAXABLE SALES-ELECTRONICS")</f>
        <v xml:space="preserve">          4081 - TAXABLE SALES-ELECTRONICS</v>
      </c>
      <c r="C18" s="11"/>
      <c r="D18" s="2">
        <f>--71.95</f>
        <v>71.95</v>
      </c>
      <c r="E18" s="2"/>
      <c r="F18" s="22"/>
      <c r="G18" s="2"/>
      <c r="H18" s="2"/>
      <c r="I18" s="2"/>
      <c r="J18" s="22"/>
      <c r="K18" s="2"/>
      <c r="L18" s="2">
        <f t="shared" si="0"/>
        <v>71.95</v>
      </c>
      <c r="M18" s="2"/>
      <c r="N18" s="22">
        <f t="shared" si="1"/>
        <v>0</v>
      </c>
      <c r="O18" s="11"/>
      <c r="P18" s="2">
        <f>--71.95</f>
        <v>71.95</v>
      </c>
      <c r="Q18" s="2"/>
      <c r="R18" s="22"/>
      <c r="S18" s="2"/>
      <c r="T18" s="2"/>
      <c r="U18" s="2"/>
      <c r="V18" s="22"/>
      <c r="W18" s="2"/>
      <c r="X18" s="2">
        <f t="shared" si="2"/>
        <v>71.95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>--9.99</f>
        <v>9.99</v>
      </c>
      <c r="E19" s="2"/>
      <c r="F19" s="22"/>
      <c r="G19" s="2"/>
      <c r="H19" s="2"/>
      <c r="I19" s="2"/>
      <c r="J19" s="22"/>
      <c r="K19" s="2"/>
      <c r="L19" s="2">
        <f t="shared" si="0"/>
        <v>9.99</v>
      </c>
      <c r="M19" s="2"/>
      <c r="N19" s="22">
        <f t="shared" si="1"/>
        <v>0</v>
      </c>
      <c r="O19" s="11"/>
      <c r="P19" s="2">
        <f>--9.99</f>
        <v>9.99</v>
      </c>
      <c r="Q19" s="2"/>
      <c r="R19" s="22"/>
      <c r="S19" s="2"/>
      <c r="T19" s="2"/>
      <c r="U19" s="2"/>
      <c r="V19" s="22"/>
      <c r="W19" s="2"/>
      <c r="X19" s="2">
        <f t="shared" si="2"/>
        <v>9.99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"4100", " - ", "NON-TAXABLE SALES")</f>
        <v xml:space="preserve">          4100 - NON-TAXABLE SALES</v>
      </c>
      <c r="C20" s="11"/>
      <c r="D20" s="2">
        <f>0</f>
        <v>0</v>
      </c>
      <c r="E20" s="2"/>
      <c r="F20" s="22"/>
      <c r="G20" s="2"/>
      <c r="H20" s="2">
        <v>14535</v>
      </c>
      <c r="I20" s="2"/>
      <c r="J20" s="22"/>
      <c r="K20" s="2"/>
      <c r="L20" s="2">
        <f t="shared" si="0"/>
        <v>-14535</v>
      </c>
      <c r="M20" s="2"/>
      <c r="N20" s="22">
        <f t="shared" si="1"/>
        <v>-1</v>
      </c>
      <c r="O20" s="11"/>
      <c r="P20" s="2">
        <f>0</f>
        <v>0</v>
      </c>
      <c r="Q20" s="2"/>
      <c r="R20" s="22"/>
      <c r="S20" s="2"/>
      <c r="T20" s="2">
        <v>19861</v>
      </c>
      <c r="U20" s="2"/>
      <c r="V20" s="22"/>
      <c r="W20" s="2"/>
      <c r="X20" s="2">
        <f t="shared" si="2"/>
        <v>-19861</v>
      </c>
      <c r="Y20" s="2"/>
      <c r="Z20" s="22">
        <f t="shared" si="3"/>
        <v>-1</v>
      </c>
    </row>
    <row r="21" spans="1:26" s="24" customFormat="1" hidden="1" outlineLevel="1" x14ac:dyDescent="0.25">
      <c r="A21" s="51"/>
      <c r="B21" s="11" t="str">
        <f>CONCATENATE("          ", "4131", " - ", "NON-TAXABLE SALES-FOOD")</f>
        <v xml:space="preserve">          4131 - NON-TAXABLE SALES-FOOD</v>
      </c>
      <c r="C21" s="11"/>
      <c r="D21" s="2">
        <f>--1245.56</f>
        <v>1245.56</v>
      </c>
      <c r="E21" s="2"/>
      <c r="F21" s="22"/>
      <c r="G21" s="2"/>
      <c r="H21" s="2"/>
      <c r="I21" s="2"/>
      <c r="J21" s="22"/>
      <c r="K21" s="2"/>
      <c r="L21" s="2">
        <f t="shared" si="0"/>
        <v>1245.56</v>
      </c>
      <c r="M21" s="2"/>
      <c r="N21" s="22">
        <f t="shared" si="1"/>
        <v>0</v>
      </c>
      <c r="O21" s="11"/>
      <c r="P21" s="2">
        <f>--1832.7</f>
        <v>1832.7</v>
      </c>
      <c r="Q21" s="2"/>
      <c r="R21" s="22"/>
      <c r="S21" s="2"/>
      <c r="T21" s="2"/>
      <c r="U21" s="2"/>
      <c r="V21" s="22"/>
      <c r="W21" s="2"/>
      <c r="X21" s="2">
        <f t="shared" si="2"/>
        <v>1832.7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"4227", " - ", "SALES RETURN TAXABLE-SCHOOL SU")</f>
        <v xml:space="preserve">          4227 - SALES RETURN TAXABLE-SCHOOL SU</v>
      </c>
      <c r="C22" s="11"/>
      <c r="D22" s="2">
        <f>-19.58</f>
        <v>-19.579999999999998</v>
      </c>
      <c r="E22" s="2"/>
      <c r="F22" s="22"/>
      <c r="G22" s="2"/>
      <c r="H22" s="2"/>
      <c r="I22" s="2"/>
      <c r="J22" s="22"/>
      <c r="K22" s="2"/>
      <c r="L22" s="2">
        <f t="shared" si="0"/>
        <v>-19.579999999999998</v>
      </c>
      <c r="M22" s="2"/>
      <c r="N22" s="22">
        <f t="shared" si="1"/>
        <v>0</v>
      </c>
      <c r="O22" s="11"/>
      <c r="P22" s="2">
        <f>-159.97</f>
        <v>-159.97</v>
      </c>
      <c r="Q22" s="2"/>
      <c r="R22" s="22"/>
      <c r="S22" s="2"/>
      <c r="T22" s="2"/>
      <c r="U22" s="2"/>
      <c r="V22" s="22"/>
      <c r="W22" s="2"/>
      <c r="X22" s="2">
        <f t="shared" si="2"/>
        <v>-159.97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"4228", " - ", "SALES RETURN TAXABLE-ART/TECH")</f>
        <v xml:space="preserve">          4228 - SALES RETURN TAXABLE-ART/TECH</v>
      </c>
      <c r="C23" s="11"/>
      <c r="D23" s="2">
        <f>-57.76</f>
        <v>-57.76</v>
      </c>
      <c r="E23" s="2"/>
      <c r="F23" s="22"/>
      <c r="G23" s="2"/>
      <c r="H23" s="2"/>
      <c r="I23" s="2"/>
      <c r="J23" s="22"/>
      <c r="K23" s="2"/>
      <c r="L23" s="2">
        <f t="shared" si="0"/>
        <v>-57.76</v>
      </c>
      <c r="M23" s="2"/>
      <c r="N23" s="22">
        <f t="shared" si="1"/>
        <v>0</v>
      </c>
      <c r="O23" s="11"/>
      <c r="P23" s="2">
        <f>-222.2</f>
        <v>-222.2</v>
      </c>
      <c r="Q23" s="2"/>
      <c r="R23" s="22"/>
      <c r="S23" s="2"/>
      <c r="T23" s="2"/>
      <c r="U23" s="2"/>
      <c r="V23" s="22"/>
      <c r="W23" s="2"/>
      <c r="X23" s="2">
        <f t="shared" si="2"/>
        <v>-222.2</v>
      </c>
      <c r="Y23" s="2"/>
      <c r="Z23" s="22">
        <f t="shared" si="3"/>
        <v>0</v>
      </c>
    </row>
    <row r="24" spans="1:26" x14ac:dyDescent="0.25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25">
      <c r="A25" s="10"/>
      <c r="B25" s="25" t="s">
        <v>8</v>
      </c>
      <c r="C25" s="10"/>
      <c r="D25" s="4">
        <f>SUM(OSRRefD16x_0)</f>
        <v>5140</v>
      </c>
      <c r="E25" s="4"/>
      <c r="F25" s="12">
        <f t="shared" ref="F25:F30" si="4">IF(D$12=0,0,D25/D$12)</f>
        <v>0.5777825738977167</v>
      </c>
      <c r="G25" s="4"/>
      <c r="H25" s="4">
        <f>SUM(OSRRefH16x_0)</f>
        <v>7455</v>
      </c>
      <c r="I25" s="4"/>
      <c r="J25" s="12">
        <f t="shared" ref="J25:J30" si="5">IF(H$12=0,0,H25/H$12)</f>
        <v>0.51289989680082559</v>
      </c>
      <c r="K25" s="4"/>
      <c r="L25" s="4">
        <f t="shared" ref="L25:L30" si="6">+D25-H25</f>
        <v>-2315</v>
      </c>
      <c r="M25" s="4"/>
      <c r="N25" s="12">
        <f t="shared" ref="N25:N30" si="7">IF(H25=0,0,L25/H25)</f>
        <v>-0.31052984574111336</v>
      </c>
      <c r="O25" s="10"/>
      <c r="P25" s="4">
        <f>SUM(OSRRefP16x_0)</f>
        <v>14183.05</v>
      </c>
      <c r="Q25" s="4"/>
      <c r="R25" s="12">
        <f t="shared" ref="R25:R30" si="8">IF(P$12=0,0,P25/P$12)</f>
        <v>0.66605788855274861</v>
      </c>
      <c r="S25" s="4"/>
      <c r="T25" s="4">
        <f>SUM(OSRRefT16x_0)</f>
        <v>10320</v>
      </c>
      <c r="U25" s="4"/>
      <c r="V25" s="12">
        <f t="shared" ref="V25:V30" si="9">IF(T$12=0,0,T25/T$12)</f>
        <v>0.51961129852474697</v>
      </c>
      <c r="W25" s="4"/>
      <c r="X25" s="4">
        <f t="shared" ref="X25:X30" si="10">+P25-T25</f>
        <v>3863.0499999999993</v>
      </c>
      <c r="Y25" s="4"/>
      <c r="Z25" s="12">
        <f t="shared" ref="Z25:Z30" si="11">IF(T25=0,0,X25/T25)</f>
        <v>0.37432655038759682</v>
      </c>
    </row>
    <row r="26" spans="1:26" s="24" customFormat="1" hidden="1" outlineLevel="1" x14ac:dyDescent="0.25">
      <c r="A26" s="51"/>
      <c r="B26" s="11" t="str">
        <f>CONCATENATE("          ", "5000", " - ", "PURCHASES @ COST")</f>
        <v xml:space="preserve">          5000 - PURCHASES @ COST</v>
      </c>
      <c r="C26" s="11"/>
      <c r="D26" s="2"/>
      <c r="E26" s="2"/>
      <c r="F26" s="22">
        <f t="shared" si="4"/>
        <v>0</v>
      </c>
      <c r="G26" s="2"/>
      <c r="H26" s="2">
        <v>7455</v>
      </c>
      <c r="I26" s="2"/>
      <c r="J26" s="22">
        <f t="shared" si="5"/>
        <v>0.51289989680082559</v>
      </c>
      <c r="K26" s="2"/>
      <c r="L26" s="2">
        <f t="shared" si="6"/>
        <v>-7455</v>
      </c>
      <c r="M26" s="2"/>
      <c r="N26" s="22">
        <f t="shared" si="7"/>
        <v>-1</v>
      </c>
      <c r="O26" s="11"/>
      <c r="P26" s="2"/>
      <c r="Q26" s="2"/>
      <c r="R26" s="22">
        <f t="shared" si="8"/>
        <v>0</v>
      </c>
      <c r="S26" s="2"/>
      <c r="T26" s="2">
        <v>10320</v>
      </c>
      <c r="U26" s="2"/>
      <c r="V26" s="22">
        <f t="shared" si="9"/>
        <v>0.51961129852474697</v>
      </c>
      <c r="W26" s="2"/>
      <c r="X26" s="2">
        <f t="shared" si="10"/>
        <v>-10320</v>
      </c>
      <c r="Y26" s="2"/>
      <c r="Z26" s="22">
        <f t="shared" si="11"/>
        <v>-1</v>
      </c>
    </row>
    <row r="27" spans="1:26" s="24" customFormat="1" hidden="1" outlineLevel="1" x14ac:dyDescent="0.25">
      <c r="A27" s="51"/>
      <c r="B27" s="11" t="str">
        <f>CONCATENATE("          ", "5031", " - ", "PURCHASES @ COST-FOOD")</f>
        <v xml:space="preserve">          5031 - PURCHASES @ COST-FOOD</v>
      </c>
      <c r="C27" s="11"/>
      <c r="D27" s="2">
        <v>2882.41</v>
      </c>
      <c r="E27" s="2"/>
      <c r="F27" s="22">
        <f t="shared" si="4"/>
        <v>0.32400900171761043</v>
      </c>
      <c r="G27" s="2"/>
      <c r="H27" s="2"/>
      <c r="I27" s="2"/>
      <c r="J27" s="22">
        <f t="shared" si="5"/>
        <v>0</v>
      </c>
      <c r="K27" s="2"/>
      <c r="L27" s="2">
        <f t="shared" si="6"/>
        <v>2882.41</v>
      </c>
      <c r="M27" s="2"/>
      <c r="N27" s="22">
        <f t="shared" si="7"/>
        <v>0</v>
      </c>
      <c r="O27" s="11"/>
      <c r="P27" s="2">
        <v>2882.41</v>
      </c>
      <c r="Q27" s="2"/>
      <c r="R27" s="22">
        <f t="shared" si="8"/>
        <v>0.13536241630279297</v>
      </c>
      <c r="S27" s="2"/>
      <c r="T27" s="2"/>
      <c r="U27" s="2"/>
      <c r="V27" s="22">
        <f t="shared" si="9"/>
        <v>0</v>
      </c>
      <c r="W27" s="2"/>
      <c r="X27" s="2">
        <f t="shared" si="10"/>
        <v>2882.41</v>
      </c>
      <c r="Y27" s="2"/>
      <c r="Z27" s="22">
        <f t="shared" si="11"/>
        <v>0</v>
      </c>
    </row>
    <row r="28" spans="1:26" s="24" customFormat="1" hidden="1" outlineLevel="1" x14ac:dyDescent="0.25">
      <c r="A28" s="51"/>
      <c r="B28" s="11" t="str">
        <f>CONCATENATE("          ", "5200", " - ", "PURCHASES OFFSET")</f>
        <v xml:space="preserve">          5200 - PURCHASES OFFSET</v>
      </c>
      <c r="C28" s="11"/>
      <c r="D28" s="2">
        <v>-2889.17</v>
      </c>
      <c r="E28" s="2"/>
      <c r="F28" s="22">
        <f t="shared" si="4"/>
        <v>-0.32476888697044093</v>
      </c>
      <c r="G28" s="2"/>
      <c r="H28" s="2"/>
      <c r="I28" s="2"/>
      <c r="J28" s="22">
        <f t="shared" si="5"/>
        <v>0</v>
      </c>
      <c r="K28" s="2"/>
      <c r="L28" s="2">
        <f t="shared" si="6"/>
        <v>-2889.17</v>
      </c>
      <c r="M28" s="2"/>
      <c r="N28" s="22">
        <f t="shared" si="7"/>
        <v>0</v>
      </c>
      <c r="O28" s="11"/>
      <c r="P28" s="2">
        <v>-2889.17</v>
      </c>
      <c r="Q28" s="2"/>
      <c r="R28" s="22">
        <f t="shared" si="8"/>
        <v>-0.13567987632208478</v>
      </c>
      <c r="S28" s="2"/>
      <c r="T28" s="2"/>
      <c r="U28" s="2"/>
      <c r="V28" s="22">
        <f t="shared" si="9"/>
        <v>0</v>
      </c>
      <c r="W28" s="2"/>
      <c r="X28" s="2">
        <f t="shared" si="10"/>
        <v>-2889.17</v>
      </c>
      <c r="Y28" s="2"/>
      <c r="Z28" s="22">
        <f t="shared" si="11"/>
        <v>0</v>
      </c>
    </row>
    <row r="29" spans="1:26" s="24" customFormat="1" hidden="1" outlineLevel="1" x14ac:dyDescent="0.25">
      <c r="A29" s="51"/>
      <c r="B29" s="11" t="str">
        <f>CONCATENATE("          ", "5300", " - ", "COG$ OFFSET")</f>
        <v xml:space="preserve">          5300 - COG$ OFFSET</v>
      </c>
      <c r="C29" s="11"/>
      <c r="D29" s="2">
        <v>5140</v>
      </c>
      <c r="E29" s="2"/>
      <c r="F29" s="22">
        <f t="shared" si="4"/>
        <v>0.5777825738977167</v>
      </c>
      <c r="G29" s="2"/>
      <c r="H29" s="2"/>
      <c r="I29" s="2"/>
      <c r="J29" s="22">
        <f t="shared" si="5"/>
        <v>0</v>
      </c>
      <c r="K29" s="2"/>
      <c r="L29" s="2">
        <f t="shared" si="6"/>
        <v>5140</v>
      </c>
      <c r="M29" s="2"/>
      <c r="N29" s="22">
        <f t="shared" si="7"/>
        <v>0</v>
      </c>
      <c r="O29" s="11"/>
      <c r="P29" s="2">
        <v>14145</v>
      </c>
      <c r="Q29" s="2"/>
      <c r="R29" s="22">
        <f t="shared" si="8"/>
        <v>0.66427100190569932</v>
      </c>
      <c r="S29" s="2"/>
      <c r="T29" s="2"/>
      <c r="U29" s="2"/>
      <c r="V29" s="22">
        <f t="shared" si="9"/>
        <v>0</v>
      </c>
      <c r="W29" s="2"/>
      <c r="X29" s="2">
        <f t="shared" si="10"/>
        <v>14145</v>
      </c>
      <c r="Y29" s="2"/>
      <c r="Z29" s="22">
        <f t="shared" si="11"/>
        <v>0</v>
      </c>
    </row>
    <row r="30" spans="1:26" s="24" customFormat="1" hidden="1" outlineLevel="1" x14ac:dyDescent="0.25">
      <c r="A30" s="51"/>
      <c r="B30" s="11" t="str">
        <f>CONCATENATE("          ", "5528", " - ", "FREIGHT-IN-ART/TECH")</f>
        <v xml:space="preserve">          5528 - FREIGHT-IN-ART/TECH</v>
      </c>
      <c r="C30" s="11"/>
      <c r="D30" s="2">
        <v>6.76</v>
      </c>
      <c r="E30" s="2"/>
      <c r="F30" s="22">
        <f t="shared" si="4"/>
        <v>7.5988525283046009E-4</v>
      </c>
      <c r="G30" s="2"/>
      <c r="H30" s="2"/>
      <c r="I30" s="2"/>
      <c r="J30" s="22">
        <f t="shared" si="5"/>
        <v>0</v>
      </c>
      <c r="K30" s="2"/>
      <c r="L30" s="2">
        <f t="shared" si="6"/>
        <v>6.76</v>
      </c>
      <c r="M30" s="2"/>
      <c r="N30" s="22">
        <f t="shared" si="7"/>
        <v>0</v>
      </c>
      <c r="O30" s="11"/>
      <c r="P30" s="2">
        <v>44.81</v>
      </c>
      <c r="Q30" s="2"/>
      <c r="R30" s="22">
        <f t="shared" si="8"/>
        <v>2.1043466663410665E-3</v>
      </c>
      <c r="S30" s="2"/>
      <c r="T30" s="2"/>
      <c r="U30" s="2"/>
      <c r="V30" s="22">
        <f t="shared" si="9"/>
        <v>0</v>
      </c>
      <c r="W30" s="2"/>
      <c r="X30" s="2">
        <f t="shared" si="10"/>
        <v>44.81</v>
      </c>
      <c r="Y30" s="2"/>
      <c r="Z30" s="22">
        <f t="shared" si="11"/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6" t="s">
        <v>6</v>
      </c>
      <c r="C32" s="26"/>
      <c r="D32" s="20">
        <f>D12-D25</f>
        <v>3756.08</v>
      </c>
      <c r="E32" s="13"/>
      <c r="F32" s="21">
        <f>IF(D$12=0,0,D32/D$12)</f>
        <v>0.42221742610228324</v>
      </c>
      <c r="G32" s="13"/>
      <c r="H32" s="20">
        <f>H12-H25</f>
        <v>7080</v>
      </c>
      <c r="I32" s="13"/>
      <c r="J32" s="21">
        <f>IF(H$12=0,0,H32/H$12)</f>
        <v>0.48710010319917441</v>
      </c>
      <c r="K32" s="16"/>
      <c r="L32" s="20">
        <f>+D32-H32</f>
        <v>-3323.92</v>
      </c>
      <c r="M32" s="16"/>
      <c r="N32" s="21">
        <f>IF(H32=0,0,L32/H32)</f>
        <v>-0.46948022598870059</v>
      </c>
      <c r="O32" s="25"/>
      <c r="P32" s="20">
        <f>P12-P25</f>
        <v>7110.9700000000012</v>
      </c>
      <c r="Q32" s="13"/>
      <c r="R32" s="21">
        <f>IF(P$12=0,0,P32/P$12)</f>
        <v>0.33394211144725144</v>
      </c>
      <c r="S32" s="13"/>
      <c r="T32" s="20">
        <f>T12-T25</f>
        <v>9541</v>
      </c>
      <c r="U32" s="13"/>
      <c r="V32" s="21">
        <f>IF(T$12=0,0,T32/T$12)</f>
        <v>0.48038870147525303</v>
      </c>
      <c r="W32" s="16"/>
      <c r="X32" s="20">
        <f>+P32-T32</f>
        <v>-2430.0299999999988</v>
      </c>
      <c r="Y32" s="16"/>
      <c r="Z32" s="21">
        <f>IF(T32=0,0,X32/T32)</f>
        <v>-0.25469342836180681</v>
      </c>
    </row>
    <row r="33" spans="1:26" x14ac:dyDescent="0.25">
      <c r="A33" s="9"/>
      <c r="B33" s="10"/>
      <c r="C33" s="9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5" t="s">
        <v>9</v>
      </c>
      <c r="C34" s="10"/>
      <c r="D34" s="19">
        <f>SUM(OSRRefD22x_0)</f>
        <v>3608.6000000000004</v>
      </c>
      <c r="E34" s="19"/>
      <c r="F34" s="35">
        <f t="shared" ref="F34:F43" si="12">IF(D$12=0,0,D34/D$12)</f>
        <v>0.40563933777573946</v>
      </c>
      <c r="G34" s="19"/>
      <c r="H34" s="19">
        <f>SUM(OSRRefH22x_0)</f>
        <v>10706.904978999999</v>
      </c>
      <c r="I34" s="19"/>
      <c r="J34" s="35">
        <f t="shared" ref="J34:J43" si="13">IF(H$12=0,0,H34/H$12)</f>
        <v>0.73662916952184376</v>
      </c>
      <c r="K34" s="4"/>
      <c r="L34" s="19">
        <f t="shared" ref="L34:L43" si="14">+D34-H34</f>
        <v>-7098.3049789999986</v>
      </c>
      <c r="M34" s="4"/>
      <c r="N34" s="35">
        <f t="shared" ref="N34:N43" si="15">IF(H34=0,0,L34/H34)</f>
        <v>-0.66296516060638133</v>
      </c>
      <c r="O34" s="10"/>
      <c r="P34" s="19">
        <f>SUM(OSRRefP22x_0)</f>
        <v>10193.669999999996</v>
      </c>
      <c r="Q34" s="19"/>
      <c r="R34" s="35">
        <f t="shared" ref="R34:R43" si="16">IF(P$12=0,0,P34/P$12)</f>
        <v>0.47871045486009667</v>
      </c>
      <c r="S34" s="19"/>
      <c r="T34" s="19">
        <f>SUM(OSRRefT22x_0)</f>
        <v>28836.467966999997</v>
      </c>
      <c r="U34" s="19"/>
      <c r="V34" s="35">
        <f t="shared" ref="V34:V43" si="17">IF(T$12=0,0,T34/T$12)</f>
        <v>1.451914202054277</v>
      </c>
      <c r="W34" s="4"/>
      <c r="X34" s="19">
        <f t="shared" ref="X34:X43" si="18">+P34-T34</f>
        <v>-18642.797966999999</v>
      </c>
      <c r="Y34" s="4"/>
      <c r="Z34" s="35">
        <f t="shared" ref="Z34:Z43" si="19">IF(T34=0,0,X34/T34)</f>
        <v>-0.64650074302908822</v>
      </c>
    </row>
    <row r="35" spans="1:26" s="28" customFormat="1" outlineLevel="1" collapsed="1" x14ac:dyDescent="0.25">
      <c r="A35" s="27"/>
      <c r="B35" s="14" t="str">
        <f>CONCATENATE("     ","*Benefits                                         ")</f>
        <v xml:space="preserve">     *Benefits                                         </v>
      </c>
      <c r="C35" s="14"/>
      <c r="D35" s="1">
        <f>SUM(OSRRefD22_0x_0)</f>
        <v>248.82999999999998</v>
      </c>
      <c r="E35" s="1"/>
      <c r="F35" s="5">
        <f t="shared" si="12"/>
        <v>2.7970746665947246E-2</v>
      </c>
      <c r="G35" s="1"/>
      <c r="H35" s="1">
        <f>SUM(OSRRefH22_0x_0)</f>
        <v>1818.514979</v>
      </c>
      <c r="I35" s="1"/>
      <c r="J35" s="5">
        <f t="shared" si="13"/>
        <v>0.12511282965256279</v>
      </c>
      <c r="K35" s="1"/>
      <c r="L35" s="1">
        <f t="shared" si="14"/>
        <v>-1569.6849790000001</v>
      </c>
      <c r="M35" s="1"/>
      <c r="N35" s="5">
        <f t="shared" si="15"/>
        <v>-0.86316857277863535</v>
      </c>
      <c r="O35" s="14"/>
      <c r="P35" s="1">
        <f>SUM(OSRRefP22_0x_0)</f>
        <v>562.16999999999996</v>
      </c>
      <c r="Q35" s="1"/>
      <c r="R35" s="5">
        <f t="shared" si="16"/>
        <v>2.6400369681253231E-2</v>
      </c>
      <c r="S35" s="1"/>
      <c r="T35" s="1">
        <f>SUM(OSRRefT22_0x_0)</f>
        <v>5497.6879669999998</v>
      </c>
      <c r="U35" s="1"/>
      <c r="V35" s="5">
        <f t="shared" si="17"/>
        <v>0.27680821544735912</v>
      </c>
      <c r="W35" s="1"/>
      <c r="X35" s="1">
        <f t="shared" si="18"/>
        <v>-4935.5179669999998</v>
      </c>
      <c r="Y35" s="1"/>
      <c r="Z35" s="5">
        <f t="shared" si="19"/>
        <v>-0.89774428753060587</v>
      </c>
    </row>
    <row r="36" spans="1:26" s="24" customFormat="1" hidden="1" outlineLevel="2" x14ac:dyDescent="0.25">
      <c r="A36" s="29"/>
      <c r="B36" s="11" t="str">
        <f>CONCATENATE("          ", "6111", " - ", "F.I.C.A.")</f>
        <v xml:space="preserve">          6111 - F.I.C.A.</v>
      </c>
      <c r="C36" s="11"/>
      <c r="D36" s="6">
        <v>149.04</v>
      </c>
      <c r="E36" s="2"/>
      <c r="F36" s="7">
        <f t="shared" si="12"/>
        <v>1.6753446461812392E-2</v>
      </c>
      <c r="G36" s="2"/>
      <c r="H36" s="6">
        <v>376.91025000000002</v>
      </c>
      <c r="I36" s="2"/>
      <c r="J36" s="7">
        <f t="shared" si="13"/>
        <v>2.5931217750257998E-2</v>
      </c>
      <c r="K36" s="2"/>
      <c r="L36" s="6">
        <f t="shared" si="14"/>
        <v>-227.87025000000003</v>
      </c>
      <c r="M36" s="2"/>
      <c r="N36" s="7">
        <f t="shared" si="15"/>
        <v>-0.60457429852332223</v>
      </c>
      <c r="O36" s="11"/>
      <c r="P36" s="6">
        <v>406.4</v>
      </c>
      <c r="Q36" s="2"/>
      <c r="R36" s="7">
        <f t="shared" si="16"/>
        <v>1.9085170390560353E-2</v>
      </c>
      <c r="S36" s="2"/>
      <c r="T36" s="6">
        <v>1152.9474089999999</v>
      </c>
      <c r="U36" s="2"/>
      <c r="V36" s="7">
        <f t="shared" si="17"/>
        <v>5.8050823674538031E-2</v>
      </c>
      <c r="W36" s="2"/>
      <c r="X36" s="6">
        <f t="shared" si="18"/>
        <v>-746.5474089999999</v>
      </c>
      <c r="Y36" s="2"/>
      <c r="Z36" s="7">
        <f t="shared" si="19"/>
        <v>-0.64751210954844163</v>
      </c>
    </row>
    <row r="37" spans="1:26" s="24" customFormat="1" hidden="1" outlineLevel="2" x14ac:dyDescent="0.25">
      <c r="A37" s="29"/>
      <c r="B37" s="11" t="str">
        <f>CONCATENATE("          ", "6112", " - ", "COMPENSATION INSURANCE")</f>
        <v xml:space="preserve">          6112 - COMPENSATION INSURANCE</v>
      </c>
      <c r="C37" s="11"/>
      <c r="D37" s="6">
        <v>87.49</v>
      </c>
      <c r="E37" s="2"/>
      <c r="F37" s="7">
        <f t="shared" si="12"/>
        <v>9.8346687529788403E-3</v>
      </c>
      <c r="G37" s="2"/>
      <c r="H37" s="6">
        <v>121.515215</v>
      </c>
      <c r="I37" s="2"/>
      <c r="J37" s="7">
        <f t="shared" si="13"/>
        <v>8.3601799105607159E-3</v>
      </c>
      <c r="K37" s="2"/>
      <c r="L37" s="6">
        <f t="shared" si="14"/>
        <v>-34.025215000000003</v>
      </c>
      <c r="M37" s="2"/>
      <c r="N37" s="7">
        <f t="shared" si="15"/>
        <v>-0.28000785745225404</v>
      </c>
      <c r="O37" s="11"/>
      <c r="P37" s="6">
        <v>134.72999999999999</v>
      </c>
      <c r="Q37" s="2"/>
      <c r="R37" s="7">
        <f t="shared" si="16"/>
        <v>6.3271284614178063E-3</v>
      </c>
      <c r="S37" s="2"/>
      <c r="T37" s="6">
        <v>331.84893</v>
      </c>
      <c r="U37" s="2"/>
      <c r="V37" s="7">
        <f t="shared" si="17"/>
        <v>1.6708571068929055E-2</v>
      </c>
      <c r="W37" s="2"/>
      <c r="X37" s="6">
        <f t="shared" si="18"/>
        <v>-197.11893000000001</v>
      </c>
      <c r="Y37" s="2"/>
      <c r="Z37" s="7">
        <f t="shared" si="19"/>
        <v>-0.59400200567167716</v>
      </c>
    </row>
    <row r="38" spans="1:26" s="24" customFormat="1" hidden="1" outlineLevel="2" x14ac:dyDescent="0.25">
      <c r="A38" s="29"/>
      <c r="B38" s="11" t="str">
        <f>CONCATENATE("          ", "6113", " - ", "GROUP INSURANCE")</f>
        <v xml:space="preserve">          6113 - GROUP INSURANCE</v>
      </c>
      <c r="C38" s="11"/>
      <c r="D38" s="6"/>
      <c r="E38" s="2"/>
      <c r="F38" s="7">
        <f t="shared" si="12"/>
        <v>0</v>
      </c>
      <c r="G38" s="2"/>
      <c r="H38" s="6">
        <v>665</v>
      </c>
      <c r="I38" s="2"/>
      <c r="J38" s="7">
        <f t="shared" si="13"/>
        <v>4.5751633986928102E-2</v>
      </c>
      <c r="K38" s="2"/>
      <c r="L38" s="6">
        <f t="shared" si="14"/>
        <v>-665</v>
      </c>
      <c r="M38" s="2"/>
      <c r="N38" s="7">
        <f t="shared" si="15"/>
        <v>-1</v>
      </c>
      <c r="O38" s="11"/>
      <c r="P38" s="6"/>
      <c r="Q38" s="2"/>
      <c r="R38" s="7">
        <f t="shared" si="16"/>
        <v>0</v>
      </c>
      <c r="S38" s="2"/>
      <c r="T38" s="6">
        <v>1995</v>
      </c>
      <c r="U38" s="2"/>
      <c r="V38" s="7">
        <f t="shared" si="17"/>
        <v>0.10044811439504557</v>
      </c>
      <c r="W38" s="2"/>
      <c r="X38" s="6">
        <f t="shared" si="18"/>
        <v>-1995</v>
      </c>
      <c r="Y38" s="2"/>
      <c r="Z38" s="7">
        <f t="shared" si="19"/>
        <v>-1</v>
      </c>
    </row>
    <row r="39" spans="1:26" s="24" customFormat="1" hidden="1" outlineLevel="2" x14ac:dyDescent="0.25">
      <c r="A39" s="29"/>
      <c r="B39" s="11" t="str">
        <f>CONCATENATE("          ", "6114", " - ", "STATE UNEMPLOYMENT INSURANCE")</f>
        <v xml:space="preserve">          6114 - STATE UNEMPLOYMENT INSURANCE</v>
      </c>
      <c r="C39" s="11"/>
      <c r="D39" s="6">
        <v>12.3</v>
      </c>
      <c r="E39" s="2"/>
      <c r="F39" s="7">
        <f t="shared" si="12"/>
        <v>1.3826314511560149E-3</v>
      </c>
      <c r="G39" s="2"/>
      <c r="H39" s="6">
        <v>17.077814</v>
      </c>
      <c r="I39" s="2"/>
      <c r="J39" s="7">
        <f t="shared" si="13"/>
        <v>1.1749442036463708E-3</v>
      </c>
      <c r="K39" s="2"/>
      <c r="L39" s="6">
        <f t="shared" si="14"/>
        <v>-4.7778139999999993</v>
      </c>
      <c r="M39" s="2"/>
      <c r="N39" s="7">
        <f t="shared" si="15"/>
        <v>-0.27976730511293774</v>
      </c>
      <c r="O39" s="11"/>
      <c r="P39" s="6">
        <v>21.04</v>
      </c>
      <c r="Q39" s="2"/>
      <c r="R39" s="7">
        <f t="shared" si="16"/>
        <v>9.8807082927507349E-4</v>
      </c>
      <c r="S39" s="2"/>
      <c r="T39" s="6">
        <v>46.638227999999998</v>
      </c>
      <c r="U39" s="2"/>
      <c r="V39" s="7">
        <f t="shared" si="17"/>
        <v>2.3482316096873268E-3</v>
      </c>
      <c r="W39" s="2"/>
      <c r="X39" s="6">
        <f t="shared" si="18"/>
        <v>-25.598227999999999</v>
      </c>
      <c r="Y39" s="2"/>
      <c r="Z39" s="7">
        <f t="shared" si="19"/>
        <v>-0.54886793726382577</v>
      </c>
    </row>
    <row r="40" spans="1:26" s="24" customFormat="1" hidden="1" outlineLevel="2" x14ac:dyDescent="0.25">
      <c r="A40" s="29"/>
      <c r="B40" s="11" t="str">
        <f>CONCATENATE("          ", "6115", " - ", "P.E.R.S.")</f>
        <v xml:space="preserve">          6115 - P.E.R.S.</v>
      </c>
      <c r="C40" s="11"/>
      <c r="D40" s="6"/>
      <c r="E40" s="2"/>
      <c r="F40" s="7">
        <f t="shared" si="12"/>
        <v>0</v>
      </c>
      <c r="G40" s="2"/>
      <c r="H40" s="6">
        <v>357.76</v>
      </c>
      <c r="I40" s="2"/>
      <c r="J40" s="7">
        <f t="shared" si="13"/>
        <v>2.4613691090471276E-2</v>
      </c>
      <c r="K40" s="2"/>
      <c r="L40" s="6">
        <f t="shared" si="14"/>
        <v>-357.76</v>
      </c>
      <c r="M40" s="2"/>
      <c r="N40" s="7">
        <f t="shared" si="15"/>
        <v>-1</v>
      </c>
      <c r="O40" s="11"/>
      <c r="P40" s="6"/>
      <c r="Q40" s="2"/>
      <c r="R40" s="7">
        <f t="shared" si="16"/>
        <v>0</v>
      </c>
      <c r="S40" s="2"/>
      <c r="T40" s="6">
        <v>1162.72</v>
      </c>
      <c r="U40" s="2"/>
      <c r="V40" s="7">
        <f t="shared" si="17"/>
        <v>5.8542872967121497E-2</v>
      </c>
      <c r="W40" s="2"/>
      <c r="X40" s="6">
        <f t="shared" si="18"/>
        <v>-1162.72</v>
      </c>
      <c r="Y40" s="2"/>
      <c r="Z40" s="7">
        <f t="shared" si="19"/>
        <v>-1</v>
      </c>
    </row>
    <row r="41" spans="1:26" s="24" customFormat="1" hidden="1" outlineLevel="2" x14ac:dyDescent="0.25">
      <c r="A41" s="29"/>
      <c r="B41" s="11" t="str">
        <f>CONCATENATE("          ", "6116", " - ", "EDUCATIONAL BENEFITS")</f>
        <v xml:space="preserve">          6116 - EDUCATIONAL BENEFITS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4" customFormat="1" hidden="1" outlineLevel="2" x14ac:dyDescent="0.25">
      <c r="A42" s="29"/>
      <c r="B42" s="11" t="str">
        <f>CONCATENATE("          ", "6118", " - ", "VACATION")</f>
        <v xml:space="preserve">          6118 - VACATION</v>
      </c>
      <c r="C42" s="11"/>
      <c r="D42" s="6"/>
      <c r="E42" s="2"/>
      <c r="F42" s="7">
        <f t="shared" si="12"/>
        <v>0</v>
      </c>
      <c r="G42" s="2"/>
      <c r="H42" s="6">
        <v>124.8</v>
      </c>
      <c r="I42" s="2"/>
      <c r="J42" s="7">
        <f t="shared" si="13"/>
        <v>8.5861713106295152E-3</v>
      </c>
      <c r="K42" s="2"/>
      <c r="L42" s="6">
        <f t="shared" si="14"/>
        <v>-124.8</v>
      </c>
      <c r="M42" s="2"/>
      <c r="N42" s="7">
        <f t="shared" si="15"/>
        <v>-1</v>
      </c>
      <c r="O42" s="11"/>
      <c r="P42" s="6"/>
      <c r="Q42" s="2"/>
      <c r="R42" s="7">
        <f t="shared" si="16"/>
        <v>0</v>
      </c>
      <c r="S42" s="2"/>
      <c r="T42" s="6">
        <v>405.6</v>
      </c>
      <c r="U42" s="2"/>
      <c r="V42" s="7">
        <f t="shared" si="17"/>
        <v>2.0421932430391219E-2</v>
      </c>
      <c r="W42" s="2"/>
      <c r="X42" s="6">
        <f t="shared" si="18"/>
        <v>-405.6</v>
      </c>
      <c r="Y42" s="2"/>
      <c r="Z42" s="7">
        <f t="shared" si="19"/>
        <v>-1</v>
      </c>
    </row>
    <row r="43" spans="1:26" s="24" customFormat="1" hidden="1" outlineLevel="2" x14ac:dyDescent="0.25">
      <c r="A43" s="29"/>
      <c r="B43" s="11" t="str">
        <f>CONCATENATE("          ", "6119", " - ", "SICK LEAVE")</f>
        <v xml:space="preserve">          6119 - SICK LEAVE</v>
      </c>
      <c r="C43" s="11"/>
      <c r="D43" s="6"/>
      <c r="E43" s="2"/>
      <c r="F43" s="7">
        <f t="shared" si="12"/>
        <v>0</v>
      </c>
      <c r="G43" s="2"/>
      <c r="H43" s="6">
        <v>155.45169999999999</v>
      </c>
      <c r="I43" s="2"/>
      <c r="J43" s="7">
        <f t="shared" si="13"/>
        <v>1.0694991400068798E-2</v>
      </c>
      <c r="K43" s="2"/>
      <c r="L43" s="6">
        <f t="shared" si="14"/>
        <v>-155.45169999999999</v>
      </c>
      <c r="M43" s="2"/>
      <c r="N43" s="7">
        <f t="shared" si="15"/>
        <v>-1</v>
      </c>
      <c r="O43" s="11"/>
      <c r="P43" s="6"/>
      <c r="Q43" s="2"/>
      <c r="R43" s="7">
        <f t="shared" si="16"/>
        <v>0</v>
      </c>
      <c r="S43" s="2"/>
      <c r="T43" s="6">
        <v>402.93340000000001</v>
      </c>
      <c r="U43" s="2"/>
      <c r="V43" s="7">
        <f t="shared" si="17"/>
        <v>2.0287669301646442E-2</v>
      </c>
      <c r="W43" s="2"/>
      <c r="X43" s="6">
        <f t="shared" si="18"/>
        <v>-402.93340000000001</v>
      </c>
      <c r="Y43" s="2"/>
      <c r="Z43" s="7">
        <f t="shared" si="19"/>
        <v>-1</v>
      </c>
    </row>
    <row r="44" spans="1:26" s="28" customFormat="1" outlineLevel="1" collapsed="1" x14ac:dyDescent="0.25">
      <c r="A44" s="27"/>
      <c r="B44" s="14" t="str">
        <f>CONCATENATE("     ","*Payroll                                          ")</f>
        <v xml:space="preserve">     *Payroll                                          </v>
      </c>
      <c r="C44" s="14"/>
      <c r="D44" s="1">
        <f>SUM(OSRRefD22_1x_0)</f>
        <v>2735.85</v>
      </c>
      <c r="E44" s="1"/>
      <c r="F44" s="5">
        <f t="shared" ref="F44:F54" si="20">IF(D$12=0,0,D44/D$12)</f>
        <v>0.30753432972725064</v>
      </c>
      <c r="G44" s="1"/>
      <c r="H44" s="1">
        <f>SUM(OSRRefH22_1x_0)</f>
        <v>6360.39</v>
      </c>
      <c r="I44" s="1"/>
      <c r="J44" s="5">
        <f t="shared" ref="J44:J54" si="21">IF(H$12=0,0,H44/H$12)</f>
        <v>0.43759133126934985</v>
      </c>
      <c r="K44" s="1"/>
      <c r="L44" s="1">
        <f t="shared" ref="L44:L54" si="22">+D44-H44</f>
        <v>-3624.5400000000004</v>
      </c>
      <c r="M44" s="1"/>
      <c r="N44" s="5">
        <f t="shared" ref="N44:N54" si="23">IF(H44=0,0,L44/H44)</f>
        <v>-0.56986128209119258</v>
      </c>
      <c r="O44" s="14"/>
      <c r="P44" s="1">
        <f>SUM(OSRRefP22_1x_0)</f>
        <v>7242.9699999999993</v>
      </c>
      <c r="Q44" s="1"/>
      <c r="R44" s="5">
        <f t="shared" ref="R44:R54" si="24">IF(P$12=0,0,P44/P$12)</f>
        <v>0.34014103490087821</v>
      </c>
      <c r="S44" s="1"/>
      <c r="T44" s="1">
        <f>SUM(OSRRefT22_1x_0)</f>
        <v>17261.78</v>
      </c>
      <c r="U44" s="1"/>
      <c r="V44" s="5">
        <f t="shared" ref="V44:V54" si="25">IF(T$12=0,0,T44/T$12)</f>
        <v>0.86912944967524286</v>
      </c>
      <c r="W44" s="1"/>
      <c r="X44" s="1">
        <f t="shared" ref="X44:X54" si="26">+P44-T44</f>
        <v>-10018.81</v>
      </c>
      <c r="Y44" s="1"/>
      <c r="Z44" s="5">
        <f t="shared" ref="Z44:Z54" si="27">IF(T44=0,0,X44/T44)</f>
        <v>-0.58040422250775991</v>
      </c>
    </row>
    <row r="45" spans="1:26" s="24" customFormat="1" hidden="1" outlineLevel="2" x14ac:dyDescent="0.25">
      <c r="A45" s="29"/>
      <c r="B45" s="11" t="str">
        <f>CONCATENATE("          ", "6001", " - ", "ADMINISTRATIVE SALARIES")</f>
        <v xml:space="preserve">          6001 - ADMINISTRATIVE SALARIES</v>
      </c>
      <c r="C45" s="11"/>
      <c r="D45" s="6"/>
      <c r="E45" s="2"/>
      <c r="F45" s="7">
        <f t="shared" si="20"/>
        <v>0</v>
      </c>
      <c r="G45" s="2"/>
      <c r="H45" s="6">
        <v>3952</v>
      </c>
      <c r="I45" s="2"/>
      <c r="J45" s="7">
        <f t="shared" si="21"/>
        <v>0.27189542483660128</v>
      </c>
      <c r="K45" s="2"/>
      <c r="L45" s="6">
        <f t="shared" si="22"/>
        <v>-3952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12844</v>
      </c>
      <c r="U45" s="2"/>
      <c r="V45" s="7">
        <f t="shared" si="25"/>
        <v>0.64669452696238861</v>
      </c>
      <c r="W45" s="2"/>
      <c r="X45" s="6">
        <f t="shared" si="26"/>
        <v>-12844</v>
      </c>
      <c r="Y45" s="2"/>
      <c r="Z45" s="7">
        <f t="shared" si="27"/>
        <v>-1</v>
      </c>
    </row>
    <row r="46" spans="1:26" s="24" customFormat="1" hidden="1" outlineLevel="2" x14ac:dyDescent="0.25">
      <c r="A46" s="29"/>
      <c r="B46" s="11" t="str">
        <f>CONCATENATE("          ", "6002", " - ", "STAFF SALARIES")</f>
        <v xml:space="preserve">          6002 - STAFF SALARIES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9"/>
      <c r="B47" s="11" t="str">
        <f>CONCATENATE("          ", "6003", " - ", "STAFF HOURLY-9 MONTH")</f>
        <v xml:space="preserve">          6003 - STAFF HOURLY-9 MONTH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4" customFormat="1" hidden="1" outlineLevel="2" x14ac:dyDescent="0.25">
      <c r="A48" s="29"/>
      <c r="B48" s="11" t="str">
        <f>CONCATENATE("          ", "6004", " - ", "STAFF HOURLY")</f>
        <v xml:space="preserve">          6004 - STAFF HOURLY</v>
      </c>
      <c r="C48" s="11"/>
      <c r="D48" s="6"/>
      <c r="E48" s="2"/>
      <c r="F48" s="7">
        <f t="shared" si="20"/>
        <v>0</v>
      </c>
      <c r="G48" s="2"/>
      <c r="H48" s="6">
        <v>765</v>
      </c>
      <c r="I48" s="2"/>
      <c r="J48" s="7">
        <f t="shared" si="21"/>
        <v>5.2631578947368418E-2</v>
      </c>
      <c r="K48" s="2"/>
      <c r="L48" s="6">
        <f t="shared" si="22"/>
        <v>-765</v>
      </c>
      <c r="M48" s="2"/>
      <c r="N48" s="7">
        <f t="shared" si="23"/>
        <v>-1</v>
      </c>
      <c r="O48" s="11"/>
      <c r="P48" s="6"/>
      <c r="Q48" s="2"/>
      <c r="R48" s="7">
        <f t="shared" si="24"/>
        <v>0</v>
      </c>
      <c r="S48" s="2"/>
      <c r="T48" s="6">
        <v>1545.3</v>
      </c>
      <c r="U48" s="2"/>
      <c r="V48" s="7">
        <f t="shared" si="25"/>
        <v>7.7805749962237547E-2</v>
      </c>
      <c r="W48" s="2"/>
      <c r="X48" s="6">
        <f t="shared" si="26"/>
        <v>-1545.3</v>
      </c>
      <c r="Y48" s="2"/>
      <c r="Z48" s="7">
        <f t="shared" si="27"/>
        <v>-1</v>
      </c>
    </row>
    <row r="49" spans="1:26" s="24" customFormat="1" hidden="1" outlineLevel="2" x14ac:dyDescent="0.25">
      <c r="A49" s="29"/>
      <c r="B49" s="11" t="str">
        <f>CONCATENATE("          ", "6005", " - ", "TEMPORARY WAGES-HOURLY")</f>
        <v xml:space="preserve">          6005 - TEMPORARY WAGES-HOURLY</v>
      </c>
      <c r="C49" s="11"/>
      <c r="D49" s="6">
        <v>1948.22</v>
      </c>
      <c r="E49" s="2"/>
      <c r="F49" s="7">
        <f t="shared" si="20"/>
        <v>0.21899758095700578</v>
      </c>
      <c r="G49" s="2"/>
      <c r="H49" s="6">
        <v>0</v>
      </c>
      <c r="I49" s="2"/>
      <c r="J49" s="7">
        <f t="shared" si="21"/>
        <v>0</v>
      </c>
      <c r="K49" s="2"/>
      <c r="L49" s="6">
        <f t="shared" si="22"/>
        <v>1948.22</v>
      </c>
      <c r="M49" s="2"/>
      <c r="N49" s="7">
        <f t="shared" si="23"/>
        <v>0</v>
      </c>
      <c r="O49" s="11"/>
      <c r="P49" s="6">
        <v>4356.45</v>
      </c>
      <c r="Q49" s="2"/>
      <c r="R49" s="7">
        <f t="shared" si="24"/>
        <v>0.20458560666327916</v>
      </c>
      <c r="S49" s="2"/>
      <c r="T49" s="6">
        <v>0</v>
      </c>
      <c r="U49" s="2"/>
      <c r="V49" s="7">
        <f t="shared" si="25"/>
        <v>0</v>
      </c>
      <c r="W49" s="2"/>
      <c r="X49" s="6">
        <f t="shared" si="26"/>
        <v>4356.45</v>
      </c>
      <c r="Y49" s="2"/>
      <c r="Z49" s="7">
        <f t="shared" si="27"/>
        <v>0</v>
      </c>
    </row>
    <row r="50" spans="1:26" s="24" customFormat="1" hidden="1" outlineLevel="2" x14ac:dyDescent="0.25">
      <c r="A50" s="29"/>
      <c r="B50" s="11" t="str">
        <f>CONCATENATE("          ", "6006", " - ", "TEMPORARY PART TIME")</f>
        <v xml:space="preserve">          6006 - TEMPORARY PART TIME</v>
      </c>
      <c r="C50" s="11"/>
      <c r="D50" s="6"/>
      <c r="E50" s="2"/>
      <c r="F50" s="7">
        <f t="shared" si="20"/>
        <v>0</v>
      </c>
      <c r="G50" s="2"/>
      <c r="H50" s="6">
        <v>0</v>
      </c>
      <c r="I50" s="2"/>
      <c r="J50" s="7">
        <f t="shared" si="21"/>
        <v>0</v>
      </c>
      <c r="K50" s="2"/>
      <c r="L50" s="6">
        <f t="shared" si="22"/>
        <v>0</v>
      </c>
      <c r="M50" s="2"/>
      <c r="N50" s="7">
        <f t="shared" si="23"/>
        <v>0</v>
      </c>
      <c r="O50" s="11"/>
      <c r="P50" s="6"/>
      <c r="Q50" s="2"/>
      <c r="R50" s="7">
        <f t="shared" si="24"/>
        <v>0</v>
      </c>
      <c r="S50" s="2"/>
      <c r="T50" s="6">
        <v>0</v>
      </c>
      <c r="U50" s="2"/>
      <c r="V50" s="7">
        <f t="shared" si="25"/>
        <v>0</v>
      </c>
      <c r="W50" s="2"/>
      <c r="X50" s="6">
        <f t="shared" si="26"/>
        <v>0</v>
      </c>
      <c r="Y50" s="2"/>
      <c r="Z50" s="7">
        <f t="shared" si="27"/>
        <v>0</v>
      </c>
    </row>
    <row r="51" spans="1:26" s="24" customFormat="1" hidden="1" outlineLevel="2" x14ac:dyDescent="0.25">
      <c r="A51" s="29"/>
      <c r="B51" s="11" t="str">
        <f>CONCATENATE("          ", "6007", " - ", "STUDENT HOURLY")</f>
        <v xml:space="preserve">          6007 - STUDENT HOURLY</v>
      </c>
      <c r="C51" s="11"/>
      <c r="D51" s="6">
        <v>787.63</v>
      </c>
      <c r="E51" s="2"/>
      <c r="F51" s="7">
        <f t="shared" si="20"/>
        <v>8.8536748770244866E-2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787.63</v>
      </c>
      <c r="M51" s="2"/>
      <c r="N51" s="7">
        <f t="shared" si="23"/>
        <v>0</v>
      </c>
      <c r="O51" s="11"/>
      <c r="P51" s="6">
        <v>2886.52</v>
      </c>
      <c r="Q51" s="2"/>
      <c r="R51" s="7">
        <f t="shared" si="24"/>
        <v>0.13555542823759908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2886.52</v>
      </c>
      <c r="Y51" s="2"/>
      <c r="Z51" s="7">
        <f t="shared" si="27"/>
        <v>0</v>
      </c>
    </row>
    <row r="52" spans="1:26" s="24" customFormat="1" hidden="1" outlineLevel="2" x14ac:dyDescent="0.25">
      <c r="A52" s="29"/>
      <c r="B52" s="11" t="str">
        <f>CONCATENATE("          ", "6008", " - ", "STUDENT HOURLY-FICA EXEMPT")</f>
        <v xml:space="preserve">          6008 - STUDENT HOURLY-FICA EXEMPT</v>
      </c>
      <c r="C52" s="11"/>
      <c r="D52" s="6"/>
      <c r="E52" s="2"/>
      <c r="F52" s="7">
        <f t="shared" si="20"/>
        <v>0</v>
      </c>
      <c r="G52" s="2"/>
      <c r="H52" s="6">
        <v>1643.39</v>
      </c>
      <c r="I52" s="2"/>
      <c r="J52" s="7">
        <f t="shared" si="21"/>
        <v>0.11306432748538012</v>
      </c>
      <c r="K52" s="2"/>
      <c r="L52" s="6">
        <f t="shared" si="22"/>
        <v>-1643.39</v>
      </c>
      <c r="M52" s="2"/>
      <c r="N52" s="7">
        <f t="shared" si="23"/>
        <v>-1</v>
      </c>
      <c r="O52" s="11"/>
      <c r="P52" s="6"/>
      <c r="Q52" s="2"/>
      <c r="R52" s="7">
        <f t="shared" si="24"/>
        <v>0</v>
      </c>
      <c r="S52" s="2"/>
      <c r="T52" s="6">
        <v>2872.48</v>
      </c>
      <c r="U52" s="2"/>
      <c r="V52" s="7">
        <f t="shared" si="25"/>
        <v>0.14462917275061679</v>
      </c>
      <c r="W52" s="2"/>
      <c r="X52" s="6">
        <f t="shared" si="26"/>
        <v>-2872.48</v>
      </c>
      <c r="Y52" s="2"/>
      <c r="Z52" s="7">
        <f t="shared" si="27"/>
        <v>-1</v>
      </c>
    </row>
    <row r="53" spans="1:26" s="24" customFormat="1" hidden="1" outlineLevel="2" x14ac:dyDescent="0.25">
      <c r="A53" s="29"/>
      <c r="B53" s="11" t="str">
        <f>CONCATENATE("          ", "6009", " - ", "TEMPORARY-SEASONAL")</f>
        <v xml:space="preserve">          6009 - TEMPORARY-SEASONAL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9"/>
      <c r="B54" s="11" t="str">
        <f>CONCATENATE("          ", "6010", " - ", "GRATUITY")</f>
        <v xml:space="preserve">          6010 - GRATUITY</v>
      </c>
      <c r="C54" s="11"/>
      <c r="D54" s="6"/>
      <c r="E54" s="2"/>
      <c r="F54" s="7">
        <f t="shared" si="20"/>
        <v>0</v>
      </c>
      <c r="G54" s="2"/>
      <c r="H54" s="6">
        <v>0</v>
      </c>
      <c r="I54" s="2"/>
      <c r="J54" s="7">
        <f t="shared" si="21"/>
        <v>0</v>
      </c>
      <c r="K54" s="2"/>
      <c r="L54" s="6">
        <f t="shared" si="22"/>
        <v>0</v>
      </c>
      <c r="M54" s="2"/>
      <c r="N54" s="7">
        <f t="shared" si="23"/>
        <v>0</v>
      </c>
      <c r="O54" s="11"/>
      <c r="P54" s="6"/>
      <c r="Q54" s="2"/>
      <c r="R54" s="7">
        <f t="shared" si="24"/>
        <v>0</v>
      </c>
      <c r="S54" s="2"/>
      <c r="T54" s="6">
        <v>0</v>
      </c>
      <c r="U54" s="2"/>
      <c r="V54" s="7">
        <f t="shared" si="25"/>
        <v>0</v>
      </c>
      <c r="W54" s="2"/>
      <c r="X54" s="6">
        <f t="shared" si="26"/>
        <v>0</v>
      </c>
      <c r="Y54" s="2"/>
      <c r="Z54" s="7">
        <f t="shared" si="27"/>
        <v>0</v>
      </c>
    </row>
    <row r="55" spans="1:26" s="28" customFormat="1" outlineLevel="1" collapsed="1" x14ac:dyDescent="0.25">
      <c r="A55" s="27"/>
      <c r="B55" s="14" t="str">
        <f>CONCATENATE("     ","Advertising/Promo                                 ")</f>
        <v xml:space="preserve">     Advertising/Promo                                 </v>
      </c>
      <c r="C55" s="14"/>
      <c r="D55" s="1">
        <f>SUM(OSRRefD22_2x_0)</f>
        <v>0</v>
      </c>
      <c r="E55" s="1"/>
      <c r="F55" s="5">
        <f t="shared" ref="F55:F71" si="28">IF(D$12=0,0,D55/D$12)</f>
        <v>0</v>
      </c>
      <c r="G55" s="1"/>
      <c r="H55" s="1">
        <f>SUM(OSRRefH22_2x_0)</f>
        <v>100</v>
      </c>
      <c r="I55" s="1"/>
      <c r="J55" s="5">
        <f t="shared" ref="J55:J71" si="29">IF(H$12=0,0,H55/H$12)</f>
        <v>6.8799449604403165E-3</v>
      </c>
      <c r="K55" s="1"/>
      <c r="L55" s="1">
        <f t="shared" ref="L55:L71" si="30">+D55-H55</f>
        <v>-100</v>
      </c>
      <c r="M55" s="1"/>
      <c r="N55" s="5">
        <f t="shared" ref="N55:N71" si="31">IF(H55=0,0,L55/H55)</f>
        <v>-1</v>
      </c>
      <c r="O55" s="14"/>
      <c r="P55" s="1">
        <f>SUM(OSRRefP22_2x_0)</f>
        <v>0</v>
      </c>
      <c r="Q55" s="1"/>
      <c r="R55" s="5">
        <f t="shared" ref="R55:R71" si="32">IF(P$12=0,0,P55/P$12)</f>
        <v>0</v>
      </c>
      <c r="S55" s="1"/>
      <c r="T55" s="1">
        <f>SUM(OSRRefT22_2x_0)</f>
        <v>200</v>
      </c>
      <c r="U55" s="1"/>
      <c r="V55" s="5">
        <f t="shared" ref="V55:V71" si="33">IF(T$12=0,0,T55/T$12)</f>
        <v>1.0069986405518353E-2</v>
      </c>
      <c r="W55" s="1"/>
      <c r="X55" s="1">
        <f t="shared" ref="X55:X71" si="34">+P55-T55</f>
        <v>-200</v>
      </c>
      <c r="Y55" s="1"/>
      <c r="Z55" s="5">
        <f t="shared" ref="Z55:Z71" si="35">IF(T55=0,0,X55/T55)</f>
        <v>-1</v>
      </c>
    </row>
    <row r="56" spans="1:26" s="24" customFormat="1" hidden="1" outlineLevel="2" x14ac:dyDescent="0.25">
      <c r="A56" s="29"/>
      <c r="B56" s="11" t="str">
        <f>CONCATENATE("          ", "6362", " - ", "ADVERTISING EXPENSE")</f>
        <v xml:space="preserve">          6362 - ADVERTISING EXPENSE</v>
      </c>
      <c r="C56" s="11"/>
      <c r="D56" s="6"/>
      <c r="E56" s="2"/>
      <c r="F56" s="7">
        <f t="shared" si="28"/>
        <v>0</v>
      </c>
      <c r="G56" s="2"/>
      <c r="H56" s="6">
        <v>100</v>
      </c>
      <c r="I56" s="2"/>
      <c r="J56" s="7">
        <f t="shared" si="29"/>
        <v>6.8799449604403165E-3</v>
      </c>
      <c r="K56" s="2"/>
      <c r="L56" s="6">
        <f t="shared" si="30"/>
        <v>-100</v>
      </c>
      <c r="M56" s="2"/>
      <c r="N56" s="7">
        <f t="shared" si="31"/>
        <v>-1</v>
      </c>
      <c r="O56" s="11"/>
      <c r="P56" s="6"/>
      <c r="Q56" s="2"/>
      <c r="R56" s="7">
        <f t="shared" si="32"/>
        <v>0</v>
      </c>
      <c r="S56" s="2"/>
      <c r="T56" s="6">
        <v>200</v>
      </c>
      <c r="U56" s="2"/>
      <c r="V56" s="7">
        <f t="shared" si="33"/>
        <v>1.0069986405518353E-2</v>
      </c>
      <c r="W56" s="2"/>
      <c r="X56" s="6">
        <f t="shared" si="34"/>
        <v>-200</v>
      </c>
      <c r="Y56" s="2"/>
      <c r="Z56" s="7">
        <f t="shared" si="35"/>
        <v>-1</v>
      </c>
    </row>
    <row r="57" spans="1:26" s="28" customFormat="1" outlineLevel="1" collapsed="1" x14ac:dyDescent="0.25">
      <c r="A57" s="27"/>
      <c r="B57" s="14" t="str">
        <f>CONCATENATE("     ","Bad Debts/Over/Short                              ")</f>
        <v xml:space="preserve">     Bad Debts/Over/Short                              </v>
      </c>
      <c r="C57" s="14"/>
      <c r="D57" s="1">
        <f>SUM(OSRRefD22_3x_0)</f>
        <v>0.8</v>
      </c>
      <c r="E57" s="1"/>
      <c r="F57" s="5">
        <f t="shared" si="28"/>
        <v>8.9927248855675766E-5</v>
      </c>
      <c r="G57" s="1"/>
      <c r="H57" s="1">
        <f>SUM(OSRRefH22_3x_0)</f>
        <v>0</v>
      </c>
      <c r="I57" s="1"/>
      <c r="J57" s="5">
        <f t="shared" si="29"/>
        <v>0</v>
      </c>
      <c r="K57" s="1"/>
      <c r="L57" s="1">
        <f t="shared" si="30"/>
        <v>0.8</v>
      </c>
      <c r="M57" s="1"/>
      <c r="N57" s="5">
        <f t="shared" si="31"/>
        <v>0</v>
      </c>
      <c r="O57" s="14"/>
      <c r="P57" s="1">
        <f>SUM(OSRRefP22_3x_0)</f>
        <v>1.1000000000000001</v>
      </c>
      <c r="Q57" s="1"/>
      <c r="R57" s="5">
        <f t="shared" si="32"/>
        <v>5.1657695446890725E-5</v>
      </c>
      <c r="S57" s="1"/>
      <c r="T57" s="1">
        <f>SUM(OSRRefT22_3x_0)</f>
        <v>0</v>
      </c>
      <c r="U57" s="1"/>
      <c r="V57" s="5">
        <f t="shared" si="33"/>
        <v>0</v>
      </c>
      <c r="W57" s="1"/>
      <c r="X57" s="1">
        <f t="shared" si="34"/>
        <v>1.1000000000000001</v>
      </c>
      <c r="Y57" s="1"/>
      <c r="Z57" s="5">
        <f t="shared" si="35"/>
        <v>0</v>
      </c>
    </row>
    <row r="58" spans="1:26" s="24" customFormat="1" hidden="1" outlineLevel="2" x14ac:dyDescent="0.25">
      <c r="A58" s="29"/>
      <c r="B58" s="11" t="str">
        <f>CONCATENATE("          ", "6272", " - ", "CASH (OVER/SHORT)")</f>
        <v xml:space="preserve">          6272 - CASH (OVER/SHORT)</v>
      </c>
      <c r="C58" s="11"/>
      <c r="D58" s="6">
        <v>0.8</v>
      </c>
      <c r="E58" s="2"/>
      <c r="F58" s="7">
        <f t="shared" si="28"/>
        <v>8.9927248855675766E-5</v>
      </c>
      <c r="G58" s="2"/>
      <c r="H58" s="6"/>
      <c r="I58" s="2"/>
      <c r="J58" s="7">
        <f t="shared" si="29"/>
        <v>0</v>
      </c>
      <c r="K58" s="2"/>
      <c r="L58" s="6">
        <f t="shared" si="30"/>
        <v>0.8</v>
      </c>
      <c r="M58" s="2"/>
      <c r="N58" s="7">
        <f t="shared" si="31"/>
        <v>0</v>
      </c>
      <c r="O58" s="11"/>
      <c r="P58" s="6">
        <v>1.1000000000000001</v>
      </c>
      <c r="Q58" s="2"/>
      <c r="R58" s="7">
        <f t="shared" si="32"/>
        <v>5.1657695446890725E-5</v>
      </c>
      <c r="S58" s="2"/>
      <c r="T58" s="6"/>
      <c r="U58" s="2"/>
      <c r="V58" s="7">
        <f t="shared" si="33"/>
        <v>0</v>
      </c>
      <c r="W58" s="2"/>
      <c r="X58" s="6">
        <f t="shared" si="34"/>
        <v>1.1000000000000001</v>
      </c>
      <c r="Y58" s="2"/>
      <c r="Z58" s="7">
        <f t="shared" si="35"/>
        <v>0</v>
      </c>
    </row>
    <row r="59" spans="1:26" s="28" customFormat="1" outlineLevel="1" collapsed="1" x14ac:dyDescent="0.25">
      <c r="A59" s="27"/>
      <c r="B59" s="14" t="str">
        <f>CONCATENATE("     ","Bank/card Fees                                    ")</f>
        <v xml:space="preserve">     Bank/card Fees                                    </v>
      </c>
      <c r="C59" s="14"/>
      <c r="D59" s="1">
        <f>SUM(OSRRefD22_4x_0)</f>
        <v>0</v>
      </c>
      <c r="E59" s="1"/>
      <c r="F59" s="5">
        <f t="shared" si="28"/>
        <v>0</v>
      </c>
      <c r="G59" s="1"/>
      <c r="H59" s="1">
        <f>SUM(OSRRefH22_4x_0)</f>
        <v>1001</v>
      </c>
      <c r="I59" s="1"/>
      <c r="J59" s="5">
        <f t="shared" si="29"/>
        <v>6.8868249054007569E-2</v>
      </c>
      <c r="K59" s="1"/>
      <c r="L59" s="1">
        <f t="shared" si="30"/>
        <v>-1001</v>
      </c>
      <c r="M59" s="1"/>
      <c r="N59" s="5">
        <f t="shared" si="31"/>
        <v>-1</v>
      </c>
      <c r="O59" s="14"/>
      <c r="P59" s="1">
        <f>SUM(OSRRefP22_4x_0)</f>
        <v>0</v>
      </c>
      <c r="Q59" s="1"/>
      <c r="R59" s="5">
        <f t="shared" si="32"/>
        <v>0</v>
      </c>
      <c r="S59" s="1"/>
      <c r="T59" s="1">
        <f>SUM(OSRRefT22_4x_0)</f>
        <v>1161</v>
      </c>
      <c r="U59" s="1"/>
      <c r="V59" s="5">
        <f t="shared" si="33"/>
        <v>5.8456271084034034E-2</v>
      </c>
      <c r="W59" s="1"/>
      <c r="X59" s="1">
        <f t="shared" si="34"/>
        <v>-1161</v>
      </c>
      <c r="Y59" s="1"/>
      <c r="Z59" s="5">
        <f t="shared" si="35"/>
        <v>-1</v>
      </c>
    </row>
    <row r="60" spans="1:26" s="24" customFormat="1" hidden="1" outlineLevel="2" x14ac:dyDescent="0.25">
      <c r="A60" s="29"/>
      <c r="B60" s="11" t="str">
        <f>CONCATENATE("          ", "6381", " - ", "BANK/CREDIT CARD FEES")</f>
        <v xml:space="preserve">          6381 - BANK/CREDIT CARD FEES</v>
      </c>
      <c r="C60" s="11"/>
      <c r="D60" s="6"/>
      <c r="E60" s="2"/>
      <c r="F60" s="7">
        <f t="shared" si="28"/>
        <v>0</v>
      </c>
      <c r="G60" s="2"/>
      <c r="H60" s="6">
        <v>1001</v>
      </c>
      <c r="I60" s="2"/>
      <c r="J60" s="7">
        <f t="shared" si="29"/>
        <v>6.8868249054007569E-2</v>
      </c>
      <c r="K60" s="2"/>
      <c r="L60" s="6">
        <f t="shared" si="30"/>
        <v>-1001</v>
      </c>
      <c r="M60" s="2"/>
      <c r="N60" s="7">
        <f t="shared" si="31"/>
        <v>-1</v>
      </c>
      <c r="O60" s="11"/>
      <c r="P60" s="6"/>
      <c r="Q60" s="2"/>
      <c r="R60" s="7">
        <f t="shared" si="32"/>
        <v>0</v>
      </c>
      <c r="S60" s="2"/>
      <c r="T60" s="6">
        <v>1161</v>
      </c>
      <c r="U60" s="2"/>
      <c r="V60" s="7">
        <f t="shared" si="33"/>
        <v>5.8456271084034034E-2</v>
      </c>
      <c r="W60" s="2"/>
      <c r="X60" s="6">
        <f t="shared" si="34"/>
        <v>-1161</v>
      </c>
      <c r="Y60" s="2"/>
      <c r="Z60" s="7">
        <f t="shared" si="35"/>
        <v>-1</v>
      </c>
    </row>
    <row r="61" spans="1:26" s="28" customFormat="1" outlineLevel="1" collapsed="1" x14ac:dyDescent="0.25">
      <c r="A61" s="27"/>
      <c r="B61" s="14" t="str">
        <f>CONCATENATE("     ","Discounts and Markdowns                           ")</f>
        <v xml:space="preserve">     Discounts and Markdowns                           </v>
      </c>
      <c r="C61" s="14"/>
      <c r="D61" s="1">
        <f>SUM(OSRRefD22_5x_0)</f>
        <v>0</v>
      </c>
      <c r="E61" s="1"/>
      <c r="F61" s="5">
        <f t="shared" si="28"/>
        <v>0</v>
      </c>
      <c r="G61" s="1"/>
      <c r="H61" s="1">
        <f>SUM(OSRRefH22_5x_0)</f>
        <v>320</v>
      </c>
      <c r="I61" s="1"/>
      <c r="J61" s="5">
        <f t="shared" si="29"/>
        <v>2.2015823873409012E-2</v>
      </c>
      <c r="K61" s="1"/>
      <c r="L61" s="1">
        <f t="shared" si="30"/>
        <v>-320</v>
      </c>
      <c r="M61" s="1"/>
      <c r="N61" s="5">
        <f t="shared" si="31"/>
        <v>-1</v>
      </c>
      <c r="O61" s="14"/>
      <c r="P61" s="1">
        <f>SUM(OSRRefP22_5x_0)</f>
        <v>0</v>
      </c>
      <c r="Q61" s="1"/>
      <c r="R61" s="5">
        <f t="shared" si="32"/>
        <v>0</v>
      </c>
      <c r="S61" s="1"/>
      <c r="T61" s="1">
        <f>SUM(OSRRefT22_5x_0)</f>
        <v>420</v>
      </c>
      <c r="U61" s="1"/>
      <c r="V61" s="5">
        <f t="shared" si="33"/>
        <v>2.1146971451588541E-2</v>
      </c>
      <c r="W61" s="1"/>
      <c r="X61" s="1">
        <f t="shared" si="34"/>
        <v>-420</v>
      </c>
      <c r="Y61" s="1"/>
      <c r="Z61" s="5">
        <f t="shared" si="35"/>
        <v>-1</v>
      </c>
    </row>
    <row r="62" spans="1:26" s="24" customFormat="1" hidden="1" outlineLevel="2" x14ac:dyDescent="0.25">
      <c r="A62" s="29"/>
      <c r="B62" s="11" t="str">
        <f>CONCATENATE("          ", "6382", " - ", "DISCOUNTS/MARK DOWNS")</f>
        <v xml:space="preserve">          6382 - DISCOUNTS/MARK DOWNS</v>
      </c>
      <c r="C62" s="11"/>
      <c r="D62" s="6"/>
      <c r="E62" s="2"/>
      <c r="F62" s="7">
        <f t="shared" si="28"/>
        <v>0</v>
      </c>
      <c r="G62" s="2"/>
      <c r="H62" s="6">
        <v>320</v>
      </c>
      <c r="I62" s="2"/>
      <c r="J62" s="7">
        <f t="shared" si="29"/>
        <v>2.2015823873409012E-2</v>
      </c>
      <c r="K62" s="2"/>
      <c r="L62" s="6">
        <f t="shared" si="30"/>
        <v>-320</v>
      </c>
      <c r="M62" s="2"/>
      <c r="N62" s="7">
        <f t="shared" si="31"/>
        <v>-1</v>
      </c>
      <c r="O62" s="11"/>
      <c r="P62" s="6"/>
      <c r="Q62" s="2"/>
      <c r="R62" s="7">
        <f t="shared" si="32"/>
        <v>0</v>
      </c>
      <c r="S62" s="2"/>
      <c r="T62" s="6">
        <v>420</v>
      </c>
      <c r="U62" s="2"/>
      <c r="V62" s="7">
        <f t="shared" si="33"/>
        <v>2.1146971451588541E-2</v>
      </c>
      <c r="W62" s="2"/>
      <c r="X62" s="6">
        <f t="shared" si="34"/>
        <v>-420</v>
      </c>
      <c r="Y62" s="2"/>
      <c r="Z62" s="7">
        <f t="shared" si="35"/>
        <v>-1</v>
      </c>
    </row>
    <row r="63" spans="1:26" s="28" customFormat="1" outlineLevel="1" collapsed="1" x14ac:dyDescent="0.25">
      <c r="A63" s="27"/>
      <c r="B63" s="14" t="str">
        <f>CONCATENATE("     ","Freight out/Postage                               ")</f>
        <v xml:space="preserve">     Freight out/Postage                               </v>
      </c>
      <c r="C63" s="14"/>
      <c r="D63" s="1">
        <f>SUM(OSRRefD22_6x_0)</f>
        <v>0</v>
      </c>
      <c r="E63" s="1"/>
      <c r="F63" s="5">
        <f t="shared" si="28"/>
        <v>0</v>
      </c>
      <c r="G63" s="1"/>
      <c r="H63" s="1">
        <f>SUM(OSRRefH22_6x_0)</f>
        <v>333</v>
      </c>
      <c r="I63" s="1"/>
      <c r="J63" s="5">
        <f t="shared" si="29"/>
        <v>2.2910216718266253E-2</v>
      </c>
      <c r="K63" s="1"/>
      <c r="L63" s="1">
        <f t="shared" si="30"/>
        <v>-333</v>
      </c>
      <c r="M63" s="1"/>
      <c r="N63" s="5">
        <f t="shared" si="31"/>
        <v>-1</v>
      </c>
      <c r="O63" s="14"/>
      <c r="P63" s="1">
        <f>SUM(OSRRefP22_6x_0)</f>
        <v>0</v>
      </c>
      <c r="Q63" s="1"/>
      <c r="R63" s="5">
        <f t="shared" si="32"/>
        <v>0</v>
      </c>
      <c r="S63" s="1"/>
      <c r="T63" s="1">
        <f>SUM(OSRRefT22_6x_0)</f>
        <v>588</v>
      </c>
      <c r="U63" s="1"/>
      <c r="V63" s="5">
        <f t="shared" si="33"/>
        <v>2.9605760032223958E-2</v>
      </c>
      <c r="W63" s="1"/>
      <c r="X63" s="1">
        <f t="shared" si="34"/>
        <v>-588</v>
      </c>
      <c r="Y63" s="1"/>
      <c r="Z63" s="5">
        <f t="shared" si="35"/>
        <v>-1</v>
      </c>
    </row>
    <row r="64" spans="1:26" s="24" customFormat="1" hidden="1" outlineLevel="2" x14ac:dyDescent="0.25">
      <c r="A64" s="29"/>
      <c r="B64" s="11" t="str">
        <f>CONCATENATE("          ", "6305", " - ", "FREIGHT OUT")</f>
        <v xml:space="preserve">          6305 - FREIGHT OUT</v>
      </c>
      <c r="C64" s="11"/>
      <c r="D64" s="6"/>
      <c r="E64" s="2"/>
      <c r="F64" s="7">
        <f t="shared" si="28"/>
        <v>0</v>
      </c>
      <c r="G64" s="2"/>
      <c r="H64" s="6">
        <v>333</v>
      </c>
      <c r="I64" s="2"/>
      <c r="J64" s="7">
        <f t="shared" si="29"/>
        <v>2.2910216718266253E-2</v>
      </c>
      <c r="K64" s="2"/>
      <c r="L64" s="6">
        <f t="shared" si="30"/>
        <v>-333</v>
      </c>
      <c r="M64" s="2"/>
      <c r="N64" s="7">
        <f t="shared" si="31"/>
        <v>-1</v>
      </c>
      <c r="O64" s="11"/>
      <c r="P64" s="6"/>
      <c r="Q64" s="2"/>
      <c r="R64" s="7">
        <f t="shared" si="32"/>
        <v>0</v>
      </c>
      <c r="S64" s="2"/>
      <c r="T64" s="6">
        <v>588</v>
      </c>
      <c r="U64" s="2"/>
      <c r="V64" s="7">
        <f t="shared" si="33"/>
        <v>2.9605760032223958E-2</v>
      </c>
      <c r="W64" s="2"/>
      <c r="X64" s="6">
        <f t="shared" si="34"/>
        <v>-588</v>
      </c>
      <c r="Y64" s="2"/>
      <c r="Z64" s="7">
        <f t="shared" si="35"/>
        <v>-1</v>
      </c>
    </row>
    <row r="65" spans="1:26" s="28" customFormat="1" outlineLevel="1" collapsed="1" x14ac:dyDescent="0.25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SUM(OSRRefD22_7x_0)</f>
        <v>0</v>
      </c>
      <c r="E65" s="1"/>
      <c r="F65" s="5">
        <f t="shared" si="28"/>
        <v>0</v>
      </c>
      <c r="G65" s="1"/>
      <c r="H65" s="1">
        <f>SUM(OSRRefH22_7x_0)</f>
        <v>0</v>
      </c>
      <c r="I65" s="1"/>
      <c r="J65" s="5">
        <f t="shared" si="29"/>
        <v>0</v>
      </c>
      <c r="K65" s="1"/>
      <c r="L65" s="1">
        <f t="shared" si="30"/>
        <v>0</v>
      </c>
      <c r="M65" s="1"/>
      <c r="N65" s="5">
        <f t="shared" si="31"/>
        <v>0</v>
      </c>
      <c r="O65" s="14"/>
      <c r="P65" s="1">
        <f>SUM(OSRRefP22_7x_0)</f>
        <v>719.55</v>
      </c>
      <c r="Q65" s="1"/>
      <c r="R65" s="5">
        <f t="shared" si="32"/>
        <v>3.3791177053463836E-2</v>
      </c>
      <c r="S65" s="1"/>
      <c r="T65" s="1">
        <f>SUM(OSRRefT22_7x_0)</f>
        <v>1000</v>
      </c>
      <c r="U65" s="1"/>
      <c r="V65" s="5">
        <f t="shared" si="33"/>
        <v>5.0349932027591762E-2</v>
      </c>
      <c r="W65" s="1"/>
      <c r="X65" s="1">
        <f t="shared" si="34"/>
        <v>-280.45000000000005</v>
      </c>
      <c r="Y65" s="1"/>
      <c r="Z65" s="5">
        <f t="shared" si="35"/>
        <v>-0.28045000000000003</v>
      </c>
    </row>
    <row r="66" spans="1:26" s="24" customFormat="1" hidden="1" outlineLevel="2" x14ac:dyDescent="0.25">
      <c r="A66" s="29"/>
      <c r="B66" s="11" t="str">
        <f>CONCATENATE("          ", "6279", " - ", "GENERAL EXPENSE")</f>
        <v xml:space="preserve">          6279 - GENERAL EXPENSE</v>
      </c>
      <c r="C66" s="11"/>
      <c r="D66" s="6"/>
      <c r="E66" s="2"/>
      <c r="F66" s="7">
        <f t="shared" si="28"/>
        <v>0</v>
      </c>
      <c r="G66" s="2"/>
      <c r="H66" s="6"/>
      <c r="I66" s="2"/>
      <c r="J66" s="7">
        <f t="shared" si="29"/>
        <v>0</v>
      </c>
      <c r="K66" s="2"/>
      <c r="L66" s="6">
        <f t="shared" si="30"/>
        <v>0</v>
      </c>
      <c r="M66" s="2"/>
      <c r="N66" s="7">
        <f t="shared" si="31"/>
        <v>0</v>
      </c>
      <c r="O66" s="11"/>
      <c r="P66" s="6">
        <v>719.55</v>
      </c>
      <c r="Q66" s="2"/>
      <c r="R66" s="7">
        <f t="shared" si="32"/>
        <v>3.3791177053463836E-2</v>
      </c>
      <c r="S66" s="2"/>
      <c r="T66" s="6">
        <v>1000</v>
      </c>
      <c r="U66" s="2"/>
      <c r="V66" s="7">
        <f t="shared" si="33"/>
        <v>5.0349932027591762E-2</v>
      </c>
      <c r="W66" s="2"/>
      <c r="X66" s="6">
        <f t="shared" si="34"/>
        <v>-280.45000000000005</v>
      </c>
      <c r="Y66" s="2"/>
      <c r="Z66" s="7">
        <f t="shared" si="35"/>
        <v>-0.28045000000000003</v>
      </c>
    </row>
    <row r="67" spans="1:26" s="28" customFormat="1" outlineLevel="1" collapsed="1" x14ac:dyDescent="0.25">
      <c r="A67" s="27"/>
      <c r="B67" s="14" t="str">
        <f>CONCATENATE("     ","Professional Services                             ")</f>
        <v xml:space="preserve">     Professional Services                             </v>
      </c>
      <c r="C67" s="14"/>
      <c r="D67" s="1">
        <f>SUM(OSRRefD22_8x_0)</f>
        <v>0</v>
      </c>
      <c r="E67" s="1"/>
      <c r="F67" s="5">
        <f t="shared" si="28"/>
        <v>0</v>
      </c>
      <c r="G67" s="1"/>
      <c r="H67" s="1">
        <f>SUM(OSRRefH22_8x_0)</f>
        <v>0</v>
      </c>
      <c r="I67" s="1"/>
      <c r="J67" s="5">
        <f t="shared" si="29"/>
        <v>0</v>
      </c>
      <c r="K67" s="1"/>
      <c r="L67" s="1">
        <f t="shared" si="30"/>
        <v>0</v>
      </c>
      <c r="M67" s="1"/>
      <c r="N67" s="5">
        <f t="shared" si="31"/>
        <v>0</v>
      </c>
      <c r="O67" s="14"/>
      <c r="P67" s="1">
        <f>SUM(OSRRefP22_8x_0)</f>
        <v>0</v>
      </c>
      <c r="Q67" s="1"/>
      <c r="R67" s="5">
        <f t="shared" si="32"/>
        <v>0</v>
      </c>
      <c r="S67" s="1"/>
      <c r="T67" s="1">
        <f>SUM(OSRRefT22_8x_0)</f>
        <v>800</v>
      </c>
      <c r="U67" s="1"/>
      <c r="V67" s="5">
        <f t="shared" si="33"/>
        <v>4.0279945622073411E-2</v>
      </c>
      <c r="W67" s="1"/>
      <c r="X67" s="1">
        <f t="shared" si="34"/>
        <v>-800</v>
      </c>
      <c r="Y67" s="1"/>
      <c r="Z67" s="5">
        <f t="shared" si="35"/>
        <v>-1</v>
      </c>
    </row>
    <row r="68" spans="1:26" s="24" customFormat="1" hidden="1" outlineLevel="2" x14ac:dyDescent="0.25">
      <c r="A68" s="29"/>
      <c r="B68" s="11" t="str">
        <f>CONCATENATE("          ", "6336", " - ", "PROFESSIONAL SERVICES")</f>
        <v xml:space="preserve">          6336 - PROFESSIONAL SERVICES</v>
      </c>
      <c r="C68" s="11"/>
      <c r="D68" s="6"/>
      <c r="E68" s="2"/>
      <c r="F68" s="7">
        <f t="shared" si="28"/>
        <v>0</v>
      </c>
      <c r="G68" s="2"/>
      <c r="H68" s="6"/>
      <c r="I68" s="2"/>
      <c r="J68" s="7">
        <f t="shared" si="29"/>
        <v>0</v>
      </c>
      <c r="K68" s="2"/>
      <c r="L68" s="6">
        <f t="shared" si="30"/>
        <v>0</v>
      </c>
      <c r="M68" s="2"/>
      <c r="N68" s="7">
        <f t="shared" si="31"/>
        <v>0</v>
      </c>
      <c r="O68" s="11"/>
      <c r="P68" s="6"/>
      <c r="Q68" s="2"/>
      <c r="R68" s="7">
        <f t="shared" si="32"/>
        <v>0</v>
      </c>
      <c r="S68" s="2"/>
      <c r="T68" s="6">
        <v>800</v>
      </c>
      <c r="U68" s="2"/>
      <c r="V68" s="7">
        <f t="shared" si="33"/>
        <v>4.0279945622073411E-2</v>
      </c>
      <c r="W68" s="2"/>
      <c r="X68" s="6">
        <f t="shared" si="34"/>
        <v>-800</v>
      </c>
      <c r="Y68" s="2"/>
      <c r="Z68" s="7">
        <f t="shared" si="35"/>
        <v>-1</v>
      </c>
    </row>
    <row r="69" spans="1:26" s="28" customFormat="1" outlineLevel="1" collapsed="1" x14ac:dyDescent="0.25">
      <c r="A69" s="27"/>
      <c r="B69" s="14" t="str">
        <f>CONCATENATE("     ","Repair and Maintenance                            ")</f>
        <v xml:space="preserve">     Repair and Maintenance                            </v>
      </c>
      <c r="C69" s="14"/>
      <c r="D69" s="1">
        <f>SUM(OSRRefD22_9x_0)</f>
        <v>61.11</v>
      </c>
      <c r="E69" s="1"/>
      <c r="F69" s="5">
        <f t="shared" si="28"/>
        <v>6.8693177219629319E-3</v>
      </c>
      <c r="G69" s="1"/>
      <c r="H69" s="1">
        <f>SUM(OSRRefH22_9x_0)</f>
        <v>100</v>
      </c>
      <c r="I69" s="1"/>
      <c r="J69" s="5">
        <f t="shared" si="29"/>
        <v>6.8799449604403165E-3</v>
      </c>
      <c r="K69" s="1"/>
      <c r="L69" s="1">
        <f t="shared" si="30"/>
        <v>-38.89</v>
      </c>
      <c r="M69" s="1"/>
      <c r="N69" s="5">
        <f t="shared" si="31"/>
        <v>-0.38890000000000002</v>
      </c>
      <c r="O69" s="14"/>
      <c r="P69" s="1">
        <f>SUM(OSRRefP22_9x_0)</f>
        <v>139.71</v>
      </c>
      <c r="Q69" s="1"/>
      <c r="R69" s="5">
        <f t="shared" si="32"/>
        <v>6.5609969371682756E-3</v>
      </c>
      <c r="S69" s="1"/>
      <c r="T69" s="1">
        <f>SUM(OSRRefT22_9x_0)</f>
        <v>300</v>
      </c>
      <c r="U69" s="1"/>
      <c r="V69" s="5">
        <f t="shared" si="33"/>
        <v>1.5104979608277528E-2</v>
      </c>
      <c r="W69" s="1"/>
      <c r="X69" s="1">
        <f t="shared" si="34"/>
        <v>-160.29</v>
      </c>
      <c r="Y69" s="1"/>
      <c r="Z69" s="5">
        <f t="shared" si="35"/>
        <v>-0.5343</v>
      </c>
    </row>
    <row r="70" spans="1:26" s="24" customFormat="1" hidden="1" outlineLevel="2" x14ac:dyDescent="0.25">
      <c r="A70" s="29"/>
      <c r="B70" s="11" t="str">
        <f>CONCATENATE("          ", "6373", " - ", "MAINTENANCE CONTRACTS")</f>
        <v xml:space="preserve">          6373 - MAINTENANCE CONTRACTS</v>
      </c>
      <c r="C70" s="11"/>
      <c r="D70" s="6">
        <v>61.11</v>
      </c>
      <c r="E70" s="2"/>
      <c r="F70" s="7">
        <f t="shared" si="28"/>
        <v>6.8693177219629319E-3</v>
      </c>
      <c r="G70" s="2"/>
      <c r="H70" s="6"/>
      <c r="I70" s="2"/>
      <c r="J70" s="7">
        <f t="shared" si="29"/>
        <v>0</v>
      </c>
      <c r="K70" s="2"/>
      <c r="L70" s="6">
        <f t="shared" si="30"/>
        <v>61.11</v>
      </c>
      <c r="M70" s="2"/>
      <c r="N70" s="7">
        <f t="shared" si="31"/>
        <v>0</v>
      </c>
      <c r="O70" s="11"/>
      <c r="P70" s="6">
        <v>139.71</v>
      </c>
      <c r="Q70" s="2"/>
      <c r="R70" s="7">
        <f t="shared" si="32"/>
        <v>6.5609969371682756E-3</v>
      </c>
      <c r="S70" s="2"/>
      <c r="T70" s="6"/>
      <c r="U70" s="2"/>
      <c r="V70" s="7">
        <f t="shared" si="33"/>
        <v>0</v>
      </c>
      <c r="W70" s="2"/>
      <c r="X70" s="6">
        <f t="shared" si="34"/>
        <v>139.71</v>
      </c>
      <c r="Y70" s="2"/>
      <c r="Z70" s="7">
        <f t="shared" si="35"/>
        <v>0</v>
      </c>
    </row>
    <row r="71" spans="1:26" s="24" customFormat="1" hidden="1" outlineLevel="2" x14ac:dyDescent="0.25">
      <c r="A71" s="29"/>
      <c r="B71" s="11" t="str">
        <f>CONCATENATE("          ", "6375", " - ", "OUTSIDE REPAIRS &amp; MAINTENANCE")</f>
        <v xml:space="preserve">          6375 - OUTSIDE REPAIRS &amp; MAINTENANCE</v>
      </c>
      <c r="C71" s="11"/>
      <c r="D71" s="6"/>
      <c r="E71" s="2"/>
      <c r="F71" s="7">
        <f t="shared" si="28"/>
        <v>0</v>
      </c>
      <c r="G71" s="2"/>
      <c r="H71" s="6">
        <v>100</v>
      </c>
      <c r="I71" s="2"/>
      <c r="J71" s="7">
        <f t="shared" si="29"/>
        <v>6.8799449604403165E-3</v>
      </c>
      <c r="K71" s="2"/>
      <c r="L71" s="6">
        <f t="shared" si="30"/>
        <v>-100</v>
      </c>
      <c r="M71" s="2"/>
      <c r="N71" s="7">
        <f t="shared" si="31"/>
        <v>-1</v>
      </c>
      <c r="O71" s="11"/>
      <c r="P71" s="6"/>
      <c r="Q71" s="2"/>
      <c r="R71" s="7">
        <f t="shared" si="32"/>
        <v>0</v>
      </c>
      <c r="S71" s="2"/>
      <c r="T71" s="6">
        <v>300</v>
      </c>
      <c r="U71" s="2"/>
      <c r="V71" s="7">
        <f t="shared" si="33"/>
        <v>1.5104979608277528E-2</v>
      </c>
      <c r="W71" s="2"/>
      <c r="X71" s="6">
        <f t="shared" si="34"/>
        <v>-300</v>
      </c>
      <c r="Y71" s="2"/>
      <c r="Z71" s="7">
        <f t="shared" si="35"/>
        <v>-1</v>
      </c>
    </row>
    <row r="72" spans="1:26" s="28" customFormat="1" outlineLevel="1" collapsed="1" x14ac:dyDescent="0.25">
      <c r="A72" s="27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SUM(OSRRefD22_10x_0)</f>
        <v>44</v>
      </c>
      <c r="E72" s="1"/>
      <c r="F72" s="5">
        <f t="shared" ref="F72:F74" si="36">IF(D$12=0,0,D72/D$12)</f>
        <v>4.9459986870621668E-3</v>
      </c>
      <c r="G72" s="1"/>
      <c r="H72" s="1">
        <f>SUM(OSRRefH22_10x_0)</f>
        <v>274</v>
      </c>
      <c r="I72" s="1"/>
      <c r="J72" s="5">
        <f t="shared" ref="J72:J74" si="37">IF(H$12=0,0,H72/H$12)</f>
        <v>1.8851049191606468E-2</v>
      </c>
      <c r="K72" s="1"/>
      <c r="L72" s="1">
        <f t="shared" ref="L72:L74" si="38">+D72-H72</f>
        <v>-230</v>
      </c>
      <c r="M72" s="1"/>
      <c r="N72" s="5">
        <f t="shared" ref="N72:N74" si="39">IF(H72=0,0,L72/H72)</f>
        <v>-0.83941605839416056</v>
      </c>
      <c r="O72" s="14"/>
      <c r="P72" s="1">
        <f>SUM(OSRRefP22_10x_0)</f>
        <v>-25.5</v>
      </c>
      <c r="Q72" s="1"/>
      <c r="R72" s="5">
        <f t="shared" ref="R72:R74" si="40">IF(P$12=0,0,P72/P$12)</f>
        <v>-1.1975193035415577E-3</v>
      </c>
      <c r="S72" s="1"/>
      <c r="T72" s="1">
        <f>SUM(OSRRefT22_10x_0)</f>
        <v>548</v>
      </c>
      <c r="U72" s="1"/>
      <c r="V72" s="5">
        <f t="shared" ref="V72:V74" si="41">IF(T$12=0,0,T72/T$12)</f>
        <v>2.7591762751120286E-2</v>
      </c>
      <c r="W72" s="1"/>
      <c r="X72" s="1">
        <f t="shared" ref="X72:X74" si="42">+P72-T72</f>
        <v>-573.5</v>
      </c>
      <c r="Y72" s="1"/>
      <c r="Z72" s="5">
        <f t="shared" ref="Z72:Z74" si="43">IF(T72=0,0,X72/T72)</f>
        <v>-1.0465328467153285</v>
      </c>
    </row>
    <row r="73" spans="1:26" s="24" customFormat="1" hidden="1" outlineLevel="2" x14ac:dyDescent="0.25">
      <c r="A73" s="29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44</v>
      </c>
      <c r="E73" s="2"/>
      <c r="F73" s="7">
        <f t="shared" si="36"/>
        <v>4.9459986870621668E-3</v>
      </c>
      <c r="G73" s="2"/>
      <c r="H73" s="6"/>
      <c r="I73" s="2"/>
      <c r="J73" s="7">
        <f t="shared" si="37"/>
        <v>0</v>
      </c>
      <c r="K73" s="2"/>
      <c r="L73" s="6">
        <f t="shared" si="38"/>
        <v>44</v>
      </c>
      <c r="M73" s="2"/>
      <c r="N73" s="7">
        <f t="shared" si="39"/>
        <v>0</v>
      </c>
      <c r="O73" s="11"/>
      <c r="P73" s="6">
        <v>132</v>
      </c>
      <c r="Q73" s="2"/>
      <c r="R73" s="7">
        <f t="shared" si="40"/>
        <v>6.1989234536268863E-3</v>
      </c>
      <c r="S73" s="2"/>
      <c r="T73" s="6"/>
      <c r="U73" s="2"/>
      <c r="V73" s="7">
        <f t="shared" si="41"/>
        <v>0</v>
      </c>
      <c r="W73" s="2"/>
      <c r="X73" s="6">
        <f t="shared" si="42"/>
        <v>132</v>
      </c>
      <c r="Y73" s="2"/>
      <c r="Z73" s="7">
        <f t="shared" si="43"/>
        <v>0</v>
      </c>
    </row>
    <row r="74" spans="1:26" s="24" customFormat="1" hidden="1" outlineLevel="2" x14ac:dyDescent="0.25">
      <c r="A74" s="29"/>
      <c r="B74" s="11" t="str">
        <f>CONCATENATE("          ", "6285", " - ", "JANITORIAL SERVICES")</f>
        <v xml:space="preserve">          6285 - JANITORIAL SERVICES</v>
      </c>
      <c r="C74" s="11"/>
      <c r="D74" s="6"/>
      <c r="E74" s="2"/>
      <c r="F74" s="7">
        <f t="shared" si="36"/>
        <v>0</v>
      </c>
      <c r="G74" s="2"/>
      <c r="H74" s="6">
        <v>274</v>
      </c>
      <c r="I74" s="2"/>
      <c r="J74" s="7">
        <f t="shared" si="37"/>
        <v>1.8851049191606468E-2</v>
      </c>
      <c r="K74" s="2"/>
      <c r="L74" s="6">
        <f t="shared" si="38"/>
        <v>-274</v>
      </c>
      <c r="M74" s="2"/>
      <c r="N74" s="7">
        <f t="shared" si="39"/>
        <v>-1</v>
      </c>
      <c r="O74" s="11"/>
      <c r="P74" s="6">
        <v>-157.5</v>
      </c>
      <c r="Q74" s="2"/>
      <c r="R74" s="7">
        <f t="shared" si="40"/>
        <v>-7.3964427571684447E-3</v>
      </c>
      <c r="S74" s="2"/>
      <c r="T74" s="6">
        <v>548</v>
      </c>
      <c r="U74" s="2"/>
      <c r="V74" s="7">
        <f t="shared" si="41"/>
        <v>2.7591762751120286E-2</v>
      </c>
      <c r="W74" s="2"/>
      <c r="X74" s="6">
        <f t="shared" si="42"/>
        <v>-705.5</v>
      </c>
      <c r="Y74" s="2"/>
      <c r="Z74" s="7">
        <f t="shared" si="43"/>
        <v>-1.2874087591240877</v>
      </c>
    </row>
    <row r="75" spans="1:26" s="28" customFormat="1" outlineLevel="1" collapsed="1" x14ac:dyDescent="0.25">
      <c r="A75" s="27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SUM(OSRRefD22_11x_0)</f>
        <v>418.01</v>
      </c>
      <c r="E75" s="1"/>
      <c r="F75" s="5">
        <f t="shared" ref="F75:F79" si="44">IF(D$12=0,0,D75/D$12)</f>
        <v>4.6988111617701278E-2</v>
      </c>
      <c r="G75" s="1"/>
      <c r="H75" s="1">
        <f>SUM(OSRRefH22_11x_0)</f>
        <v>300</v>
      </c>
      <c r="I75" s="1"/>
      <c r="J75" s="5">
        <f t="shared" ref="J75:J79" si="45">IF(H$12=0,0,H75/H$12)</f>
        <v>2.063983488132095E-2</v>
      </c>
      <c r="K75" s="1"/>
      <c r="L75" s="1">
        <f t="shared" ref="L75:L79" si="46">+D75-H75</f>
        <v>118.00999999999999</v>
      </c>
      <c r="M75" s="1"/>
      <c r="N75" s="5">
        <f t="shared" ref="N75:N79" si="47">IF(H75=0,0,L75/H75)</f>
        <v>0.39336666666666664</v>
      </c>
      <c r="O75" s="14"/>
      <c r="P75" s="1">
        <f>SUM(OSRRefP22_11x_0)</f>
        <v>1347.67</v>
      </c>
      <c r="Q75" s="1"/>
      <c r="R75" s="5">
        <f t="shared" ref="R75:R79" si="48">IF(P$12=0,0,P75/P$12)</f>
        <v>6.3288660384464748E-2</v>
      </c>
      <c r="S75" s="1"/>
      <c r="T75" s="1">
        <f>SUM(OSRRefT22_11x_0)</f>
        <v>700</v>
      </c>
      <c r="U75" s="1"/>
      <c r="V75" s="5">
        <f t="shared" ref="V75:V79" si="49">IF(T$12=0,0,T75/T$12)</f>
        <v>3.5244952419314232E-2</v>
      </c>
      <c r="W75" s="1"/>
      <c r="X75" s="1">
        <f t="shared" ref="X75:X79" si="50">+P75-T75</f>
        <v>647.67000000000007</v>
      </c>
      <c r="Y75" s="1"/>
      <c r="Z75" s="5">
        <f t="shared" ref="Z75:Z79" si="51">IF(T75=0,0,X75/T75)</f>
        <v>0.92524285714285726</v>
      </c>
    </row>
    <row r="76" spans="1:26" s="24" customFormat="1" hidden="1" outlineLevel="2" x14ac:dyDescent="0.25">
      <c r="A76" s="29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44"/>
        <v>0</v>
      </c>
      <c r="G76" s="2"/>
      <c r="H76" s="6">
        <v>200</v>
      </c>
      <c r="I76" s="2"/>
      <c r="J76" s="7">
        <f t="shared" si="45"/>
        <v>1.3759889920880633E-2</v>
      </c>
      <c r="K76" s="2"/>
      <c r="L76" s="6">
        <f t="shared" si="46"/>
        <v>-200</v>
      </c>
      <c r="M76" s="2"/>
      <c r="N76" s="7">
        <f t="shared" si="47"/>
        <v>-1</v>
      </c>
      <c r="O76" s="11"/>
      <c r="P76" s="6">
        <v>444.3</v>
      </c>
      <c r="Q76" s="2"/>
      <c r="R76" s="7">
        <f t="shared" si="48"/>
        <v>2.0865012806412318E-2</v>
      </c>
      <c r="S76" s="2"/>
      <c r="T76" s="6">
        <v>400</v>
      </c>
      <c r="U76" s="2"/>
      <c r="V76" s="7">
        <f t="shared" si="49"/>
        <v>2.0139972811036706E-2</v>
      </c>
      <c r="W76" s="2"/>
      <c r="X76" s="6">
        <f t="shared" si="50"/>
        <v>44.300000000000011</v>
      </c>
      <c r="Y76" s="2"/>
      <c r="Z76" s="7">
        <f t="shared" si="51"/>
        <v>0.11075000000000003</v>
      </c>
    </row>
    <row r="77" spans="1:26" s="24" customFormat="1" hidden="1" outlineLevel="2" x14ac:dyDescent="0.25">
      <c r="A77" s="29"/>
      <c r="B77" s="11" t="str">
        <f>CONCATENATE("          ", "6241", " - ", "OFFICE EXPENSE")</f>
        <v xml:space="preserve">          6241 - OFFICE EXPENSE</v>
      </c>
      <c r="C77" s="11"/>
      <c r="D77" s="6"/>
      <c r="E77" s="2"/>
      <c r="F77" s="7">
        <f t="shared" si="44"/>
        <v>0</v>
      </c>
      <c r="G77" s="2"/>
      <c r="H77" s="6"/>
      <c r="I77" s="2"/>
      <c r="J77" s="7">
        <f t="shared" si="45"/>
        <v>0</v>
      </c>
      <c r="K77" s="2"/>
      <c r="L77" s="6">
        <f t="shared" si="46"/>
        <v>0</v>
      </c>
      <c r="M77" s="2"/>
      <c r="N77" s="7">
        <f t="shared" si="47"/>
        <v>0</v>
      </c>
      <c r="O77" s="11"/>
      <c r="P77" s="6">
        <v>225.24</v>
      </c>
      <c r="Q77" s="2"/>
      <c r="R77" s="7">
        <f t="shared" si="48"/>
        <v>1.0577617565870607E-2</v>
      </c>
      <c r="S77" s="2"/>
      <c r="T77" s="6"/>
      <c r="U77" s="2"/>
      <c r="V77" s="7">
        <f t="shared" si="49"/>
        <v>0</v>
      </c>
      <c r="W77" s="2"/>
      <c r="X77" s="6">
        <f t="shared" si="50"/>
        <v>225.24</v>
      </c>
      <c r="Y77" s="2"/>
      <c r="Z77" s="7">
        <f t="shared" si="51"/>
        <v>0</v>
      </c>
    </row>
    <row r="78" spans="1:26" s="24" customFormat="1" hidden="1" outlineLevel="2" x14ac:dyDescent="0.25">
      <c r="A78" s="29"/>
      <c r="B78" s="11" t="str">
        <f>CONCATENATE("          ", "6247", " - ", "STORE SUPPLIES")</f>
        <v xml:space="preserve">          6247 - STORE SUPPLIES</v>
      </c>
      <c r="C78" s="11"/>
      <c r="D78" s="6">
        <v>418.01</v>
      </c>
      <c r="E78" s="2"/>
      <c r="F78" s="7">
        <f t="shared" si="44"/>
        <v>4.6988111617701278E-2</v>
      </c>
      <c r="G78" s="2"/>
      <c r="H78" s="6">
        <v>100</v>
      </c>
      <c r="I78" s="2"/>
      <c r="J78" s="7">
        <f t="shared" si="45"/>
        <v>6.8799449604403165E-3</v>
      </c>
      <c r="K78" s="2"/>
      <c r="L78" s="6">
        <f t="shared" si="46"/>
        <v>318.01</v>
      </c>
      <c r="M78" s="2"/>
      <c r="N78" s="7">
        <f t="shared" si="47"/>
        <v>3.1800999999999999</v>
      </c>
      <c r="O78" s="11"/>
      <c r="P78" s="6">
        <v>678.13</v>
      </c>
      <c r="Q78" s="2"/>
      <c r="R78" s="7">
        <f t="shared" si="48"/>
        <v>3.1846030012181822E-2</v>
      </c>
      <c r="S78" s="2"/>
      <c r="T78" s="6">
        <v>200</v>
      </c>
      <c r="U78" s="2"/>
      <c r="V78" s="7">
        <f t="shared" si="49"/>
        <v>1.0069986405518353E-2</v>
      </c>
      <c r="W78" s="2"/>
      <c r="X78" s="6">
        <f t="shared" si="50"/>
        <v>478.13</v>
      </c>
      <c r="Y78" s="2"/>
      <c r="Z78" s="7">
        <f t="shared" si="51"/>
        <v>2.3906499999999999</v>
      </c>
    </row>
    <row r="79" spans="1:26" s="24" customFormat="1" hidden="1" outlineLevel="2" x14ac:dyDescent="0.25">
      <c r="A79" s="29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1"/>
      <c r="P79" s="6"/>
      <c r="Q79" s="2"/>
      <c r="R79" s="7">
        <f t="shared" si="48"/>
        <v>0</v>
      </c>
      <c r="S79" s="2"/>
      <c r="T79" s="6">
        <v>100</v>
      </c>
      <c r="U79" s="2"/>
      <c r="V79" s="7">
        <f t="shared" si="49"/>
        <v>5.0349932027591764E-3</v>
      </c>
      <c r="W79" s="2"/>
      <c r="X79" s="6">
        <f t="shared" si="50"/>
        <v>-100</v>
      </c>
      <c r="Y79" s="2"/>
      <c r="Z79" s="7">
        <f t="shared" si="51"/>
        <v>-1</v>
      </c>
    </row>
    <row r="80" spans="1:26" s="28" customFormat="1" outlineLevel="1" collapsed="1" x14ac:dyDescent="0.25">
      <c r="A80" s="27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SUM(OSRRefD22_12x_0)</f>
        <v>100</v>
      </c>
      <c r="E80" s="1"/>
      <c r="F80" s="5">
        <f t="shared" ref="F80:F82" si="52">IF(D$12=0,0,D80/D$12)</f>
        <v>1.1240906106959469E-2</v>
      </c>
      <c r="G80" s="1"/>
      <c r="H80" s="1">
        <f>SUM(OSRRefH22_12x_0)</f>
        <v>100</v>
      </c>
      <c r="I80" s="1"/>
      <c r="J80" s="5">
        <f t="shared" ref="J80:J82" si="53">IF(H$12=0,0,H80/H$12)</f>
        <v>6.8799449604403165E-3</v>
      </c>
      <c r="K80" s="1"/>
      <c r="L80" s="1">
        <f t="shared" ref="L80:L82" si="54">+D80-H80</f>
        <v>0</v>
      </c>
      <c r="M80" s="1"/>
      <c r="N80" s="5">
        <f t="shared" ref="N80:N82" si="55">IF(H80=0,0,L80/H80)</f>
        <v>0</v>
      </c>
      <c r="O80" s="14"/>
      <c r="P80" s="1">
        <f>SUM(OSRRefP22_12x_0)</f>
        <v>206</v>
      </c>
      <c r="Q80" s="1"/>
      <c r="R80" s="5">
        <f t="shared" ref="R80:R82" si="56">IF(P$12=0,0,P80/P$12)</f>
        <v>9.6740775109631708E-3</v>
      </c>
      <c r="S80" s="1"/>
      <c r="T80" s="1">
        <f>SUM(OSRRefT22_12x_0)</f>
        <v>300</v>
      </c>
      <c r="U80" s="1"/>
      <c r="V80" s="5">
        <f t="shared" ref="V80:V82" si="57">IF(T$12=0,0,T80/T$12)</f>
        <v>1.5104979608277528E-2</v>
      </c>
      <c r="W80" s="1"/>
      <c r="X80" s="1">
        <f t="shared" ref="X80:X82" si="58">+P80-T80</f>
        <v>-94</v>
      </c>
      <c r="Y80" s="1"/>
      <c r="Z80" s="5">
        <f t="shared" ref="Z80:Z82" si="59">IF(T80=0,0,X80/T80)</f>
        <v>-0.31333333333333335</v>
      </c>
    </row>
    <row r="81" spans="1:26" s="24" customFormat="1" hidden="1" outlineLevel="2" x14ac:dyDescent="0.25">
      <c r="A81" s="29"/>
      <c r="B81" s="11" t="str">
        <f>CONCATENATE("          ", "6303", " - ", "DATA PHONE LINES")</f>
        <v xml:space="preserve">          6303 - DATA PHONE LINES</v>
      </c>
      <c r="C81" s="11"/>
      <c r="D81" s="6"/>
      <c r="E81" s="2"/>
      <c r="F81" s="7">
        <f t="shared" si="52"/>
        <v>0</v>
      </c>
      <c r="G81" s="2"/>
      <c r="H81" s="6">
        <v>100</v>
      </c>
      <c r="I81" s="2"/>
      <c r="J81" s="7">
        <f t="shared" si="53"/>
        <v>6.8799449604403165E-3</v>
      </c>
      <c r="K81" s="2"/>
      <c r="L81" s="6">
        <f t="shared" si="54"/>
        <v>-100</v>
      </c>
      <c r="M81" s="2"/>
      <c r="N81" s="7">
        <f t="shared" si="55"/>
        <v>-1</v>
      </c>
      <c r="O81" s="11"/>
      <c r="P81" s="6"/>
      <c r="Q81" s="2"/>
      <c r="R81" s="7">
        <f t="shared" si="56"/>
        <v>0</v>
      </c>
      <c r="S81" s="2"/>
      <c r="T81" s="6">
        <v>300</v>
      </c>
      <c r="U81" s="2"/>
      <c r="V81" s="7">
        <f t="shared" si="57"/>
        <v>1.5104979608277528E-2</v>
      </c>
      <c r="W81" s="2"/>
      <c r="X81" s="6">
        <f t="shared" si="58"/>
        <v>-300</v>
      </c>
      <c r="Y81" s="2"/>
      <c r="Z81" s="7">
        <f t="shared" si="59"/>
        <v>-1</v>
      </c>
    </row>
    <row r="82" spans="1:26" s="24" customFormat="1" hidden="1" outlineLevel="2" x14ac:dyDescent="0.25">
      <c r="A82" s="29"/>
      <c r="B82" s="11" t="str">
        <f>CONCATENATE("          ", "6309", " - ", "TELEPHONE")</f>
        <v xml:space="preserve">          6309 - TELEPHONE</v>
      </c>
      <c r="C82" s="11"/>
      <c r="D82" s="6">
        <v>100</v>
      </c>
      <c r="E82" s="2"/>
      <c r="F82" s="7">
        <f t="shared" si="52"/>
        <v>1.1240906106959469E-2</v>
      </c>
      <c r="G82" s="2"/>
      <c r="H82" s="6"/>
      <c r="I82" s="2"/>
      <c r="J82" s="7">
        <f t="shared" si="53"/>
        <v>0</v>
      </c>
      <c r="K82" s="2"/>
      <c r="L82" s="6">
        <f t="shared" si="54"/>
        <v>100</v>
      </c>
      <c r="M82" s="2"/>
      <c r="N82" s="7">
        <f t="shared" si="55"/>
        <v>0</v>
      </c>
      <c r="O82" s="11"/>
      <c r="P82" s="6">
        <v>206</v>
      </c>
      <c r="Q82" s="2"/>
      <c r="R82" s="7">
        <f t="shared" si="56"/>
        <v>9.6740775109631708E-3</v>
      </c>
      <c r="S82" s="2"/>
      <c r="T82" s="6"/>
      <c r="U82" s="2"/>
      <c r="V82" s="7">
        <f t="shared" si="57"/>
        <v>0</v>
      </c>
      <c r="W82" s="2"/>
      <c r="X82" s="6">
        <f t="shared" si="58"/>
        <v>206</v>
      </c>
      <c r="Y82" s="2"/>
      <c r="Z82" s="7">
        <f t="shared" si="59"/>
        <v>0</v>
      </c>
    </row>
    <row r="83" spans="1:26" s="28" customFormat="1" outlineLevel="1" collapsed="1" x14ac:dyDescent="0.25">
      <c r="A83" s="27"/>
      <c r="B83" s="14" t="str">
        <f>CONCATENATE("     ","Training                                          ")</f>
        <v xml:space="preserve">     Training                                          </v>
      </c>
      <c r="C83" s="14"/>
      <c r="D83" s="1">
        <f>SUM(OSRRefD22_13x_0)</f>
        <v>0</v>
      </c>
      <c r="E83" s="1"/>
      <c r="F83" s="5">
        <f t="shared" ref="F83:F84" si="60">IF(D$12=0,0,D83/D$12)</f>
        <v>0</v>
      </c>
      <c r="G83" s="1"/>
      <c r="H83" s="1">
        <f>SUM(OSRRefH22_13x_0)</f>
        <v>0</v>
      </c>
      <c r="I83" s="1"/>
      <c r="J83" s="5">
        <f t="shared" ref="J83:J84" si="61">IF(H$12=0,0,H83/H$12)</f>
        <v>0</v>
      </c>
      <c r="K83" s="1"/>
      <c r="L83" s="1">
        <f t="shared" ref="L83:L84" si="62">+D83-H83</f>
        <v>0</v>
      </c>
      <c r="M83" s="1"/>
      <c r="N83" s="5">
        <f t="shared" ref="N83:N84" si="63">IF(H83=0,0,L83/H83)</f>
        <v>0</v>
      </c>
      <c r="O83" s="14"/>
      <c r="P83" s="1">
        <f>SUM(OSRRefP22_13x_0)</f>
        <v>0</v>
      </c>
      <c r="Q83" s="1"/>
      <c r="R83" s="5">
        <f t="shared" ref="R83:R84" si="64">IF(P$12=0,0,P83/P$12)</f>
        <v>0</v>
      </c>
      <c r="S83" s="1"/>
      <c r="T83" s="1">
        <f>SUM(OSRRefT22_13x_0)</f>
        <v>60</v>
      </c>
      <c r="U83" s="1"/>
      <c r="V83" s="5">
        <f t="shared" ref="V83:V84" si="65">IF(T$12=0,0,T83/T$12)</f>
        <v>3.0209959216555057E-3</v>
      </c>
      <c r="W83" s="1"/>
      <c r="X83" s="1">
        <f t="shared" ref="X83:X84" si="66">+P83-T83</f>
        <v>-60</v>
      </c>
      <c r="Y83" s="1"/>
      <c r="Z83" s="5">
        <f t="shared" ref="Z83:Z84" si="67">IF(T83=0,0,X83/T83)</f>
        <v>-1</v>
      </c>
    </row>
    <row r="84" spans="1:26" s="24" customFormat="1" hidden="1" outlineLevel="2" x14ac:dyDescent="0.25">
      <c r="A84" s="29"/>
      <c r="B84" s="11" t="str">
        <f>CONCATENATE("          ", "6376", " - ", "TRAINING")</f>
        <v xml:space="preserve">          6376 - TRAINING</v>
      </c>
      <c r="C84" s="11"/>
      <c r="D84" s="6"/>
      <c r="E84" s="2"/>
      <c r="F84" s="7">
        <f t="shared" si="60"/>
        <v>0</v>
      </c>
      <c r="G84" s="2"/>
      <c r="H84" s="6"/>
      <c r="I84" s="2"/>
      <c r="J84" s="7">
        <f t="shared" si="61"/>
        <v>0</v>
      </c>
      <c r="K84" s="2"/>
      <c r="L84" s="6">
        <f t="shared" si="62"/>
        <v>0</v>
      </c>
      <c r="M84" s="2"/>
      <c r="N84" s="7">
        <f t="shared" si="63"/>
        <v>0</v>
      </c>
      <c r="O84" s="11"/>
      <c r="P84" s="6"/>
      <c r="Q84" s="2"/>
      <c r="R84" s="7">
        <f t="shared" si="64"/>
        <v>0</v>
      </c>
      <c r="S84" s="2"/>
      <c r="T84" s="6">
        <v>60</v>
      </c>
      <c r="U84" s="2"/>
      <c r="V84" s="7">
        <f t="shared" si="65"/>
        <v>3.0209959216555057E-3</v>
      </c>
      <c r="W84" s="2"/>
      <c r="X84" s="6">
        <f t="shared" si="66"/>
        <v>-60</v>
      </c>
      <c r="Y84" s="2"/>
      <c r="Z84" s="7">
        <f t="shared" si="67"/>
        <v>-1</v>
      </c>
    </row>
    <row r="85" spans="1:26" s="61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6" t="s">
        <v>3</v>
      </c>
      <c r="C88" s="26"/>
      <c r="D88" s="20">
        <f>+D32-D34+D86</f>
        <v>147.47999999999956</v>
      </c>
      <c r="E88" s="13"/>
      <c r="F88" s="21">
        <f>IF(D$12=0,0,D88/D$12)</f>
        <v>1.6578088326543776E-2</v>
      </c>
      <c r="G88" s="13"/>
      <c r="H88" s="20">
        <f>+H32-H34+H86</f>
        <v>-3626.904978999999</v>
      </c>
      <c r="I88" s="13"/>
      <c r="J88" s="21">
        <f>IF(H$12=0,0,H88/H$12)</f>
        <v>-0.24952906632266936</v>
      </c>
      <c r="K88" s="16"/>
      <c r="L88" s="20">
        <f>+D88-H88</f>
        <v>3774.3849789999986</v>
      </c>
      <c r="M88" s="16"/>
      <c r="N88" s="21">
        <f>IF(H88=0,0,L88/H88)</f>
        <v>-1.0406627691803114</v>
      </c>
      <c r="O88" s="25"/>
      <c r="P88" s="20">
        <f>+P32-P34+P86</f>
        <v>-3082.6999999999953</v>
      </c>
      <c r="Q88" s="13"/>
      <c r="R88" s="21">
        <f>IF(P$12=0,0,P88/P$12)</f>
        <v>-0.14476834341284525</v>
      </c>
      <c r="S88" s="13"/>
      <c r="T88" s="20">
        <f>+T32-T34+T86</f>
        <v>-19295.467966999997</v>
      </c>
      <c r="U88" s="13"/>
      <c r="V88" s="21">
        <f>IF(T$12=0,0,T88/T$12)</f>
        <v>-0.97152550057902409</v>
      </c>
      <c r="W88" s="16"/>
      <c r="X88" s="20">
        <f>+P88-T88</f>
        <v>16212.767967000002</v>
      </c>
      <c r="Y88" s="16"/>
      <c r="Z88" s="21">
        <f>IF(T88=0,0,X88/T88)</f>
        <v>-0.84023709581585837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1851.59</v>
      </c>
      <c r="E90" s="4"/>
      <c r="F90" s="12">
        <f>IF(D$12=0,0,D90/D$12)</f>
        <v>0.20813549338585083</v>
      </c>
      <c r="G90" s="4"/>
      <c r="H90" s="4">
        <v>1732</v>
      </c>
      <c r="I90" s="4"/>
      <c r="J90" s="12">
        <f>IF(H$12=0,0,H90/H$12)</f>
        <v>0.11916064671482628</v>
      </c>
      <c r="K90" s="4"/>
      <c r="L90" s="4">
        <f>+D90-H90</f>
        <v>119.58999999999992</v>
      </c>
      <c r="M90" s="4"/>
      <c r="N90" s="12">
        <f>IF(H90=0,0,L90/H90)</f>
        <v>6.9047344110854461E-2</v>
      </c>
      <c r="O90" s="10"/>
      <c r="P90" s="4">
        <v>3944.82</v>
      </c>
      <c r="Q90" s="4"/>
      <c r="R90" s="12">
        <f>IF(P$12=0,0,P90/P$12)</f>
        <v>0.18525482741163951</v>
      </c>
      <c r="S90" s="4"/>
      <c r="T90" s="4">
        <v>4975</v>
      </c>
      <c r="U90" s="4"/>
      <c r="V90" s="12">
        <f>IF(T$12=0,0,T90/T$12)</f>
        <v>0.25049091183726901</v>
      </c>
      <c r="W90" s="4"/>
      <c r="X90" s="4">
        <f>+P90-T90</f>
        <v>-1030.1799999999998</v>
      </c>
      <c r="Y90" s="4"/>
      <c r="Z90" s="12">
        <f>IF(T90=0,0,X90/T90)</f>
        <v>-0.20707135678391955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4</v>
      </c>
      <c r="C92" s="26"/>
      <c r="D92" s="33">
        <f>+D88-D90</f>
        <v>-1704.1100000000004</v>
      </c>
      <c r="E92" s="13"/>
      <c r="F92" s="34">
        <f>IF(D$12=0,0,D92/D$12)</f>
        <v>-0.19155740505930707</v>
      </c>
      <c r="G92" s="13"/>
      <c r="H92" s="33">
        <f>+H88-H90</f>
        <v>-5358.904978999999</v>
      </c>
      <c r="I92" s="13"/>
      <c r="J92" s="34">
        <f>IF(H$12=0,0,H92/H$12)</f>
        <v>-0.36868971303749565</v>
      </c>
      <c r="K92" s="16"/>
      <c r="L92" s="33">
        <f>D92-H92</f>
        <v>3654.7949789999984</v>
      </c>
      <c r="M92" s="16"/>
      <c r="N92" s="34">
        <f>IF(H92=0,0,L92/H92)</f>
        <v>-0.68200406488304688</v>
      </c>
      <c r="O92" s="25"/>
      <c r="P92" s="33">
        <f>+P88-P90</f>
        <v>-7027.519999999995</v>
      </c>
      <c r="Q92" s="13"/>
      <c r="R92" s="34">
        <f>IF(P$12=0,0,P92/P$12)</f>
        <v>-0.33002317082448474</v>
      </c>
      <c r="S92" s="13"/>
      <c r="T92" s="33">
        <f>+T88-T90</f>
        <v>-24270.467966999997</v>
      </c>
      <c r="U92" s="13"/>
      <c r="V92" s="34">
        <f>IF(T$12=0,0,T92/T$12)</f>
        <v>-1.2220164124162931</v>
      </c>
      <c r="W92" s="16"/>
      <c r="X92" s="33">
        <f>P92-T92</f>
        <v>17242.947967</v>
      </c>
      <c r="Y92" s="16"/>
      <c r="Z92" s="34">
        <f>IF(T92=0,0,X92/T92)</f>
        <v>-0.71044975277958566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5</v>
      </c>
      <c r="C95" s="26"/>
      <c r="D95" s="31">
        <f>SUM(D92:D94)</f>
        <v>-1704.1100000000004</v>
      </c>
      <c r="E95" s="13"/>
      <c r="F95" s="32">
        <f>IF(D$12=0,0,D95/D$12)</f>
        <v>-0.19155740505930707</v>
      </c>
      <c r="G95" s="13"/>
      <c r="H95" s="31">
        <f>SUM(H92:H94)</f>
        <v>-5358.904978999999</v>
      </c>
      <c r="I95" s="13"/>
      <c r="J95" s="32">
        <f>IF(H$12=0,0,H95/H$12)</f>
        <v>-0.36868971303749565</v>
      </c>
      <c r="K95" s="16"/>
      <c r="L95" s="31">
        <f>+D95-H95</f>
        <v>3654.7949789999984</v>
      </c>
      <c r="M95" s="16"/>
      <c r="N95" s="32">
        <f>IF(H95=0,0,L95/H95)</f>
        <v>-0.68200406488304688</v>
      </c>
      <c r="O95" s="25"/>
      <c r="P95" s="31">
        <f>SUM(P92:P94)</f>
        <v>-7027.519999999995</v>
      </c>
      <c r="Q95" s="13"/>
      <c r="R95" s="32">
        <f>IF(P$12=0,0,P95/P$12)</f>
        <v>-0.33002317082448474</v>
      </c>
      <c r="S95" s="13"/>
      <c r="T95" s="31">
        <f>SUM(T92:T94)</f>
        <v>-24270.467966999997</v>
      </c>
      <c r="U95" s="13"/>
      <c r="V95" s="32">
        <f>IF(T$12=0,0,T95/T$12)</f>
        <v>-1.2220164124162931</v>
      </c>
      <c r="W95" s="16"/>
      <c r="X95" s="31">
        <f>+P95-T95</f>
        <v>17242.947967</v>
      </c>
      <c r="Y95" s="16"/>
      <c r="Z95" s="32">
        <f>IF(T95=0,0,X95/T95)</f>
        <v>-0.71044975277958566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5">
        <v>44123.571926539349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53" t="s">
        <v>314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A99" s="9"/>
      <c r="B99" s="62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25"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303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237375.66999999998</v>
      </c>
      <c r="E12" s="4"/>
      <c r="F12" s="12"/>
      <c r="G12" s="4"/>
      <c r="H12" s="4">
        <f>SUM(OSRRefH13x_0)</f>
        <v>910368</v>
      </c>
      <c r="I12" s="4"/>
      <c r="J12" s="12"/>
      <c r="K12" s="4"/>
      <c r="L12" s="4">
        <f t="shared" ref="L12:L32" si="0">+D12-H12</f>
        <v>-672992.33000000007</v>
      </c>
      <c r="M12" s="4"/>
      <c r="N12" s="12">
        <f t="shared" ref="N12:N32" si="1">IF(H12=0,0,L12/H12)</f>
        <v>-0.73925306030088944</v>
      </c>
      <c r="O12" s="10"/>
      <c r="P12" s="4">
        <f>SUM(OSRRefP13x_0)</f>
        <v>1511522.7900000003</v>
      </c>
      <c r="Q12" s="4"/>
      <c r="R12" s="12"/>
      <c r="S12" s="4"/>
      <c r="T12" s="4">
        <f>SUM(OSRRefT13x_0)</f>
        <v>2523873</v>
      </c>
      <c r="U12" s="4"/>
      <c r="V12" s="12"/>
      <c r="W12" s="4"/>
      <c r="X12" s="4">
        <f t="shared" ref="X12:X32" si="2">+P12-T12</f>
        <v>-1012350.2099999997</v>
      </c>
      <c r="Y12" s="4"/>
      <c r="Z12" s="12">
        <f t="shared" ref="Z12:Z32" si="3">IF(T12=0,0,X12/T12)</f>
        <v>-0.40110980623826942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-965.28</f>
        <v>-965.28</v>
      </c>
      <c r="E13" s="2"/>
      <c r="F13" s="22"/>
      <c r="G13" s="2"/>
      <c r="H13" s="2">
        <v>910368</v>
      </c>
      <c r="I13" s="2"/>
      <c r="J13" s="22"/>
      <c r="K13" s="2"/>
      <c r="L13" s="2">
        <f t="shared" si="0"/>
        <v>-911333.28</v>
      </c>
      <c r="M13" s="2"/>
      <c r="N13" s="22">
        <f t="shared" si="1"/>
        <v>-1.001060318464621</v>
      </c>
      <c r="O13" s="11"/>
      <c r="P13" s="2">
        <f>-4993.54</f>
        <v>-4993.54</v>
      </c>
      <c r="Q13" s="2"/>
      <c r="R13" s="22"/>
      <c r="S13" s="2"/>
      <c r="T13" s="2">
        <v>2523873</v>
      </c>
      <c r="U13" s="2"/>
      <c r="V13" s="22"/>
      <c r="W13" s="2"/>
      <c r="X13" s="2">
        <f t="shared" si="2"/>
        <v>-2528866.54</v>
      </c>
      <c r="Y13" s="2"/>
      <c r="Z13" s="22">
        <f t="shared" si="3"/>
        <v>-1.001978522691118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--110499.32</f>
        <v>110499.32</v>
      </c>
      <c r="E14" s="2"/>
      <c r="F14" s="22"/>
      <c r="G14" s="2"/>
      <c r="H14" s="2"/>
      <c r="I14" s="2"/>
      <c r="J14" s="22"/>
      <c r="K14" s="2"/>
      <c r="L14" s="2">
        <f t="shared" si="0"/>
        <v>110499.32</v>
      </c>
      <c r="M14" s="2"/>
      <c r="N14" s="22">
        <f t="shared" si="1"/>
        <v>0</v>
      </c>
      <c r="O14" s="11"/>
      <c r="P14" s="2">
        <f>--694696.64</f>
        <v>694696.64</v>
      </c>
      <c r="Q14" s="2"/>
      <c r="R14" s="22"/>
      <c r="S14" s="2"/>
      <c r="T14" s="2"/>
      <c r="U14" s="2"/>
      <c r="V14" s="22"/>
      <c r="W14" s="2"/>
      <c r="X14" s="2">
        <f t="shared" si="2"/>
        <v>694696.64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--38043.74</f>
        <v>38043.74</v>
      </c>
      <c r="E15" s="2"/>
      <c r="F15" s="22"/>
      <c r="G15" s="2"/>
      <c r="H15" s="2"/>
      <c r="I15" s="2"/>
      <c r="J15" s="22"/>
      <c r="K15" s="2"/>
      <c r="L15" s="2">
        <f t="shared" si="0"/>
        <v>38043.74</v>
      </c>
      <c r="M15" s="2"/>
      <c r="N15" s="22">
        <f t="shared" si="1"/>
        <v>0</v>
      </c>
      <c r="O15" s="11"/>
      <c r="P15" s="2">
        <f>--316655.9</f>
        <v>316655.90000000002</v>
      </c>
      <c r="Q15" s="2"/>
      <c r="R15" s="22"/>
      <c r="S15" s="2"/>
      <c r="T15" s="2"/>
      <c r="U15" s="2"/>
      <c r="V15" s="22"/>
      <c r="W15" s="2"/>
      <c r="X15" s="2">
        <f t="shared" si="2"/>
        <v>316655.90000000002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22"/>
      <c r="G16" s="2"/>
      <c r="H16" s="2"/>
      <c r="I16" s="2"/>
      <c r="J16" s="22"/>
      <c r="K16" s="2"/>
      <c r="L16" s="2">
        <f t="shared" si="0"/>
        <v>1539.79</v>
      </c>
      <c r="M16" s="2"/>
      <c r="N16" s="22">
        <f t="shared" si="1"/>
        <v>0</v>
      </c>
      <c r="O16" s="11"/>
      <c r="P16" s="2">
        <f>--10595.63</f>
        <v>10595.63</v>
      </c>
      <c r="Q16" s="2"/>
      <c r="R16" s="22"/>
      <c r="S16" s="2"/>
      <c r="T16" s="2"/>
      <c r="U16" s="2"/>
      <c r="V16" s="22"/>
      <c r="W16" s="2"/>
      <c r="X16" s="2">
        <f t="shared" si="2"/>
        <v>10595.63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22"/>
      <c r="G17" s="2"/>
      <c r="H17" s="2"/>
      <c r="I17" s="2"/>
      <c r="J17" s="22"/>
      <c r="K17" s="2"/>
      <c r="L17" s="2">
        <f t="shared" si="0"/>
        <v>284.22000000000003</v>
      </c>
      <c r="M17" s="2"/>
      <c r="N17" s="22">
        <f t="shared" si="1"/>
        <v>0</v>
      </c>
      <c r="O17" s="11"/>
      <c r="P17" s="2">
        <f>--2105.11</f>
        <v>2105.11</v>
      </c>
      <c r="Q17" s="2"/>
      <c r="R17" s="22"/>
      <c r="S17" s="2"/>
      <c r="T17" s="2"/>
      <c r="U17" s="2"/>
      <c r="V17" s="22"/>
      <c r="W17" s="2"/>
      <c r="X17" s="2">
        <f t="shared" si="2"/>
        <v>2105.11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--39.9</f>
        <v>39.9</v>
      </c>
      <c r="Q18" s="2"/>
      <c r="R18" s="22"/>
      <c r="S18" s="2"/>
      <c r="T18" s="2"/>
      <c r="U18" s="2"/>
      <c r="V18" s="22"/>
      <c r="W18" s="2"/>
      <c r="X18" s="2">
        <f t="shared" si="2"/>
        <v>39.9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--97.51</f>
        <v>97.51</v>
      </c>
      <c r="E19" s="2"/>
      <c r="F19" s="22"/>
      <c r="G19" s="2"/>
      <c r="H19" s="2"/>
      <c r="I19" s="2"/>
      <c r="J19" s="22"/>
      <c r="K19" s="2"/>
      <c r="L19" s="2">
        <f t="shared" si="0"/>
        <v>97.51</v>
      </c>
      <c r="M19" s="2"/>
      <c r="N19" s="22">
        <f t="shared" si="1"/>
        <v>0</v>
      </c>
      <c r="O19" s="11"/>
      <c r="P19" s="2">
        <f>--304.44</f>
        <v>304.44</v>
      </c>
      <c r="Q19" s="2"/>
      <c r="R19" s="22"/>
      <c r="S19" s="2"/>
      <c r="T19" s="2"/>
      <c r="U19" s="2"/>
      <c r="V19" s="22"/>
      <c r="W19" s="2"/>
      <c r="X19" s="2">
        <f t="shared" si="2"/>
        <v>304.44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--48.87</f>
        <v>48.87</v>
      </c>
      <c r="E20" s="2"/>
      <c r="F20" s="22"/>
      <c r="G20" s="2"/>
      <c r="H20" s="2"/>
      <c r="I20" s="2"/>
      <c r="J20" s="22"/>
      <c r="K20" s="2"/>
      <c r="L20" s="2">
        <f t="shared" si="0"/>
        <v>48.87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"4100", " - ", "NON-TAXABLE SALES")</f>
        <v xml:space="preserve">          4100 - NON-TAXABLE SALES</v>
      </c>
      <c r="C21" s="11"/>
      <c r="D21" s="2">
        <f>--10945.69</f>
        <v>10945.69</v>
      </c>
      <c r="E21" s="2"/>
      <c r="F21" s="22"/>
      <c r="G21" s="2"/>
      <c r="H21" s="2"/>
      <c r="I21" s="2"/>
      <c r="J21" s="22"/>
      <c r="K21" s="2"/>
      <c r="L21" s="2">
        <f t="shared" si="0"/>
        <v>10945.69</v>
      </c>
      <c r="M21" s="2"/>
      <c r="N21" s="22">
        <f t="shared" si="1"/>
        <v>0</v>
      </c>
      <c r="O21" s="11"/>
      <c r="P21" s="2">
        <f>--164344.02</f>
        <v>164344.01999999999</v>
      </c>
      <c r="Q21" s="2"/>
      <c r="R21" s="22"/>
      <c r="S21" s="2"/>
      <c r="T21" s="2"/>
      <c r="U21" s="2"/>
      <c r="V21" s="22"/>
      <c r="W21" s="2"/>
      <c r="X21" s="2">
        <f t="shared" si="2"/>
        <v>164344.01999999999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"4101", " - ", "NON-TAXABLE SALES-NEW TEXT")</f>
        <v xml:space="preserve">          4101 - NON-TAXABLE SALES-NEW TEXT</v>
      </c>
      <c r="C22" s="11"/>
      <c r="D22" s="2">
        <f>--18824.16</f>
        <v>18824.16</v>
      </c>
      <c r="E22" s="2"/>
      <c r="F22" s="22"/>
      <c r="G22" s="2"/>
      <c r="H22" s="2"/>
      <c r="I22" s="2"/>
      <c r="J22" s="22"/>
      <c r="K22" s="2"/>
      <c r="L22" s="2">
        <f t="shared" si="0"/>
        <v>18824.16</v>
      </c>
      <c r="M22" s="2"/>
      <c r="N22" s="22">
        <f t="shared" si="1"/>
        <v>0</v>
      </c>
      <c r="O22" s="11"/>
      <c r="P22" s="2">
        <f>--70404.84</f>
        <v>70404.84</v>
      </c>
      <c r="Q22" s="2"/>
      <c r="R22" s="22"/>
      <c r="S22" s="2"/>
      <c r="T22" s="2"/>
      <c r="U22" s="2"/>
      <c r="V22" s="22"/>
      <c r="W22" s="2"/>
      <c r="X22" s="2">
        <f t="shared" si="2"/>
        <v>70404.84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"4102", " - ", "NON-TAXABLE SALES-USED TEXT")</f>
        <v xml:space="preserve">          4102 - NON-TAXABLE SALES-USED TEXT</v>
      </c>
      <c r="C23" s="11"/>
      <c r="D23" s="2">
        <f>--8807.08</f>
        <v>8807.08</v>
      </c>
      <c r="E23" s="2"/>
      <c r="F23" s="22"/>
      <c r="G23" s="2"/>
      <c r="H23" s="2"/>
      <c r="I23" s="2"/>
      <c r="J23" s="22"/>
      <c r="K23" s="2"/>
      <c r="L23" s="2">
        <f t="shared" si="0"/>
        <v>8807.08</v>
      </c>
      <c r="M23" s="2"/>
      <c r="N23" s="22">
        <f t="shared" si="1"/>
        <v>0</v>
      </c>
      <c r="O23" s="11"/>
      <c r="P23" s="2">
        <f>--30370.82</f>
        <v>30370.82</v>
      </c>
      <c r="Q23" s="2"/>
      <c r="R23" s="22"/>
      <c r="S23" s="2"/>
      <c r="T23" s="2"/>
      <c r="U23" s="2"/>
      <c r="V23" s="22"/>
      <c r="W23" s="2"/>
      <c r="X23" s="2">
        <f t="shared" si="2"/>
        <v>30370.82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--284.97</f>
        <v>284.97000000000003</v>
      </c>
      <c r="E24" s="2"/>
      <c r="F24" s="22"/>
      <c r="G24" s="2"/>
      <c r="H24" s="2"/>
      <c r="I24" s="2"/>
      <c r="J24" s="22"/>
      <c r="K24" s="2"/>
      <c r="L24" s="2">
        <f t="shared" si="0"/>
        <v>284.97000000000003</v>
      </c>
      <c r="M24" s="2"/>
      <c r="N24" s="22">
        <f t="shared" si="1"/>
        <v>0</v>
      </c>
      <c r="O24" s="11"/>
      <c r="P24" s="2">
        <f>--284.97</f>
        <v>284.97000000000003</v>
      </c>
      <c r="Q24" s="2"/>
      <c r="R24" s="22"/>
      <c r="S24" s="2"/>
      <c r="T24" s="2"/>
      <c r="U24" s="2"/>
      <c r="V24" s="22"/>
      <c r="W24" s="2"/>
      <c r="X24" s="2">
        <f t="shared" si="2"/>
        <v>284.97000000000003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--73817.67</f>
        <v>73817.67</v>
      </c>
      <c r="E25" s="2"/>
      <c r="F25" s="22"/>
      <c r="G25" s="2"/>
      <c r="H25" s="2"/>
      <c r="I25" s="2"/>
      <c r="J25" s="22"/>
      <c r="K25" s="2"/>
      <c r="L25" s="2">
        <f t="shared" si="0"/>
        <v>73817.67</v>
      </c>
      <c r="M25" s="2"/>
      <c r="N25" s="22">
        <f t="shared" si="1"/>
        <v>0</v>
      </c>
      <c r="O25" s="11"/>
      <c r="P25" s="2">
        <f>--286707.85</f>
        <v>286707.84999999998</v>
      </c>
      <c r="Q25" s="2"/>
      <c r="R25" s="22"/>
      <c r="S25" s="2"/>
      <c r="T25" s="2"/>
      <c r="U25" s="2"/>
      <c r="V25" s="22"/>
      <c r="W25" s="2"/>
      <c r="X25" s="2">
        <f t="shared" si="2"/>
        <v>286707.84999999998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"4118", " - ", "NON-TAXABLE SALES-STUDY GUIDES")</f>
        <v xml:space="preserve">          4118 - NON-TAXABLE SALES-STUDY GUIDES</v>
      </c>
      <c r="C26" s="11"/>
      <c r="D26" s="2">
        <f>--6.5</f>
        <v>6.5</v>
      </c>
      <c r="E26" s="2"/>
      <c r="F26" s="22"/>
      <c r="G26" s="2"/>
      <c r="H26" s="2"/>
      <c r="I26" s="2"/>
      <c r="J26" s="22"/>
      <c r="K26" s="2"/>
      <c r="L26" s="2">
        <f t="shared" si="0"/>
        <v>6.5</v>
      </c>
      <c r="M26" s="2"/>
      <c r="N26" s="22">
        <f t="shared" si="1"/>
        <v>0</v>
      </c>
      <c r="O26" s="11"/>
      <c r="P26" s="2">
        <f>--108.33</f>
        <v>108.33</v>
      </c>
      <c r="Q26" s="2"/>
      <c r="R26" s="22"/>
      <c r="S26" s="2"/>
      <c r="T26" s="2"/>
      <c r="U26" s="2"/>
      <c r="V26" s="22"/>
      <c r="W26" s="2"/>
      <c r="X26" s="2">
        <f t="shared" si="2"/>
        <v>108.33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"4201", " - ", "SALES RETURN TAXABLE-NEW TEXT")</f>
        <v xml:space="preserve">          4201 - SALES RETURN TAXABLE-NEW TEXT</v>
      </c>
      <c r="C27" s="11"/>
      <c r="D27" s="2">
        <f>-13393.2</f>
        <v>-13393.2</v>
      </c>
      <c r="E27" s="2"/>
      <c r="F27" s="22"/>
      <c r="G27" s="2"/>
      <c r="H27" s="2"/>
      <c r="I27" s="2"/>
      <c r="J27" s="22"/>
      <c r="K27" s="2"/>
      <c r="L27" s="2">
        <f t="shared" si="0"/>
        <v>-13393.2</v>
      </c>
      <c r="M27" s="2"/>
      <c r="N27" s="22">
        <f t="shared" si="1"/>
        <v>0</v>
      </c>
      <c r="O27" s="11"/>
      <c r="P27" s="2">
        <f>-32248.99</f>
        <v>-32248.99</v>
      </c>
      <c r="Q27" s="2"/>
      <c r="R27" s="22"/>
      <c r="S27" s="2"/>
      <c r="T27" s="2"/>
      <c r="U27" s="2"/>
      <c r="V27" s="22"/>
      <c r="W27" s="2"/>
      <c r="X27" s="2">
        <f t="shared" si="2"/>
        <v>-32248.99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"4202", " - ", "SALES RETURN TAXABLE-USED TEXT")</f>
        <v xml:space="preserve">          4202 - SALES RETURN TAXABLE-USED TEXT</v>
      </c>
      <c r="C28" s="11"/>
      <c r="D28" s="2">
        <f>-1345.2</f>
        <v>-1345.2</v>
      </c>
      <c r="E28" s="2"/>
      <c r="F28" s="22"/>
      <c r="G28" s="2"/>
      <c r="H28" s="2"/>
      <c r="I28" s="2"/>
      <c r="J28" s="22"/>
      <c r="K28" s="2"/>
      <c r="L28" s="2">
        <f t="shared" si="0"/>
        <v>-1345.2</v>
      </c>
      <c r="M28" s="2"/>
      <c r="N28" s="22">
        <f t="shared" si="1"/>
        <v>0</v>
      </c>
      <c r="O28" s="11"/>
      <c r="P28" s="2">
        <f>-10392.95</f>
        <v>-10392.950000000001</v>
      </c>
      <c r="Q28" s="2"/>
      <c r="R28" s="22"/>
      <c r="S28" s="2"/>
      <c r="T28" s="2"/>
      <c r="U28" s="2"/>
      <c r="V28" s="22"/>
      <c r="W28" s="2"/>
      <c r="X28" s="2">
        <f t="shared" si="2"/>
        <v>-10392.950000000001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"4204", " - ", "SALES RETURN TAXABLE-DIGITAL T")</f>
        <v xml:space="preserve">          4204 - SALES RETURN TAXABLE-DIGITAL T</v>
      </c>
      <c r="C29" s="11"/>
      <c r="D29" s="2">
        <f>-105.87</f>
        <v>-105.87</v>
      </c>
      <c r="E29" s="2"/>
      <c r="F29" s="22"/>
      <c r="G29" s="2"/>
      <c r="H29" s="2"/>
      <c r="I29" s="2"/>
      <c r="J29" s="22"/>
      <c r="K29" s="2"/>
      <c r="L29" s="2">
        <f t="shared" si="0"/>
        <v>-105.87</v>
      </c>
      <c r="M29" s="2"/>
      <c r="N29" s="22">
        <f t="shared" si="1"/>
        <v>0</v>
      </c>
      <c r="O29" s="11"/>
      <c r="P29" s="2">
        <f>-1246.95</f>
        <v>-1246.95</v>
      </c>
      <c r="Q29" s="2"/>
      <c r="R29" s="22"/>
      <c r="S29" s="2"/>
      <c r="T29" s="2"/>
      <c r="U29" s="2"/>
      <c r="V29" s="22"/>
      <c r="W29" s="2"/>
      <c r="X29" s="2">
        <f t="shared" si="2"/>
        <v>-1246.95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"4301", " - ", "SALES RETURN NON TAXABLE-NEW T")</f>
        <v xml:space="preserve">          4301 - SALES RETURN NON TAXABLE-NEW T</v>
      </c>
      <c r="C30" s="11"/>
      <c r="D30" s="2">
        <f>-1820.43</f>
        <v>-1820.43</v>
      </c>
      <c r="E30" s="2"/>
      <c r="F30" s="22"/>
      <c r="G30" s="2"/>
      <c r="H30" s="2"/>
      <c r="I30" s="2"/>
      <c r="J30" s="22"/>
      <c r="K30" s="2"/>
      <c r="L30" s="2">
        <f t="shared" si="0"/>
        <v>-1820.43</v>
      </c>
      <c r="M30" s="2"/>
      <c r="N30" s="22">
        <f t="shared" si="1"/>
        <v>0</v>
      </c>
      <c r="O30" s="11"/>
      <c r="P30" s="2">
        <f>-1840.68</f>
        <v>-1840.68</v>
      </c>
      <c r="Q30" s="2"/>
      <c r="R30" s="22"/>
      <c r="S30" s="2"/>
      <c r="T30" s="2"/>
      <c r="U30" s="2"/>
      <c r="V30" s="22"/>
      <c r="W30" s="2"/>
      <c r="X30" s="2">
        <f t="shared" si="2"/>
        <v>-1840.68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"4302", " - ", "SALES RETURN NON TAXABLE-TEXT")</f>
        <v xml:space="preserve">          4302 - SALES RETURN NON TAXABLE-TEXT</v>
      </c>
      <c r="C31" s="11"/>
      <c r="D31" s="2">
        <f>-737.24</f>
        <v>-737.24</v>
      </c>
      <c r="E31" s="2"/>
      <c r="F31" s="22"/>
      <c r="G31" s="2"/>
      <c r="H31" s="2"/>
      <c r="I31" s="2"/>
      <c r="J31" s="22"/>
      <c r="K31" s="2"/>
      <c r="L31" s="2">
        <f t="shared" si="0"/>
        <v>-737.24</v>
      </c>
      <c r="M31" s="2"/>
      <c r="N31" s="22">
        <f t="shared" si="1"/>
        <v>0</v>
      </c>
      <c r="O31" s="11"/>
      <c r="P31" s="2">
        <f>-1147.08</f>
        <v>-1147.08</v>
      </c>
      <c r="Q31" s="2"/>
      <c r="R31" s="22"/>
      <c r="S31" s="2"/>
      <c r="T31" s="2"/>
      <c r="U31" s="2"/>
      <c r="V31" s="22"/>
      <c r="W31" s="2"/>
      <c r="X31" s="2">
        <f t="shared" si="2"/>
        <v>-1147.08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"4304", " - ", "SALES RETURN NON TAXABLE-DIGIT")</f>
        <v xml:space="preserve">          4304 - SALES RETURN NON TAXABLE-DIGIT</v>
      </c>
      <c r="C32" s="11"/>
      <c r="D32" s="2">
        <f>-7456.63</f>
        <v>-7456.63</v>
      </c>
      <c r="E32" s="2"/>
      <c r="F32" s="22"/>
      <c r="G32" s="2"/>
      <c r="H32" s="2"/>
      <c r="I32" s="2"/>
      <c r="J32" s="22"/>
      <c r="K32" s="2"/>
      <c r="L32" s="2">
        <f t="shared" si="0"/>
        <v>-7456.63</v>
      </c>
      <c r="M32" s="2"/>
      <c r="N32" s="22">
        <f t="shared" si="1"/>
        <v>0</v>
      </c>
      <c r="O32" s="11"/>
      <c r="P32" s="2">
        <f>-13409.36</f>
        <v>-13409.36</v>
      </c>
      <c r="Q32" s="2"/>
      <c r="R32" s="22"/>
      <c r="S32" s="2"/>
      <c r="T32" s="2"/>
      <c r="U32" s="2"/>
      <c r="V32" s="22"/>
      <c r="W32" s="2"/>
      <c r="X32" s="2">
        <f t="shared" si="2"/>
        <v>-13409.36</v>
      </c>
      <c r="Y32" s="2"/>
      <c r="Z32" s="22">
        <f t="shared" si="3"/>
        <v>0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collapsed="1" x14ac:dyDescent="0.25">
      <c r="A34" s="10"/>
      <c r="B34" s="25" t="s">
        <v>8</v>
      </c>
      <c r="C34" s="10"/>
      <c r="D34" s="4">
        <f>SUM(OSRRefD16x_0)</f>
        <v>157316.49999999988</v>
      </c>
      <c r="E34" s="4"/>
      <c r="F34" s="12">
        <f t="shared" ref="F34:F46" si="4">IF(D$12=0,0,D34/D$12)</f>
        <v>0.66273219997651778</v>
      </c>
      <c r="G34" s="4"/>
      <c r="H34" s="4">
        <f>SUM(OSRRefH16x_0)</f>
        <v>666510</v>
      </c>
      <c r="I34" s="4"/>
      <c r="J34" s="12">
        <f t="shared" ref="J34:J46" si="5">IF(H$12=0,0,H34/H$12)</f>
        <v>0.73213250026362964</v>
      </c>
      <c r="K34" s="4"/>
      <c r="L34" s="4">
        <f t="shared" ref="L34:L46" si="6">+D34-H34</f>
        <v>-509193.50000000012</v>
      </c>
      <c r="M34" s="4"/>
      <c r="N34" s="12">
        <f t="shared" ref="N34:N46" si="7">IF(H34=0,0,L34/H34)</f>
        <v>-0.76396978289898143</v>
      </c>
      <c r="O34" s="10"/>
      <c r="P34" s="4">
        <f>SUM(OSRRefP16x_0)</f>
        <v>1080495.8399999999</v>
      </c>
      <c r="Q34" s="4"/>
      <c r="R34" s="12">
        <f t="shared" ref="R34:R46" si="8">IF(P$12=0,0,P34/P$12)</f>
        <v>0.71483926484495786</v>
      </c>
      <c r="S34" s="4"/>
      <c r="T34" s="4">
        <f>SUM(OSRRefT16x_0)</f>
        <v>1838094</v>
      </c>
      <c r="U34" s="4"/>
      <c r="V34" s="12">
        <f t="shared" ref="V34:V46" si="9">IF(T$12=0,0,T34/T$12)</f>
        <v>0.7282830792199132</v>
      </c>
      <c r="W34" s="4"/>
      <c r="X34" s="4">
        <f t="shared" ref="X34:X46" si="10">+P34-T34</f>
        <v>-757598.16000000015</v>
      </c>
      <c r="Y34" s="4"/>
      <c r="Z34" s="12">
        <f t="shared" ref="Z34:Z46" si="11">IF(T34=0,0,X34/T34)</f>
        <v>-0.41216507969668587</v>
      </c>
    </row>
    <row r="35" spans="1:26" s="24" customFormat="1" hidden="1" outlineLevel="1" x14ac:dyDescent="0.25">
      <c r="A35" s="51"/>
      <c r="B35" s="11" t="str">
        <f>CONCATENATE("          ", "5000", " - ", "PURCHASES @ COST")</f>
        <v xml:space="preserve">          5000 - PURCHASES @ COST</v>
      </c>
      <c r="C35" s="11"/>
      <c r="D35" s="2"/>
      <c r="E35" s="2"/>
      <c r="F35" s="22">
        <f t="shared" si="4"/>
        <v>0</v>
      </c>
      <c r="G35" s="2"/>
      <c r="H35" s="2">
        <v>666510</v>
      </c>
      <c r="I35" s="2"/>
      <c r="J35" s="22">
        <f t="shared" si="5"/>
        <v>0.73213250026362964</v>
      </c>
      <c r="K35" s="2"/>
      <c r="L35" s="2">
        <f t="shared" si="6"/>
        <v>-666510</v>
      </c>
      <c r="M35" s="2"/>
      <c r="N35" s="22">
        <f t="shared" si="7"/>
        <v>-1</v>
      </c>
      <c r="O35" s="11"/>
      <c r="P35" s="2"/>
      <c r="Q35" s="2"/>
      <c r="R35" s="22">
        <f t="shared" si="8"/>
        <v>0</v>
      </c>
      <c r="S35" s="2"/>
      <c r="T35" s="2">
        <v>1838094</v>
      </c>
      <c r="U35" s="2"/>
      <c r="V35" s="22">
        <f t="shared" si="9"/>
        <v>0.7282830792199132</v>
      </c>
      <c r="W35" s="2"/>
      <c r="X35" s="2">
        <f t="shared" si="10"/>
        <v>-1838094</v>
      </c>
      <c r="Y35" s="2"/>
      <c r="Z35" s="22">
        <f t="shared" si="11"/>
        <v>-1</v>
      </c>
    </row>
    <row r="36" spans="1:26" s="24" customFormat="1" hidden="1" outlineLevel="1" x14ac:dyDescent="0.25">
      <c r="A36" s="51"/>
      <c r="B36" s="11" t="str">
        <f>CONCATENATE("          ", "5001", " - ", "PURCHASES @ COST-NEW TEXT")</f>
        <v xml:space="preserve">          5001 - PURCHASES @ COST-NEW TEXT</v>
      </c>
      <c r="C36" s="11"/>
      <c r="D36" s="2">
        <v>602088.99</v>
      </c>
      <c r="E36" s="2"/>
      <c r="F36" s="22">
        <f t="shared" si="4"/>
        <v>2.5364393494918835</v>
      </c>
      <c r="G36" s="2"/>
      <c r="H36" s="2"/>
      <c r="I36" s="2"/>
      <c r="J36" s="22">
        <f t="shared" si="5"/>
        <v>0</v>
      </c>
      <c r="K36" s="2"/>
      <c r="L36" s="2">
        <f t="shared" si="6"/>
        <v>602088.99</v>
      </c>
      <c r="M36" s="2"/>
      <c r="N36" s="22">
        <f t="shared" si="7"/>
        <v>0</v>
      </c>
      <c r="O36" s="11"/>
      <c r="P36" s="2">
        <v>1293421.76</v>
      </c>
      <c r="Q36" s="2"/>
      <c r="R36" s="22">
        <f t="shared" si="8"/>
        <v>0.85570774622591017</v>
      </c>
      <c r="S36" s="2"/>
      <c r="T36" s="2"/>
      <c r="U36" s="2"/>
      <c r="V36" s="22">
        <f t="shared" si="9"/>
        <v>0</v>
      </c>
      <c r="W36" s="2"/>
      <c r="X36" s="2">
        <f t="shared" si="10"/>
        <v>1293421.76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"5002", " - ", "PURCHASES @ COST-USED TEXT")</f>
        <v xml:space="preserve">          5002 - PURCHASES @ COST-USED TEXT</v>
      </c>
      <c r="C37" s="11"/>
      <c r="D37" s="2">
        <v>108363.86</v>
      </c>
      <c r="E37" s="2"/>
      <c r="F37" s="22">
        <f t="shared" si="4"/>
        <v>0.45650786367448698</v>
      </c>
      <c r="G37" s="2"/>
      <c r="H37" s="2"/>
      <c r="I37" s="2"/>
      <c r="J37" s="22">
        <f t="shared" si="5"/>
        <v>0</v>
      </c>
      <c r="K37" s="2"/>
      <c r="L37" s="2">
        <f t="shared" si="6"/>
        <v>108363.86</v>
      </c>
      <c r="M37" s="2"/>
      <c r="N37" s="22">
        <f t="shared" si="7"/>
        <v>0</v>
      </c>
      <c r="O37" s="11"/>
      <c r="P37" s="2">
        <v>296731.38</v>
      </c>
      <c r="Q37" s="2"/>
      <c r="R37" s="22">
        <f t="shared" si="8"/>
        <v>0.19631287200108968</v>
      </c>
      <c r="S37" s="2"/>
      <c r="T37" s="2"/>
      <c r="U37" s="2"/>
      <c r="V37" s="22">
        <f t="shared" si="9"/>
        <v>0</v>
      </c>
      <c r="W37" s="2"/>
      <c r="X37" s="2">
        <f t="shared" si="10"/>
        <v>296731.38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"5003", " - ", "PURCHASES @ COST-RENTAL TEXT")</f>
        <v xml:space="preserve">          5003 - PURCHASES @ COST-RENTAL TEXT</v>
      </c>
      <c r="C38" s="11"/>
      <c r="D38" s="2">
        <v>781.74</v>
      </c>
      <c r="E38" s="2"/>
      <c r="F38" s="22">
        <f t="shared" si="4"/>
        <v>3.2932608468256249E-3</v>
      </c>
      <c r="G38" s="2"/>
      <c r="H38" s="2"/>
      <c r="I38" s="2"/>
      <c r="J38" s="22">
        <f t="shared" si="5"/>
        <v>0</v>
      </c>
      <c r="K38" s="2"/>
      <c r="L38" s="2">
        <f t="shared" si="6"/>
        <v>781.74</v>
      </c>
      <c r="M38" s="2"/>
      <c r="N38" s="22">
        <f t="shared" si="7"/>
        <v>0</v>
      </c>
      <c r="O38" s="11"/>
      <c r="P38" s="2">
        <v>-11086.1</v>
      </c>
      <c r="Q38" s="2"/>
      <c r="R38" s="22">
        <f t="shared" si="8"/>
        <v>-7.3343915641523334E-3</v>
      </c>
      <c r="S38" s="2"/>
      <c r="T38" s="2"/>
      <c r="U38" s="2"/>
      <c r="V38" s="22">
        <f t="shared" si="9"/>
        <v>0</v>
      </c>
      <c r="W38" s="2"/>
      <c r="X38" s="2">
        <f t="shared" si="10"/>
        <v>-11086.1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"5004", " - ", "PURCHASES @ COST-DIGITAL TEXT")</f>
        <v xml:space="preserve">          5004 - PURCHASES @ COST-DIGITAL TEXT</v>
      </c>
      <c r="C39" s="11"/>
      <c r="D39" s="2">
        <v>60186.1</v>
      </c>
      <c r="E39" s="2"/>
      <c r="F39" s="22">
        <f t="shared" si="4"/>
        <v>0.25354788888010299</v>
      </c>
      <c r="G39" s="2"/>
      <c r="H39" s="2"/>
      <c r="I39" s="2"/>
      <c r="J39" s="22">
        <f t="shared" si="5"/>
        <v>0</v>
      </c>
      <c r="K39" s="2"/>
      <c r="L39" s="2">
        <f t="shared" si="6"/>
        <v>60186.1</v>
      </c>
      <c r="M39" s="2"/>
      <c r="N39" s="22">
        <f t="shared" si="7"/>
        <v>0</v>
      </c>
      <c r="O39" s="11"/>
      <c r="P39" s="2">
        <v>182616.07</v>
      </c>
      <c r="Q39" s="2"/>
      <c r="R39" s="22">
        <f t="shared" si="8"/>
        <v>0.12081595541142981</v>
      </c>
      <c r="S39" s="2"/>
      <c r="T39" s="2"/>
      <c r="U39" s="2"/>
      <c r="V39" s="22">
        <f t="shared" si="9"/>
        <v>0</v>
      </c>
      <c r="W39" s="2"/>
      <c r="X39" s="2">
        <f t="shared" si="10"/>
        <v>182616.07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"5013", " - ", "PURCHASES @ COST-TRADE BOOKS")</f>
        <v xml:space="preserve">          5013 - PURCHASES @ COST-TRADE BOOKS</v>
      </c>
      <c r="C40" s="11"/>
      <c r="D40" s="2">
        <v>-9.36</v>
      </c>
      <c r="E40" s="2"/>
      <c r="F40" s="22">
        <f t="shared" si="4"/>
        <v>-3.9431168324875084E-5</v>
      </c>
      <c r="G40" s="2"/>
      <c r="H40" s="2"/>
      <c r="I40" s="2"/>
      <c r="J40" s="22">
        <f t="shared" si="5"/>
        <v>0</v>
      </c>
      <c r="K40" s="2"/>
      <c r="L40" s="2">
        <f t="shared" si="6"/>
        <v>-9.36</v>
      </c>
      <c r="M40" s="2"/>
      <c r="N40" s="22">
        <f t="shared" si="7"/>
        <v>0</v>
      </c>
      <c r="O40" s="11"/>
      <c r="P40" s="2">
        <v>99.18</v>
      </c>
      <c r="Q40" s="2"/>
      <c r="R40" s="22">
        <f t="shared" si="8"/>
        <v>6.5615947477708881E-5</v>
      </c>
      <c r="S40" s="2"/>
      <c r="T40" s="2"/>
      <c r="U40" s="2"/>
      <c r="V40" s="22">
        <f t="shared" si="9"/>
        <v>0</v>
      </c>
      <c r="W40" s="2"/>
      <c r="X40" s="2">
        <f t="shared" si="10"/>
        <v>99.18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"5014", " - ", "PURCHASES @ COST-REMAINDERS")</f>
        <v xml:space="preserve">          5014 - PURCHASES @ COST-REMAINDERS</v>
      </c>
      <c r="C41" s="11"/>
      <c r="D41" s="2"/>
      <c r="E41" s="2"/>
      <c r="F41" s="22">
        <f t="shared" si="4"/>
        <v>0</v>
      </c>
      <c r="G41" s="2"/>
      <c r="H41" s="2"/>
      <c r="I41" s="2"/>
      <c r="J41" s="22">
        <f t="shared" si="5"/>
        <v>0</v>
      </c>
      <c r="K41" s="2"/>
      <c r="L41" s="2">
        <f t="shared" si="6"/>
        <v>0</v>
      </c>
      <c r="M41" s="2"/>
      <c r="N41" s="22">
        <f t="shared" si="7"/>
        <v>0</v>
      </c>
      <c r="O41" s="11"/>
      <c r="P41" s="2">
        <v>-12.51</v>
      </c>
      <c r="Q41" s="2"/>
      <c r="R41" s="22">
        <f t="shared" si="8"/>
        <v>-8.2764216872972176E-6</v>
      </c>
      <c r="S41" s="2"/>
      <c r="T41" s="2"/>
      <c r="U41" s="2"/>
      <c r="V41" s="22">
        <f t="shared" si="9"/>
        <v>0</v>
      </c>
      <c r="W41" s="2"/>
      <c r="X41" s="2">
        <f t="shared" si="10"/>
        <v>-12.51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"5200", " - ", "PURCHASES OFFSET")</f>
        <v xml:space="preserve">          5200 - PURCHASES OFFSET</v>
      </c>
      <c r="C42" s="11"/>
      <c r="D42" s="2">
        <v>-757174.69000000006</v>
      </c>
      <c r="E42" s="2"/>
      <c r="F42" s="22">
        <f t="shared" si="4"/>
        <v>-3.1897737876843069</v>
      </c>
      <c r="G42" s="2"/>
      <c r="H42" s="2"/>
      <c r="I42" s="2"/>
      <c r="J42" s="22">
        <f t="shared" si="5"/>
        <v>0</v>
      </c>
      <c r="K42" s="2"/>
      <c r="L42" s="2">
        <f t="shared" si="6"/>
        <v>-757174.69000000006</v>
      </c>
      <c r="M42" s="2"/>
      <c r="N42" s="22">
        <f t="shared" si="7"/>
        <v>0</v>
      </c>
      <c r="O42" s="11"/>
      <c r="P42" s="2">
        <v>-1438527.6300000001</v>
      </c>
      <c r="Q42" s="2"/>
      <c r="R42" s="22">
        <f t="shared" si="8"/>
        <v>-0.95170753594790314</v>
      </c>
      <c r="S42" s="2"/>
      <c r="T42" s="2"/>
      <c r="U42" s="2"/>
      <c r="V42" s="22">
        <f t="shared" si="9"/>
        <v>0</v>
      </c>
      <c r="W42" s="2"/>
      <c r="X42" s="2">
        <f t="shared" si="10"/>
        <v>-1438527.6300000001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"5300", " - ", "COG$ OFFSET")</f>
        <v xml:space="preserve">          5300 - COG$ OFFSET</v>
      </c>
      <c r="C43" s="11"/>
      <c r="D43" s="2">
        <v>130513</v>
      </c>
      <c r="E43" s="2"/>
      <c r="F43" s="22">
        <f t="shared" si="4"/>
        <v>0.54981624696414766</v>
      </c>
      <c r="G43" s="2"/>
      <c r="H43" s="2"/>
      <c r="I43" s="2"/>
      <c r="J43" s="22">
        <f t="shared" si="5"/>
        <v>0</v>
      </c>
      <c r="K43" s="2"/>
      <c r="L43" s="2">
        <f t="shared" si="6"/>
        <v>130513</v>
      </c>
      <c r="M43" s="2"/>
      <c r="N43" s="22">
        <f t="shared" si="7"/>
        <v>0</v>
      </c>
      <c r="O43" s="11"/>
      <c r="P43" s="2">
        <v>737969</v>
      </c>
      <c r="Q43" s="2"/>
      <c r="R43" s="22">
        <f t="shared" si="8"/>
        <v>0.48822882782997923</v>
      </c>
      <c r="S43" s="2"/>
      <c r="T43" s="2"/>
      <c r="U43" s="2"/>
      <c r="V43" s="22">
        <f t="shared" si="9"/>
        <v>0</v>
      </c>
      <c r="W43" s="2"/>
      <c r="X43" s="2">
        <f t="shared" si="10"/>
        <v>737969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"5501", " - ", "FREIGHT-IN-NEW TEXT")</f>
        <v xml:space="preserve">          5501 - FREIGHT-IN-NEW TEXT</v>
      </c>
      <c r="C44" s="11"/>
      <c r="D44" s="2">
        <v>5279.6</v>
      </c>
      <c r="E44" s="2"/>
      <c r="F44" s="22">
        <f t="shared" si="4"/>
        <v>2.2241538064958388E-2</v>
      </c>
      <c r="G44" s="2"/>
      <c r="H44" s="2"/>
      <c r="I44" s="2"/>
      <c r="J44" s="22">
        <f t="shared" si="5"/>
        <v>0</v>
      </c>
      <c r="K44" s="2"/>
      <c r="L44" s="2">
        <f t="shared" si="6"/>
        <v>5279.6</v>
      </c>
      <c r="M44" s="2"/>
      <c r="N44" s="22">
        <f t="shared" si="7"/>
        <v>0</v>
      </c>
      <c r="O44" s="11"/>
      <c r="P44" s="2">
        <v>10762.88</v>
      </c>
      <c r="Q44" s="2"/>
      <c r="R44" s="22">
        <f t="shared" si="8"/>
        <v>7.1205542325961206E-3</v>
      </c>
      <c r="S44" s="2"/>
      <c r="T44" s="2"/>
      <c r="U44" s="2"/>
      <c r="V44" s="22">
        <f t="shared" si="9"/>
        <v>0</v>
      </c>
      <c r="W44" s="2"/>
      <c r="X44" s="2">
        <f t="shared" si="10"/>
        <v>10762.88</v>
      </c>
      <c r="Y44" s="2"/>
      <c r="Z44" s="22">
        <f t="shared" si="11"/>
        <v>0</v>
      </c>
    </row>
    <row r="45" spans="1:26" s="24" customFormat="1" hidden="1" outlineLevel="1" x14ac:dyDescent="0.25">
      <c r="A45" s="51"/>
      <c r="B45" s="11" t="str">
        <f>CONCATENATE("          ", "5502", " - ", "FREIGHT-IN-USED TEXT")</f>
        <v xml:space="preserve">          5502 - FREIGHT-IN-USED TEXT</v>
      </c>
      <c r="C45" s="11"/>
      <c r="D45" s="2">
        <v>7276.27</v>
      </c>
      <c r="E45" s="2"/>
      <c r="F45" s="22">
        <f t="shared" si="4"/>
        <v>3.0652972985816117E-2</v>
      </c>
      <c r="G45" s="2"/>
      <c r="H45" s="2"/>
      <c r="I45" s="2"/>
      <c r="J45" s="22">
        <f t="shared" si="5"/>
        <v>0</v>
      </c>
      <c r="K45" s="2"/>
      <c r="L45" s="2">
        <f t="shared" si="6"/>
        <v>7276.27</v>
      </c>
      <c r="M45" s="2"/>
      <c r="N45" s="22">
        <f t="shared" si="7"/>
        <v>0</v>
      </c>
      <c r="O45" s="11"/>
      <c r="P45" s="2">
        <v>8510.82</v>
      </c>
      <c r="Q45" s="2"/>
      <c r="R45" s="22">
        <f t="shared" si="8"/>
        <v>5.630626316921095E-3</v>
      </c>
      <c r="S45" s="2"/>
      <c r="T45" s="2"/>
      <c r="U45" s="2"/>
      <c r="V45" s="22">
        <f t="shared" si="9"/>
        <v>0</v>
      </c>
      <c r="W45" s="2"/>
      <c r="X45" s="2">
        <f t="shared" si="10"/>
        <v>8510.82</v>
      </c>
      <c r="Y45" s="2"/>
      <c r="Z45" s="22">
        <f t="shared" si="11"/>
        <v>0</v>
      </c>
    </row>
    <row r="46" spans="1:26" s="24" customFormat="1" hidden="1" outlineLevel="1" x14ac:dyDescent="0.25">
      <c r="A46" s="51"/>
      <c r="B46" s="11" t="str">
        <f>CONCATENATE("          ", "5504", " - ", "FREIGHT-IN-DIGITAL TEXT")</f>
        <v xml:space="preserve">          5504 - FREIGHT-IN-DIGITAL TEXT</v>
      </c>
      <c r="C46" s="11"/>
      <c r="D46" s="2">
        <v>10.99</v>
      </c>
      <c r="E46" s="2"/>
      <c r="F46" s="22">
        <f t="shared" si="4"/>
        <v>4.6297920928459103E-5</v>
      </c>
      <c r="G46" s="2"/>
      <c r="H46" s="2"/>
      <c r="I46" s="2"/>
      <c r="J46" s="22">
        <f t="shared" si="5"/>
        <v>0</v>
      </c>
      <c r="K46" s="2"/>
      <c r="L46" s="2">
        <f t="shared" si="6"/>
        <v>10.99</v>
      </c>
      <c r="M46" s="2"/>
      <c r="N46" s="22">
        <f t="shared" si="7"/>
        <v>0</v>
      </c>
      <c r="O46" s="11"/>
      <c r="P46" s="2">
        <v>10.99</v>
      </c>
      <c r="Q46" s="2"/>
      <c r="R46" s="22">
        <f t="shared" si="8"/>
        <v>7.270813296834246E-6</v>
      </c>
      <c r="S46" s="2"/>
      <c r="T46" s="2"/>
      <c r="U46" s="2"/>
      <c r="V46" s="22">
        <f t="shared" si="9"/>
        <v>0</v>
      </c>
      <c r="W46" s="2"/>
      <c r="X46" s="2">
        <f t="shared" si="10"/>
        <v>10.99</v>
      </c>
      <c r="Y46" s="2"/>
      <c r="Z46" s="22">
        <f t="shared" si="11"/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10"/>
      <c r="B48" s="26" t="s">
        <v>6</v>
      </c>
      <c r="C48" s="26"/>
      <c r="D48" s="20">
        <f>D12-D34</f>
        <v>80059.1700000001</v>
      </c>
      <c r="E48" s="13"/>
      <c r="F48" s="21">
        <f>IF(D$12=0,0,D48/D$12)</f>
        <v>0.33726780002348222</v>
      </c>
      <c r="G48" s="13"/>
      <c r="H48" s="20">
        <f>H12-H34</f>
        <v>243858</v>
      </c>
      <c r="I48" s="13"/>
      <c r="J48" s="21">
        <f>IF(H$12=0,0,H48/H$12)</f>
        <v>0.26786749973637036</v>
      </c>
      <c r="K48" s="16"/>
      <c r="L48" s="20">
        <f>+D48-H48</f>
        <v>-163798.8299999999</v>
      </c>
      <c r="M48" s="16"/>
      <c r="N48" s="21">
        <f>IF(H48=0,0,L48/H48)</f>
        <v>-0.67169758630022347</v>
      </c>
      <c r="O48" s="25"/>
      <c r="P48" s="20">
        <f>P12-P34</f>
        <v>431026.95000000042</v>
      </c>
      <c r="Q48" s="13"/>
      <c r="R48" s="21">
        <f>IF(P$12=0,0,P48/P$12)</f>
        <v>0.28516073515504209</v>
      </c>
      <c r="S48" s="13"/>
      <c r="T48" s="20">
        <f>T12-T34</f>
        <v>685779</v>
      </c>
      <c r="U48" s="13"/>
      <c r="V48" s="21">
        <f>IF(T$12=0,0,T48/T$12)</f>
        <v>0.2717169207800868</v>
      </c>
      <c r="W48" s="16"/>
      <c r="X48" s="20">
        <f>+P48-T48</f>
        <v>-254752.04999999958</v>
      </c>
      <c r="Y48" s="16"/>
      <c r="Z48" s="21">
        <f>IF(T48=0,0,X48/T48)</f>
        <v>-0.37147834798090867</v>
      </c>
    </row>
    <row r="49" spans="1:26" x14ac:dyDescent="0.25">
      <c r="A49" s="9"/>
      <c r="B49" s="10"/>
      <c r="C49" s="9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6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25">
      <c r="A50" s="10"/>
      <c r="B50" s="25" t="s">
        <v>9</v>
      </c>
      <c r="C50" s="10"/>
      <c r="D50" s="19">
        <f>SUM(OSRRefD22x_0)</f>
        <v>39896.36</v>
      </c>
      <c r="E50" s="19"/>
      <c r="F50" s="35">
        <f t="shared" ref="F50:F61" si="12">IF(D$12=0,0,D50/D$12)</f>
        <v>0.16807265883651851</v>
      </c>
      <c r="G50" s="19"/>
      <c r="H50" s="19">
        <f>SUM(OSRRefH22x_0)</f>
        <v>56386.405748861529</v>
      </c>
      <c r="I50" s="19"/>
      <c r="J50" s="35">
        <f t="shared" ref="J50:J61" si="13">IF(H$12=0,0,H50/H$12)</f>
        <v>6.1938035771096446E-2</v>
      </c>
      <c r="K50" s="4"/>
      <c r="L50" s="19">
        <f t="shared" ref="L50:L61" si="14">+D50-H50</f>
        <v>-16490.045748861528</v>
      </c>
      <c r="M50" s="4"/>
      <c r="N50" s="35">
        <f t="shared" ref="N50:N61" si="15">IF(H50=0,0,L50/H50)</f>
        <v>-0.29244718704551353</v>
      </c>
      <c r="O50" s="10"/>
      <c r="P50" s="19">
        <f>SUM(OSRRefP22x_0)</f>
        <v>128431.01</v>
      </c>
      <c r="Q50" s="19"/>
      <c r="R50" s="35">
        <f t="shared" ref="R50:R61" si="16">IF(P$12=0,0,P50/P$12)</f>
        <v>8.496796134975905E-2</v>
      </c>
      <c r="S50" s="19"/>
      <c r="T50" s="19">
        <f>SUM(OSRRefT22x_0)</f>
        <v>173142.23841505</v>
      </c>
      <c r="U50" s="19"/>
      <c r="V50" s="35">
        <f t="shared" ref="V50:V61" si="17">IF(T$12=0,0,T50/T$12)</f>
        <v>6.8601803028539868E-2</v>
      </c>
      <c r="W50" s="4"/>
      <c r="X50" s="19">
        <f t="shared" ref="X50:X61" si="18">+P50-T50</f>
        <v>-44711.228415050005</v>
      </c>
      <c r="Y50" s="4"/>
      <c r="Z50" s="35">
        <f t="shared" ref="Z50:Z61" si="19">IF(T50=0,0,X50/T50)</f>
        <v>-0.25823409021587179</v>
      </c>
    </row>
    <row r="51" spans="1:26" s="28" customFormat="1" outlineLevel="1" collapsed="1" x14ac:dyDescent="0.25">
      <c r="A51" s="27"/>
      <c r="B51" s="14" t="str">
        <f>CONCATENATE("     ","*Benefits                                         ")</f>
        <v xml:space="preserve">     *Benefits                                         </v>
      </c>
      <c r="C51" s="14"/>
      <c r="D51" s="1">
        <f>SUM(OSRRefD22_0x_0)</f>
        <v>10776.93</v>
      </c>
      <c r="E51" s="1"/>
      <c r="F51" s="5">
        <f t="shared" si="12"/>
        <v>4.5400314193952566E-2</v>
      </c>
      <c r="G51" s="1"/>
      <c r="H51" s="1">
        <f>SUM(OSRRefH22_0x_0)</f>
        <v>11868.153605169227</v>
      </c>
      <c r="I51" s="1"/>
      <c r="J51" s="5">
        <f t="shared" si="13"/>
        <v>1.3036655072640105E-2</v>
      </c>
      <c r="K51" s="1"/>
      <c r="L51" s="1">
        <f t="shared" si="14"/>
        <v>-1091.2236051692271</v>
      </c>
      <c r="M51" s="1"/>
      <c r="N51" s="5">
        <f t="shared" si="15"/>
        <v>-9.1945524255259023E-2</v>
      </c>
      <c r="O51" s="14"/>
      <c r="P51" s="1">
        <f>SUM(OSRRefP22_0x_0)</f>
        <v>32591.090000000004</v>
      </c>
      <c r="Q51" s="1"/>
      <c r="R51" s="5">
        <f t="shared" si="16"/>
        <v>2.1561758919956476E-2</v>
      </c>
      <c r="S51" s="1"/>
      <c r="T51" s="1">
        <f>SUM(OSRRefT22_0x_0)</f>
        <v>38278.731448049999</v>
      </c>
      <c r="U51" s="1"/>
      <c r="V51" s="5">
        <f t="shared" si="17"/>
        <v>1.5166663080135173E-2</v>
      </c>
      <c r="W51" s="1"/>
      <c r="X51" s="1">
        <f t="shared" si="18"/>
        <v>-5687.6414480499952</v>
      </c>
      <c r="Y51" s="1"/>
      <c r="Z51" s="5">
        <f t="shared" si="19"/>
        <v>-0.14858489905207492</v>
      </c>
    </row>
    <row r="52" spans="1:26" s="24" customFormat="1" hidden="1" outlineLevel="2" x14ac:dyDescent="0.25">
      <c r="A52" s="29"/>
      <c r="B52" s="11" t="str">
        <f>CONCATENATE("          ", "6111", " - ", "F.I.C.A.")</f>
        <v xml:space="preserve">          6111 - F.I.C.A.</v>
      </c>
      <c r="C52" s="11"/>
      <c r="D52" s="6">
        <v>2005.88</v>
      </c>
      <c r="E52" s="2"/>
      <c r="F52" s="7">
        <f t="shared" si="12"/>
        <v>8.4502341794338073E-3</v>
      </c>
      <c r="G52" s="2"/>
      <c r="H52" s="6">
        <v>1568.3171629384599</v>
      </c>
      <c r="I52" s="2"/>
      <c r="J52" s="7">
        <f t="shared" si="13"/>
        <v>1.722728789828355E-3</v>
      </c>
      <c r="K52" s="2"/>
      <c r="L52" s="6">
        <f t="shared" si="14"/>
        <v>437.56283706154022</v>
      </c>
      <c r="M52" s="2"/>
      <c r="N52" s="7">
        <f t="shared" si="15"/>
        <v>0.2790014975298144</v>
      </c>
      <c r="O52" s="11"/>
      <c r="P52" s="6">
        <v>6099.88</v>
      </c>
      <c r="Q52" s="2"/>
      <c r="R52" s="7">
        <f t="shared" si="16"/>
        <v>4.0355858610639931E-3</v>
      </c>
      <c r="S52" s="2"/>
      <c r="T52" s="6">
        <v>6121.57615455</v>
      </c>
      <c r="U52" s="2"/>
      <c r="V52" s="7">
        <f t="shared" si="17"/>
        <v>2.425469171606495E-3</v>
      </c>
      <c r="W52" s="2"/>
      <c r="X52" s="6">
        <f t="shared" si="18"/>
        <v>-21.696154549999846</v>
      </c>
      <c r="Y52" s="2"/>
      <c r="Z52" s="7">
        <f t="shared" si="19"/>
        <v>-3.5442105108622539E-3</v>
      </c>
    </row>
    <row r="53" spans="1:26" s="24" customFormat="1" hidden="1" outlineLevel="2" x14ac:dyDescent="0.25">
      <c r="A53" s="29"/>
      <c r="B53" s="11" t="str">
        <f>CONCATENATE("          ", "6112", " - ", "COMPENSATION INSURANCE")</f>
        <v xml:space="preserve">          6112 - COMPENSATION INSURANCE</v>
      </c>
      <c r="C53" s="11"/>
      <c r="D53" s="6">
        <v>94.94</v>
      </c>
      <c r="E53" s="2"/>
      <c r="F53" s="7">
        <f t="shared" si="12"/>
        <v>3.9995674367132908E-4</v>
      </c>
      <c r="G53" s="2"/>
      <c r="H53" s="6">
        <v>703.98219346153803</v>
      </c>
      <c r="I53" s="2"/>
      <c r="J53" s="7">
        <f t="shared" si="13"/>
        <v>7.732940892710838E-4</v>
      </c>
      <c r="K53" s="2"/>
      <c r="L53" s="6">
        <f t="shared" si="14"/>
        <v>-609.04219346153809</v>
      </c>
      <c r="M53" s="2"/>
      <c r="N53" s="7">
        <f t="shared" si="15"/>
        <v>-0.86513863435497962</v>
      </c>
      <c r="O53" s="11"/>
      <c r="P53" s="6">
        <v>433.29</v>
      </c>
      <c r="Q53" s="2"/>
      <c r="R53" s="7">
        <f t="shared" si="16"/>
        <v>2.8665793388401369E-4</v>
      </c>
      <c r="S53" s="2"/>
      <c r="T53" s="6">
        <v>2189.8077225000002</v>
      </c>
      <c r="U53" s="2"/>
      <c r="V53" s="7">
        <f t="shared" si="17"/>
        <v>8.6763784172183003E-4</v>
      </c>
      <c r="W53" s="2"/>
      <c r="X53" s="6">
        <f t="shared" si="18"/>
        <v>-1756.5177225000002</v>
      </c>
      <c r="Y53" s="2"/>
      <c r="Z53" s="7">
        <f t="shared" si="19"/>
        <v>-0.80213331264293231</v>
      </c>
    </row>
    <row r="54" spans="1:26" s="24" customFormat="1" hidden="1" outlineLevel="2" x14ac:dyDescent="0.25">
      <c r="A54" s="29"/>
      <c r="B54" s="11" t="str">
        <f>CONCATENATE("          ", "6113", " - ", "GROUP INSURANCE")</f>
        <v xml:space="preserve">          6113 - GROUP INSURANCE</v>
      </c>
      <c r="C54" s="11"/>
      <c r="D54" s="6">
        <v>4248.21</v>
      </c>
      <c r="E54" s="2"/>
      <c r="F54" s="7">
        <f t="shared" si="12"/>
        <v>1.7896568759553162E-2</v>
      </c>
      <c r="G54" s="2"/>
      <c r="H54" s="6">
        <v>4662.6923076923094</v>
      </c>
      <c r="I54" s="2"/>
      <c r="J54" s="7">
        <f t="shared" si="13"/>
        <v>5.1217664809091595E-3</v>
      </c>
      <c r="K54" s="2"/>
      <c r="L54" s="6">
        <f t="shared" si="14"/>
        <v>-414.4823076923094</v>
      </c>
      <c r="M54" s="2"/>
      <c r="N54" s="7">
        <f t="shared" si="15"/>
        <v>-8.8893343231873631E-2</v>
      </c>
      <c r="O54" s="11"/>
      <c r="P54" s="6">
        <v>12610.42</v>
      </c>
      <c r="Q54" s="2"/>
      <c r="R54" s="7">
        <f t="shared" si="16"/>
        <v>8.342857999514515E-3</v>
      </c>
      <c r="S54" s="2"/>
      <c r="T54" s="6">
        <v>14295</v>
      </c>
      <c r="U54" s="2"/>
      <c r="V54" s="7">
        <f t="shared" si="17"/>
        <v>5.663914150989372E-3</v>
      </c>
      <c r="W54" s="2"/>
      <c r="X54" s="6">
        <f t="shared" si="18"/>
        <v>-1684.58</v>
      </c>
      <c r="Y54" s="2"/>
      <c r="Z54" s="7">
        <f t="shared" si="19"/>
        <v>-0.11784400139909058</v>
      </c>
    </row>
    <row r="55" spans="1:26" s="24" customFormat="1" hidden="1" outlineLevel="2" x14ac:dyDescent="0.25">
      <c r="A55" s="29"/>
      <c r="B55" s="11" t="str">
        <f>CONCATENATE("          ", "6114", " - ", "STATE UNEMPLOYMENT INSURANCE")</f>
        <v xml:space="preserve">          6114 - STATE UNEMPLOYMENT INSURANCE</v>
      </c>
      <c r="C55" s="11"/>
      <c r="D55" s="6">
        <v>74.8</v>
      </c>
      <c r="E55" s="2"/>
      <c r="F55" s="7">
        <f t="shared" si="12"/>
        <v>3.151123280663094E-4</v>
      </c>
      <c r="G55" s="2"/>
      <c r="H55" s="6">
        <v>98.938038000000006</v>
      </c>
      <c r="I55" s="2"/>
      <c r="J55" s="7">
        <f t="shared" si="13"/>
        <v>1.086791693029632E-4</v>
      </c>
      <c r="K55" s="2"/>
      <c r="L55" s="6">
        <f t="shared" si="14"/>
        <v>-24.138038000000009</v>
      </c>
      <c r="M55" s="2"/>
      <c r="N55" s="7">
        <f t="shared" si="15"/>
        <v>-0.2439712620943626</v>
      </c>
      <c r="O55" s="11"/>
      <c r="P55" s="6">
        <v>208.22</v>
      </c>
      <c r="Q55" s="2"/>
      <c r="R55" s="7">
        <f t="shared" si="16"/>
        <v>1.3775511780407887E-4</v>
      </c>
      <c r="S55" s="2"/>
      <c r="T55" s="6">
        <v>307.75676099999998</v>
      </c>
      <c r="U55" s="2"/>
      <c r="V55" s="7">
        <f t="shared" si="17"/>
        <v>1.2193829126901392E-4</v>
      </c>
      <c r="W55" s="2"/>
      <c r="X55" s="6">
        <f t="shared" si="18"/>
        <v>-99.536760999999984</v>
      </c>
      <c r="Y55" s="2"/>
      <c r="Z55" s="7">
        <f t="shared" si="19"/>
        <v>-0.32342672400298622</v>
      </c>
    </row>
    <row r="56" spans="1:26" s="24" customFormat="1" hidden="1" outlineLevel="2" x14ac:dyDescent="0.25">
      <c r="A56" s="29"/>
      <c r="B56" s="11" t="str">
        <f>CONCATENATE("          ", "6115", " - ", "P.E.R.S.")</f>
        <v xml:space="preserve">          6115 - P.E.R.S.</v>
      </c>
      <c r="C56" s="11"/>
      <c r="D56" s="6">
        <v>1480.2</v>
      </c>
      <c r="E56" s="2"/>
      <c r="F56" s="7">
        <f t="shared" si="12"/>
        <v>6.2356854011196691E-3</v>
      </c>
      <c r="G56" s="2"/>
      <c r="H56" s="6">
        <v>1268.5379723076899</v>
      </c>
      <c r="I56" s="2"/>
      <c r="J56" s="7">
        <f t="shared" si="13"/>
        <v>1.3934342730716478E-3</v>
      </c>
      <c r="K56" s="2"/>
      <c r="L56" s="6">
        <f t="shared" si="14"/>
        <v>211.66202769231018</v>
      </c>
      <c r="M56" s="2"/>
      <c r="N56" s="7">
        <f t="shared" si="15"/>
        <v>0.16685509800487908</v>
      </c>
      <c r="O56" s="11"/>
      <c r="P56" s="6">
        <v>5180.72</v>
      </c>
      <c r="Q56" s="2"/>
      <c r="R56" s="7">
        <f t="shared" si="16"/>
        <v>3.4274838819995557E-3</v>
      </c>
      <c r="S56" s="2"/>
      <c r="T56" s="6">
        <v>4122.7484100000001</v>
      </c>
      <c r="U56" s="2"/>
      <c r="V56" s="7">
        <f t="shared" si="17"/>
        <v>1.6335007387455708E-3</v>
      </c>
      <c r="W56" s="2"/>
      <c r="X56" s="6">
        <f t="shared" si="18"/>
        <v>1057.9715900000001</v>
      </c>
      <c r="Y56" s="2"/>
      <c r="Z56" s="7">
        <f t="shared" si="19"/>
        <v>0.25661803359958124</v>
      </c>
    </row>
    <row r="57" spans="1:26" s="24" customFormat="1" hidden="1" outlineLevel="2" x14ac:dyDescent="0.25">
      <c r="A57" s="29"/>
      <c r="B57" s="11" t="str">
        <f>CONCATENATE("          ", "6116", " - ", "EDUCATIONAL BENEFITS")</f>
        <v xml:space="preserve">          6116 - EDUCATIONAL BENEFITS</v>
      </c>
      <c r="C57" s="11"/>
      <c r="D57" s="6"/>
      <c r="E57" s="2"/>
      <c r="F57" s="7">
        <f t="shared" si="12"/>
        <v>0</v>
      </c>
      <c r="G57" s="2"/>
      <c r="H57" s="6">
        <v>0</v>
      </c>
      <c r="I57" s="2"/>
      <c r="J57" s="7">
        <f t="shared" si="13"/>
        <v>0</v>
      </c>
      <c r="K57" s="2"/>
      <c r="L57" s="6">
        <f t="shared" si="14"/>
        <v>0</v>
      </c>
      <c r="M57" s="2"/>
      <c r="N57" s="7">
        <f t="shared" si="15"/>
        <v>0</v>
      </c>
      <c r="O57" s="11"/>
      <c r="P57" s="6"/>
      <c r="Q57" s="2"/>
      <c r="R57" s="7">
        <f t="shared" si="16"/>
        <v>0</v>
      </c>
      <c r="S57" s="2"/>
      <c r="T57" s="6">
        <v>0</v>
      </c>
      <c r="U57" s="2"/>
      <c r="V57" s="7">
        <f t="shared" si="17"/>
        <v>0</v>
      </c>
      <c r="W57" s="2"/>
      <c r="X57" s="6">
        <f t="shared" si="18"/>
        <v>0</v>
      </c>
      <c r="Y57" s="2"/>
      <c r="Z57" s="7">
        <f t="shared" si="19"/>
        <v>0</v>
      </c>
    </row>
    <row r="58" spans="1:26" s="24" customFormat="1" hidden="1" outlineLevel="2" x14ac:dyDescent="0.25">
      <c r="A58" s="29"/>
      <c r="B58" s="11" t="str">
        <f>CONCATENATE("          ", "6117", " - ", "RETIREMENT STAFF HOURLY")</f>
        <v xml:space="preserve">          6117 - RETIREMENT STAFF HOURLY</v>
      </c>
      <c r="C58" s="11"/>
      <c r="D58" s="6">
        <v>248.98</v>
      </c>
      <c r="E58" s="2"/>
      <c r="F58" s="7">
        <f t="shared" si="12"/>
        <v>1.0488859283683117E-3</v>
      </c>
      <c r="G58" s="2"/>
      <c r="H58" s="6"/>
      <c r="I58" s="2"/>
      <c r="J58" s="7">
        <f t="shared" si="13"/>
        <v>0</v>
      </c>
      <c r="K58" s="2"/>
      <c r="L58" s="6">
        <f t="shared" si="14"/>
        <v>248.98</v>
      </c>
      <c r="M58" s="2"/>
      <c r="N58" s="7">
        <f t="shared" si="15"/>
        <v>0</v>
      </c>
      <c r="O58" s="11"/>
      <c r="P58" s="6">
        <v>837.77</v>
      </c>
      <c r="Q58" s="2"/>
      <c r="R58" s="7">
        <f t="shared" si="16"/>
        <v>5.5425561926194958E-4</v>
      </c>
      <c r="S58" s="2"/>
      <c r="T58" s="6"/>
      <c r="U58" s="2"/>
      <c r="V58" s="7">
        <f t="shared" si="17"/>
        <v>0</v>
      </c>
      <c r="W58" s="2"/>
      <c r="X58" s="6">
        <f t="shared" si="18"/>
        <v>837.77</v>
      </c>
      <c r="Y58" s="2"/>
      <c r="Z58" s="7">
        <f t="shared" si="19"/>
        <v>0</v>
      </c>
    </row>
    <row r="59" spans="1:26" s="24" customFormat="1" hidden="1" outlineLevel="2" x14ac:dyDescent="0.25">
      <c r="A59" s="29"/>
      <c r="B59" s="11" t="str">
        <f>CONCATENATE("          ", "6118", " - ", "VACATION")</f>
        <v xml:space="preserve">          6118 - VACATION</v>
      </c>
      <c r="C59" s="11"/>
      <c r="D59" s="6">
        <v>1121.07</v>
      </c>
      <c r="E59" s="2"/>
      <c r="F59" s="7">
        <f t="shared" si="12"/>
        <v>4.7227670805521059E-3</v>
      </c>
      <c r="G59" s="2"/>
      <c r="H59" s="6">
        <v>1346.2077200000001</v>
      </c>
      <c r="I59" s="2"/>
      <c r="J59" s="7">
        <f t="shared" si="13"/>
        <v>1.4787511423951633E-3</v>
      </c>
      <c r="K59" s="2"/>
      <c r="L59" s="6">
        <f t="shared" si="14"/>
        <v>-225.13772000000017</v>
      </c>
      <c r="M59" s="2"/>
      <c r="N59" s="7">
        <f t="shared" si="15"/>
        <v>-0.16723847044941931</v>
      </c>
      <c r="O59" s="11"/>
      <c r="P59" s="6">
        <v>3031.38</v>
      </c>
      <c r="Q59" s="2"/>
      <c r="R59" s="7">
        <f t="shared" si="16"/>
        <v>2.0055139228168698E-3</v>
      </c>
      <c r="S59" s="2"/>
      <c r="T59" s="6">
        <v>4375.1750899999997</v>
      </c>
      <c r="U59" s="2"/>
      <c r="V59" s="7">
        <f t="shared" si="17"/>
        <v>1.7335163417493669E-3</v>
      </c>
      <c r="W59" s="2"/>
      <c r="X59" s="6">
        <f t="shared" si="18"/>
        <v>-1343.7950899999996</v>
      </c>
      <c r="Y59" s="2"/>
      <c r="Z59" s="7">
        <f t="shared" si="19"/>
        <v>-0.30714087147538582</v>
      </c>
    </row>
    <row r="60" spans="1:26" s="24" customFormat="1" hidden="1" outlineLevel="2" x14ac:dyDescent="0.25">
      <c r="A60" s="29"/>
      <c r="B60" s="11" t="str">
        <f>CONCATENATE("          ", "6119", " - ", "SICK LEAVE")</f>
        <v xml:space="preserve">          6119 - SICK LEAVE</v>
      </c>
      <c r="C60" s="11"/>
      <c r="D60" s="6">
        <v>944.6</v>
      </c>
      <c r="E60" s="2"/>
      <c r="F60" s="7">
        <f t="shared" si="12"/>
        <v>3.9793463247518165E-3</v>
      </c>
      <c r="G60" s="2"/>
      <c r="H60" s="6">
        <v>1469.4782107692299</v>
      </c>
      <c r="I60" s="2"/>
      <c r="J60" s="7">
        <f t="shared" si="13"/>
        <v>1.6141584620386811E-3</v>
      </c>
      <c r="K60" s="2"/>
      <c r="L60" s="6">
        <f t="shared" si="14"/>
        <v>-524.8782107692299</v>
      </c>
      <c r="M60" s="2"/>
      <c r="N60" s="7">
        <f t="shared" si="15"/>
        <v>-0.35718679387186769</v>
      </c>
      <c r="O60" s="11"/>
      <c r="P60" s="6">
        <v>2833.8</v>
      </c>
      <c r="Q60" s="2"/>
      <c r="R60" s="7">
        <f t="shared" si="16"/>
        <v>1.8747980637460317E-3</v>
      </c>
      <c r="S60" s="2"/>
      <c r="T60" s="6">
        <v>4616.6673099999998</v>
      </c>
      <c r="U60" s="2"/>
      <c r="V60" s="7">
        <f t="shared" si="17"/>
        <v>1.8291995318306428E-3</v>
      </c>
      <c r="W60" s="2"/>
      <c r="X60" s="6">
        <f t="shared" si="18"/>
        <v>-1782.8673099999996</v>
      </c>
      <c r="Y60" s="2"/>
      <c r="Z60" s="7">
        <f t="shared" si="19"/>
        <v>-0.38618059095100782</v>
      </c>
    </row>
    <row r="61" spans="1:26" s="24" customFormat="1" hidden="1" outlineLevel="2" x14ac:dyDescent="0.25">
      <c r="A61" s="29"/>
      <c r="B61" s="11" t="str">
        <f>CONCATENATE("          ", "6156", " - ", "EMPLOYEE MEALS")</f>
        <v xml:space="preserve">          6156 - EMPLOYEE MEALS</v>
      </c>
      <c r="C61" s="11"/>
      <c r="D61" s="6">
        <v>558.25</v>
      </c>
      <c r="E61" s="2"/>
      <c r="F61" s="7">
        <f t="shared" si="12"/>
        <v>2.3517574484360594E-3</v>
      </c>
      <c r="G61" s="2"/>
      <c r="H61" s="6">
        <v>750</v>
      </c>
      <c r="I61" s="2"/>
      <c r="J61" s="7">
        <f t="shared" si="13"/>
        <v>8.2384266582305173E-4</v>
      </c>
      <c r="K61" s="2"/>
      <c r="L61" s="6">
        <f t="shared" si="14"/>
        <v>-191.75</v>
      </c>
      <c r="M61" s="2"/>
      <c r="N61" s="7">
        <f t="shared" si="15"/>
        <v>-0.25566666666666665</v>
      </c>
      <c r="O61" s="11"/>
      <c r="P61" s="6">
        <v>1355.61</v>
      </c>
      <c r="Q61" s="2"/>
      <c r="R61" s="7">
        <f t="shared" si="16"/>
        <v>8.9685051986546603E-4</v>
      </c>
      <c r="S61" s="2"/>
      <c r="T61" s="6">
        <v>2250</v>
      </c>
      <c r="U61" s="2"/>
      <c r="V61" s="7">
        <f t="shared" si="17"/>
        <v>8.9148701222288129E-4</v>
      </c>
      <c r="W61" s="2"/>
      <c r="X61" s="6">
        <f t="shared" si="18"/>
        <v>-894.3900000000001</v>
      </c>
      <c r="Y61" s="2"/>
      <c r="Z61" s="7">
        <f t="shared" si="19"/>
        <v>-0.39750666666666673</v>
      </c>
    </row>
    <row r="62" spans="1:26" s="28" customFormat="1" outlineLevel="1" collapsed="1" x14ac:dyDescent="0.25">
      <c r="A62" s="27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25117.03</v>
      </c>
      <c r="E62" s="1"/>
      <c r="F62" s="5">
        <f t="shared" ref="F62:F72" si="20">IF(D$12=0,0,D62/D$12)</f>
        <v>0.1058113074520232</v>
      </c>
      <c r="G62" s="1"/>
      <c r="H62" s="1">
        <f>SUM(OSRRefH22_1x_0)</f>
        <v>35953.252143692298</v>
      </c>
      <c r="I62" s="1"/>
      <c r="J62" s="5">
        <f t="shared" ref="J62:J72" si="21">IF(H$12=0,0,H62/H$12)</f>
        <v>3.9493097454757084E-2</v>
      </c>
      <c r="K62" s="1"/>
      <c r="L62" s="1">
        <f t="shared" ref="L62:L72" si="22">+D62-H62</f>
        <v>-10836.222143692299</v>
      </c>
      <c r="M62" s="1"/>
      <c r="N62" s="5">
        <f t="shared" ref="N62:N72" si="23">IF(H62=0,0,L62/H62)</f>
        <v>-0.30139755091928244</v>
      </c>
      <c r="O62" s="14"/>
      <c r="P62" s="1">
        <f>SUM(OSRRefP22_1x_0)</f>
        <v>89674.319999999992</v>
      </c>
      <c r="Q62" s="1"/>
      <c r="R62" s="5">
        <f t="shared" ref="R62:R72" si="24">IF(P$12=0,0,P62/P$12)</f>
        <v>5.9327137237540413E-2</v>
      </c>
      <c r="S62" s="1"/>
      <c r="T62" s="1">
        <f>SUM(OSRRefT22_1x_0)</f>
        <v>111543.50696699999</v>
      </c>
      <c r="U62" s="1"/>
      <c r="V62" s="5">
        <f t="shared" ref="V62:V72" si="25">IF(T$12=0,0,T62/T$12)</f>
        <v>4.4195372337276877E-2</v>
      </c>
      <c r="W62" s="1"/>
      <c r="X62" s="1">
        <f t="shared" ref="X62:X72" si="26">+P62-T62</f>
        <v>-21869.186967000001</v>
      </c>
      <c r="Y62" s="1"/>
      <c r="Z62" s="5">
        <f t="shared" ref="Z62:Z72" si="27">IF(T62=0,0,X62/T62)</f>
        <v>-0.19605970407107581</v>
      </c>
    </row>
    <row r="63" spans="1:26" s="24" customFormat="1" hidden="1" outlineLevel="2" x14ac:dyDescent="0.25">
      <c r="A63" s="29"/>
      <c r="B63" s="11" t="str">
        <f>CONCATENATE("          ", "6001", " - ", "ADMINISTRATIVE SALARIES")</f>
        <v xml:space="preserve">          6001 - ADMINISTRATIVE SALARIES</v>
      </c>
      <c r="C63" s="11"/>
      <c r="D63" s="6"/>
      <c r="E63" s="2"/>
      <c r="F63" s="7">
        <f t="shared" si="20"/>
        <v>0</v>
      </c>
      <c r="G63" s="2"/>
      <c r="H63" s="6">
        <v>0</v>
      </c>
      <c r="I63" s="2"/>
      <c r="J63" s="7">
        <f t="shared" si="21"/>
        <v>0</v>
      </c>
      <c r="K63" s="2"/>
      <c r="L63" s="6">
        <f t="shared" si="22"/>
        <v>0</v>
      </c>
      <c r="M63" s="2"/>
      <c r="N63" s="7">
        <f t="shared" si="23"/>
        <v>0</v>
      </c>
      <c r="O63" s="11"/>
      <c r="P63" s="6">
        <v>-311.32</v>
      </c>
      <c r="Q63" s="2"/>
      <c r="R63" s="7">
        <f t="shared" si="24"/>
        <v>-2.0596447639403435E-4</v>
      </c>
      <c r="S63" s="2"/>
      <c r="T63" s="6">
        <v>0</v>
      </c>
      <c r="U63" s="2"/>
      <c r="V63" s="7">
        <f t="shared" si="25"/>
        <v>0</v>
      </c>
      <c r="W63" s="2"/>
      <c r="X63" s="6">
        <f t="shared" si="26"/>
        <v>-311.32</v>
      </c>
      <c r="Y63" s="2"/>
      <c r="Z63" s="7">
        <f t="shared" si="27"/>
        <v>0</v>
      </c>
    </row>
    <row r="64" spans="1:26" s="24" customFormat="1" hidden="1" outlineLevel="2" x14ac:dyDescent="0.25">
      <c r="A64" s="29"/>
      <c r="B64" s="11" t="str">
        <f>CONCATENATE("          ", "6002", " - ", "STAFF SALARIES")</f>
        <v xml:space="preserve">          6002 - STAFF SALARIES</v>
      </c>
      <c r="C64" s="11"/>
      <c r="D64" s="6">
        <v>14307.52</v>
      </c>
      <c r="E64" s="2"/>
      <c r="F64" s="7">
        <f t="shared" si="20"/>
        <v>6.0273742460632135E-2</v>
      </c>
      <c r="G64" s="2"/>
      <c r="H64" s="6">
        <v>13107.2520636923</v>
      </c>
      <c r="I64" s="2"/>
      <c r="J64" s="7">
        <f t="shared" si="21"/>
        <v>1.4397751309022615E-2</v>
      </c>
      <c r="K64" s="2"/>
      <c r="L64" s="6">
        <f t="shared" si="22"/>
        <v>1200.2679363077004</v>
      </c>
      <c r="M64" s="2"/>
      <c r="N64" s="7">
        <f t="shared" si="23"/>
        <v>9.1572812552563831E-2</v>
      </c>
      <c r="O64" s="11"/>
      <c r="P64" s="6">
        <v>47442.92</v>
      </c>
      <c r="Q64" s="2"/>
      <c r="R64" s="7">
        <f t="shared" si="24"/>
        <v>3.1387498960568097E-2</v>
      </c>
      <c r="S64" s="2"/>
      <c r="T64" s="6">
        <v>42598.569207</v>
      </c>
      <c r="U64" s="2"/>
      <c r="V64" s="7">
        <f t="shared" si="25"/>
        <v>1.687825386103025E-2</v>
      </c>
      <c r="W64" s="2"/>
      <c r="X64" s="6">
        <f t="shared" si="26"/>
        <v>4844.3507929999978</v>
      </c>
      <c r="Y64" s="2"/>
      <c r="Z64" s="7">
        <f t="shared" si="27"/>
        <v>0.1137209742763837</v>
      </c>
    </row>
    <row r="65" spans="1:26" s="24" customFormat="1" hidden="1" outlineLevel="2" x14ac:dyDescent="0.25">
      <c r="A65" s="29"/>
      <c r="B65" s="11" t="str">
        <f>CONCATENATE("          ", "6003", " - ", "STAFF HOURLY-9 MONTH")</f>
        <v xml:space="preserve">          6003 - STAFF HOURLY-9 MONTH</v>
      </c>
      <c r="C65" s="11"/>
      <c r="D65" s="6"/>
      <c r="E65" s="2"/>
      <c r="F65" s="7">
        <f t="shared" si="20"/>
        <v>0</v>
      </c>
      <c r="G65" s="2"/>
      <c r="H65" s="6">
        <v>0</v>
      </c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/>
      <c r="Q65" s="2"/>
      <c r="R65" s="7">
        <f t="shared" si="24"/>
        <v>0</v>
      </c>
      <c r="S65" s="2"/>
      <c r="T65" s="6">
        <v>0</v>
      </c>
      <c r="U65" s="2"/>
      <c r="V65" s="7">
        <f t="shared" si="25"/>
        <v>0</v>
      </c>
      <c r="W65" s="2"/>
      <c r="X65" s="6">
        <f t="shared" si="26"/>
        <v>0</v>
      </c>
      <c r="Y65" s="2"/>
      <c r="Z65" s="7">
        <f t="shared" si="27"/>
        <v>0</v>
      </c>
    </row>
    <row r="66" spans="1:26" s="24" customFormat="1" hidden="1" outlineLevel="2" x14ac:dyDescent="0.25">
      <c r="A66" s="29"/>
      <c r="B66" s="11" t="str">
        <f>CONCATENATE("          ", "6004", " - ", "STAFF HOURLY")</f>
        <v xml:space="preserve">          6004 - STAFF HOURLY</v>
      </c>
      <c r="C66" s="11"/>
      <c r="D66" s="6">
        <v>6404.63</v>
      </c>
      <c r="E66" s="2"/>
      <c r="F66" s="7">
        <f t="shared" si="20"/>
        <v>2.6980987562878707E-2</v>
      </c>
      <c r="G66" s="2"/>
      <c r="H66" s="6">
        <v>5285.7500799999998</v>
      </c>
      <c r="I66" s="2"/>
      <c r="J66" s="7">
        <f t="shared" si="21"/>
        <v>5.806168582375479E-3</v>
      </c>
      <c r="K66" s="2"/>
      <c r="L66" s="6">
        <f t="shared" si="22"/>
        <v>1118.8799200000003</v>
      </c>
      <c r="M66" s="2"/>
      <c r="N66" s="7">
        <f t="shared" si="23"/>
        <v>0.21167855140059902</v>
      </c>
      <c r="O66" s="11"/>
      <c r="P66" s="6">
        <v>18577.73</v>
      </c>
      <c r="Q66" s="2"/>
      <c r="R66" s="7">
        <f t="shared" si="24"/>
        <v>1.2290737607733984E-2</v>
      </c>
      <c r="S66" s="2"/>
      <c r="T66" s="6">
        <v>17178.687759999997</v>
      </c>
      <c r="U66" s="2"/>
      <c r="V66" s="7">
        <f t="shared" si="25"/>
        <v>6.8064786778098572E-3</v>
      </c>
      <c r="W66" s="2"/>
      <c r="X66" s="6">
        <f t="shared" si="26"/>
        <v>1399.0422400000025</v>
      </c>
      <c r="Y66" s="2"/>
      <c r="Z66" s="7">
        <f t="shared" si="27"/>
        <v>8.1440576809226714E-2</v>
      </c>
    </row>
    <row r="67" spans="1:26" s="24" customFormat="1" hidden="1" outlineLevel="2" x14ac:dyDescent="0.25">
      <c r="A67" s="29"/>
      <c r="B67" s="11" t="str">
        <f>CONCATENATE("          ", "6005", " - ", "TEMPORARY WAGES-HOURLY")</f>
        <v xml:space="preserve">          6005 - TEMPORARY WAGES-HOURLY</v>
      </c>
      <c r="C67" s="11"/>
      <c r="D67" s="6">
        <v>5645.28</v>
      </c>
      <c r="E67" s="2"/>
      <c r="F67" s="7">
        <f t="shared" si="20"/>
        <v>2.3782049777890044E-2</v>
      </c>
      <c r="G67" s="2"/>
      <c r="H67" s="6">
        <v>3391.5</v>
      </c>
      <c r="I67" s="2"/>
      <c r="J67" s="7">
        <f t="shared" si="21"/>
        <v>3.72541653485184E-3</v>
      </c>
      <c r="K67" s="2"/>
      <c r="L67" s="6">
        <f t="shared" si="22"/>
        <v>2253.7799999999997</v>
      </c>
      <c r="M67" s="2"/>
      <c r="N67" s="7">
        <f t="shared" si="23"/>
        <v>0.66453781512605037</v>
      </c>
      <c r="O67" s="11"/>
      <c r="P67" s="6">
        <v>11339.33</v>
      </c>
      <c r="Q67" s="2"/>
      <c r="R67" s="7">
        <f t="shared" si="24"/>
        <v>7.5019245988345289E-3</v>
      </c>
      <c r="S67" s="2"/>
      <c r="T67" s="6">
        <v>10687.5</v>
      </c>
      <c r="U67" s="2"/>
      <c r="V67" s="7">
        <f t="shared" si="25"/>
        <v>4.2345633080586864E-3</v>
      </c>
      <c r="W67" s="2"/>
      <c r="X67" s="6">
        <f t="shared" si="26"/>
        <v>651.82999999999993</v>
      </c>
      <c r="Y67" s="2"/>
      <c r="Z67" s="7">
        <f t="shared" si="27"/>
        <v>6.0989941520467827E-2</v>
      </c>
    </row>
    <row r="68" spans="1:26" s="24" customFormat="1" hidden="1" outlineLevel="2" x14ac:dyDescent="0.25">
      <c r="A68" s="29"/>
      <c r="B68" s="11" t="str">
        <f>CONCATENATE("          ", "6006", " - ", "TEMPORARY PART TIME")</f>
        <v xml:space="preserve">          6006 - TEMPORARY PART TIME</v>
      </c>
      <c r="C68" s="11"/>
      <c r="D68" s="6"/>
      <c r="E68" s="2"/>
      <c r="F68" s="7">
        <f t="shared" si="20"/>
        <v>0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0</v>
      </c>
      <c r="M68" s="2"/>
      <c r="N68" s="7">
        <f t="shared" si="23"/>
        <v>0</v>
      </c>
      <c r="O68" s="11"/>
      <c r="P68" s="6">
        <v>502.29</v>
      </c>
      <c r="Q68" s="2"/>
      <c r="R68" s="7">
        <f t="shared" si="24"/>
        <v>3.3230726213529335E-4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502.29</v>
      </c>
      <c r="Y68" s="2"/>
      <c r="Z68" s="7">
        <f t="shared" si="27"/>
        <v>0</v>
      </c>
    </row>
    <row r="69" spans="1:26" s="24" customFormat="1" hidden="1" outlineLevel="2" x14ac:dyDescent="0.25">
      <c r="A69" s="29"/>
      <c r="B69" s="11" t="str">
        <f>CONCATENATE("          ", "6007", " - ", "STUDENT HOURLY")</f>
        <v xml:space="preserve">          6007 - STUDENT HOURLY</v>
      </c>
      <c r="C69" s="11"/>
      <c r="D69" s="6">
        <v>-1240.4000000000001</v>
      </c>
      <c r="E69" s="2"/>
      <c r="F69" s="7">
        <f t="shared" si="20"/>
        <v>-5.2254723493776771E-3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-1240.4000000000001</v>
      </c>
      <c r="M69" s="2"/>
      <c r="N69" s="7">
        <f t="shared" si="23"/>
        <v>0</v>
      </c>
      <c r="O69" s="11"/>
      <c r="P69" s="6">
        <v>12123.37</v>
      </c>
      <c r="Q69" s="2"/>
      <c r="R69" s="7">
        <f t="shared" si="24"/>
        <v>8.020633284662548E-3</v>
      </c>
      <c r="S69" s="2"/>
      <c r="T69" s="6">
        <v>13387.5</v>
      </c>
      <c r="U69" s="2"/>
      <c r="V69" s="7">
        <f t="shared" si="25"/>
        <v>5.3043477227261437E-3</v>
      </c>
      <c r="W69" s="2"/>
      <c r="X69" s="6">
        <f t="shared" si="26"/>
        <v>-1264.1299999999992</v>
      </c>
      <c r="Y69" s="2"/>
      <c r="Z69" s="7">
        <f t="shared" si="27"/>
        <v>-9.4426143790849612E-2</v>
      </c>
    </row>
    <row r="70" spans="1:26" s="24" customFormat="1" hidden="1" outlineLevel="2" x14ac:dyDescent="0.25">
      <c r="A70" s="29"/>
      <c r="B70" s="11" t="str">
        <f>CONCATENATE("          ", "6008", " - ", "STUDENT HOURLY-FICA EXEMPT")</f>
        <v xml:space="preserve">          6008 - STUDENT HOURLY-FICA EXEMPT</v>
      </c>
      <c r="C70" s="11"/>
      <c r="D70" s="6"/>
      <c r="E70" s="2"/>
      <c r="F70" s="7">
        <f t="shared" si="20"/>
        <v>0</v>
      </c>
      <c r="G70" s="2"/>
      <c r="H70" s="6">
        <v>14168.75</v>
      </c>
      <c r="I70" s="2"/>
      <c r="J70" s="7">
        <f t="shared" si="21"/>
        <v>1.5563761028507154E-2</v>
      </c>
      <c r="K70" s="2"/>
      <c r="L70" s="6">
        <f t="shared" si="22"/>
        <v>-14168.75</v>
      </c>
      <c r="M70" s="2"/>
      <c r="N70" s="7">
        <f t="shared" si="23"/>
        <v>-1</v>
      </c>
      <c r="O70" s="11"/>
      <c r="P70" s="6"/>
      <c r="Q70" s="2"/>
      <c r="R70" s="7">
        <f t="shared" si="24"/>
        <v>0</v>
      </c>
      <c r="S70" s="2"/>
      <c r="T70" s="6">
        <v>27691.25</v>
      </c>
      <c r="U70" s="2"/>
      <c r="V70" s="7">
        <f t="shared" si="25"/>
        <v>1.0971728767651939E-2</v>
      </c>
      <c r="W70" s="2"/>
      <c r="X70" s="6">
        <f t="shared" si="26"/>
        <v>-27691.25</v>
      </c>
      <c r="Y70" s="2"/>
      <c r="Z70" s="7">
        <f t="shared" si="27"/>
        <v>-1</v>
      </c>
    </row>
    <row r="71" spans="1:26" s="24" customFormat="1" hidden="1" outlineLevel="2" x14ac:dyDescent="0.25">
      <c r="A71" s="29"/>
      <c r="B71" s="11" t="str">
        <f>CONCATENATE("          ", "6009", " - ", "TEMPORARY-SEASONAL")</f>
        <v xml:space="preserve">          6009 - TEMPORARY-SEASONAL</v>
      </c>
      <c r="C71" s="11"/>
      <c r="D71" s="6"/>
      <c r="E71" s="2"/>
      <c r="F71" s="7">
        <f t="shared" si="20"/>
        <v>0</v>
      </c>
      <c r="G71" s="2"/>
      <c r="H71" s="6">
        <v>0</v>
      </c>
      <c r="I71" s="2"/>
      <c r="J71" s="7">
        <f t="shared" si="21"/>
        <v>0</v>
      </c>
      <c r="K71" s="2"/>
      <c r="L71" s="6">
        <f t="shared" si="22"/>
        <v>0</v>
      </c>
      <c r="M71" s="2"/>
      <c r="N71" s="7">
        <f t="shared" si="23"/>
        <v>0</v>
      </c>
      <c r="O71" s="11"/>
      <c r="P71" s="6"/>
      <c r="Q71" s="2"/>
      <c r="R71" s="7">
        <f t="shared" si="24"/>
        <v>0</v>
      </c>
      <c r="S71" s="2"/>
      <c r="T71" s="6">
        <v>0</v>
      </c>
      <c r="U71" s="2"/>
      <c r="V71" s="7">
        <f t="shared" si="25"/>
        <v>0</v>
      </c>
      <c r="W71" s="2"/>
      <c r="X71" s="6">
        <f t="shared" si="26"/>
        <v>0</v>
      </c>
      <c r="Y71" s="2"/>
      <c r="Z71" s="7">
        <f t="shared" si="27"/>
        <v>0</v>
      </c>
    </row>
    <row r="72" spans="1:26" s="24" customFormat="1" hidden="1" outlineLevel="2" x14ac:dyDescent="0.25">
      <c r="A72" s="29"/>
      <c r="B72" s="11" t="str">
        <f>CONCATENATE("          ", "6010", " - ", "GRATUITY")</f>
        <v xml:space="preserve">          6010 - GRATUITY</v>
      </c>
      <c r="C72" s="11"/>
      <c r="D72" s="6"/>
      <c r="E72" s="2"/>
      <c r="F72" s="7">
        <f t="shared" si="20"/>
        <v>0</v>
      </c>
      <c r="G72" s="2"/>
      <c r="H72" s="6">
        <v>0</v>
      </c>
      <c r="I72" s="2"/>
      <c r="J72" s="7">
        <f t="shared" si="21"/>
        <v>0</v>
      </c>
      <c r="K72" s="2"/>
      <c r="L72" s="6">
        <f t="shared" si="22"/>
        <v>0</v>
      </c>
      <c r="M72" s="2"/>
      <c r="N72" s="7">
        <f t="shared" si="23"/>
        <v>0</v>
      </c>
      <c r="O72" s="11"/>
      <c r="P72" s="6"/>
      <c r="Q72" s="2"/>
      <c r="R72" s="7">
        <f t="shared" si="24"/>
        <v>0</v>
      </c>
      <c r="S72" s="2"/>
      <c r="T72" s="6">
        <v>0</v>
      </c>
      <c r="U72" s="2"/>
      <c r="V72" s="7">
        <f t="shared" si="25"/>
        <v>0</v>
      </c>
      <c r="W72" s="2"/>
      <c r="X72" s="6">
        <f t="shared" si="26"/>
        <v>0</v>
      </c>
      <c r="Y72" s="2"/>
      <c r="Z72" s="7">
        <f t="shared" si="27"/>
        <v>0</v>
      </c>
    </row>
    <row r="73" spans="1:26" s="28" customFormat="1" outlineLevel="1" collapsed="1" x14ac:dyDescent="0.25">
      <c r="A73" s="27"/>
      <c r="B73" s="14" t="str">
        <f>CONCATENATE("     ","Advertising/Promo                                 ")</f>
        <v xml:space="preserve">     Advertising/Promo                                 </v>
      </c>
      <c r="C73" s="14"/>
      <c r="D73" s="1">
        <f>SUM(OSRRefD22_2x_0)</f>
        <v>0</v>
      </c>
      <c r="E73" s="1"/>
      <c r="F73" s="5">
        <f t="shared" ref="F73:F85" si="28">IF(D$12=0,0,D73/D$12)</f>
        <v>0</v>
      </c>
      <c r="G73" s="1"/>
      <c r="H73" s="1">
        <f>SUM(OSRRefH22_2x_0)</f>
        <v>250</v>
      </c>
      <c r="I73" s="1"/>
      <c r="J73" s="5">
        <f t="shared" ref="J73:J85" si="29">IF(H$12=0,0,H73/H$12)</f>
        <v>2.7461422194101728E-4</v>
      </c>
      <c r="K73" s="1"/>
      <c r="L73" s="1">
        <f t="shared" ref="L73:L85" si="30">+D73-H73</f>
        <v>-250</v>
      </c>
      <c r="M73" s="1"/>
      <c r="N73" s="5">
        <f t="shared" ref="N73:N85" si="31">IF(H73=0,0,L73/H73)</f>
        <v>-1</v>
      </c>
      <c r="O73" s="14"/>
      <c r="P73" s="1">
        <f>SUM(OSRRefP22_2x_0)</f>
        <v>1359.88</v>
      </c>
      <c r="Q73" s="1"/>
      <c r="R73" s="5">
        <f t="shared" ref="R73:R85" si="32">IF(P$12=0,0,P73/P$12)</f>
        <v>8.9967548554130623E-4</v>
      </c>
      <c r="S73" s="1"/>
      <c r="T73" s="1">
        <f>SUM(OSRRefT22_2x_0)</f>
        <v>1150</v>
      </c>
      <c r="U73" s="1"/>
      <c r="V73" s="5">
        <f t="shared" ref="V73:V85" si="33">IF(T$12=0,0,T73/T$12)</f>
        <v>4.5564891735836154E-4</v>
      </c>
      <c r="W73" s="1"/>
      <c r="X73" s="1">
        <f t="shared" ref="X73:X85" si="34">+P73-T73</f>
        <v>209.88000000000011</v>
      </c>
      <c r="Y73" s="1"/>
      <c r="Z73" s="5">
        <f t="shared" ref="Z73:Z85" si="35">IF(T73=0,0,X73/T73)</f>
        <v>0.18250434782608704</v>
      </c>
    </row>
    <row r="74" spans="1:26" s="24" customFormat="1" hidden="1" outlineLevel="2" x14ac:dyDescent="0.25">
      <c r="A74" s="29"/>
      <c r="B74" s="11" t="str">
        <f>CONCATENATE("          ", "6362", " - ", "ADVERTISING EXPENSE")</f>
        <v xml:space="preserve">          6362 - ADVERTISING EXPENSE</v>
      </c>
      <c r="C74" s="11"/>
      <c r="D74" s="6"/>
      <c r="E74" s="2"/>
      <c r="F74" s="7">
        <f t="shared" si="28"/>
        <v>0</v>
      </c>
      <c r="G74" s="2"/>
      <c r="H74" s="6">
        <v>250</v>
      </c>
      <c r="I74" s="2"/>
      <c r="J74" s="7">
        <f t="shared" si="29"/>
        <v>2.7461422194101728E-4</v>
      </c>
      <c r="K74" s="2"/>
      <c r="L74" s="6">
        <f t="shared" si="30"/>
        <v>-250</v>
      </c>
      <c r="M74" s="2"/>
      <c r="N74" s="7">
        <f t="shared" si="31"/>
        <v>-1</v>
      </c>
      <c r="O74" s="11"/>
      <c r="P74" s="6">
        <v>1359.88</v>
      </c>
      <c r="Q74" s="2"/>
      <c r="R74" s="7">
        <f t="shared" si="32"/>
        <v>8.9967548554130623E-4</v>
      </c>
      <c r="S74" s="2"/>
      <c r="T74" s="6">
        <v>1150</v>
      </c>
      <c r="U74" s="2"/>
      <c r="V74" s="7">
        <f t="shared" si="33"/>
        <v>4.5564891735836154E-4</v>
      </c>
      <c r="W74" s="2"/>
      <c r="X74" s="6">
        <f t="shared" si="34"/>
        <v>209.88000000000011</v>
      </c>
      <c r="Y74" s="2"/>
      <c r="Z74" s="7">
        <f t="shared" si="35"/>
        <v>0.18250434782608704</v>
      </c>
    </row>
    <row r="75" spans="1:26" s="28" customFormat="1" outlineLevel="1" collapsed="1" x14ac:dyDescent="0.25">
      <c r="A75" s="27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SUM(OSRRefD22_3x_0)</f>
        <v>0</v>
      </c>
      <c r="E75" s="1"/>
      <c r="F75" s="5">
        <f t="shared" si="28"/>
        <v>0</v>
      </c>
      <c r="G75" s="1"/>
      <c r="H75" s="1">
        <f>SUM(OSRRefH22_3x_0)</f>
        <v>1400</v>
      </c>
      <c r="I75" s="1"/>
      <c r="J75" s="5">
        <f t="shared" si="29"/>
        <v>1.5378396428696965E-3</v>
      </c>
      <c r="K75" s="1"/>
      <c r="L75" s="1">
        <f t="shared" si="30"/>
        <v>-1400</v>
      </c>
      <c r="M75" s="1"/>
      <c r="N75" s="5">
        <f t="shared" si="31"/>
        <v>-1</v>
      </c>
      <c r="O75" s="14"/>
      <c r="P75" s="1">
        <f>SUM(OSRRefP22_3x_0)</f>
        <v>0</v>
      </c>
      <c r="Q75" s="1"/>
      <c r="R75" s="5">
        <f t="shared" si="32"/>
        <v>0</v>
      </c>
      <c r="S75" s="1"/>
      <c r="T75" s="1">
        <f>SUM(OSRRefT22_3x_0)</f>
        <v>6400</v>
      </c>
      <c r="U75" s="1"/>
      <c r="V75" s="5">
        <f t="shared" si="33"/>
        <v>2.535785279211751E-3</v>
      </c>
      <c r="W75" s="1"/>
      <c r="X75" s="1">
        <f t="shared" si="34"/>
        <v>-6400</v>
      </c>
      <c r="Y75" s="1"/>
      <c r="Z75" s="5">
        <f t="shared" si="35"/>
        <v>-1</v>
      </c>
    </row>
    <row r="76" spans="1:26" s="24" customFormat="1" hidden="1" outlineLevel="2" x14ac:dyDescent="0.25">
      <c r="A76" s="29"/>
      <c r="B76" s="11" t="str">
        <f>CONCATENATE("          ", "6382", " - ", "DISCOUNTS/MARK DOWNS")</f>
        <v xml:space="preserve">          6382 - DISCOUNTS/MARK DOWNS</v>
      </c>
      <c r="C76" s="11"/>
      <c r="D76" s="6"/>
      <c r="E76" s="2"/>
      <c r="F76" s="7">
        <f t="shared" si="28"/>
        <v>0</v>
      </c>
      <c r="G76" s="2"/>
      <c r="H76" s="6">
        <v>1400</v>
      </c>
      <c r="I76" s="2"/>
      <c r="J76" s="7">
        <f t="shared" si="29"/>
        <v>1.5378396428696965E-3</v>
      </c>
      <c r="K76" s="2"/>
      <c r="L76" s="6">
        <f t="shared" si="30"/>
        <v>-1400</v>
      </c>
      <c r="M76" s="2"/>
      <c r="N76" s="7">
        <f t="shared" si="31"/>
        <v>-1</v>
      </c>
      <c r="O76" s="11"/>
      <c r="P76" s="6"/>
      <c r="Q76" s="2"/>
      <c r="R76" s="7">
        <f t="shared" si="32"/>
        <v>0</v>
      </c>
      <c r="S76" s="2"/>
      <c r="T76" s="6">
        <v>6400</v>
      </c>
      <c r="U76" s="2"/>
      <c r="V76" s="7">
        <f t="shared" si="33"/>
        <v>2.535785279211751E-3</v>
      </c>
      <c r="W76" s="2"/>
      <c r="X76" s="6">
        <f t="shared" si="34"/>
        <v>-6400</v>
      </c>
      <c r="Y76" s="2"/>
      <c r="Z76" s="7">
        <f t="shared" si="35"/>
        <v>-1</v>
      </c>
    </row>
    <row r="77" spans="1:26" s="28" customFormat="1" outlineLevel="1" collapsed="1" x14ac:dyDescent="0.25">
      <c r="A77" s="27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SUM(OSRRefD22_4x_0)</f>
        <v>0</v>
      </c>
      <c r="E77" s="1"/>
      <c r="F77" s="5">
        <f t="shared" si="28"/>
        <v>0</v>
      </c>
      <c r="G77" s="1"/>
      <c r="H77" s="1">
        <f>SUM(OSRRefH22_4x_0)</f>
        <v>75</v>
      </c>
      <c r="I77" s="1"/>
      <c r="J77" s="5">
        <f t="shared" si="29"/>
        <v>8.2384266582305184E-5</v>
      </c>
      <c r="K77" s="1"/>
      <c r="L77" s="1">
        <f t="shared" si="30"/>
        <v>-75</v>
      </c>
      <c r="M77" s="1"/>
      <c r="N77" s="5">
        <f t="shared" si="31"/>
        <v>-1</v>
      </c>
      <c r="O77" s="14"/>
      <c r="P77" s="1">
        <f>SUM(OSRRefP22_4x_0)</f>
        <v>107.7</v>
      </c>
      <c r="Q77" s="1"/>
      <c r="R77" s="5">
        <f t="shared" si="32"/>
        <v>7.1252647140040789E-5</v>
      </c>
      <c r="S77" s="1"/>
      <c r="T77" s="1">
        <f>SUM(OSRRefT22_4x_0)</f>
        <v>225</v>
      </c>
      <c r="U77" s="1"/>
      <c r="V77" s="5">
        <f t="shared" si="33"/>
        <v>8.9148701222288129E-5</v>
      </c>
      <c r="W77" s="1"/>
      <c r="X77" s="1">
        <f t="shared" si="34"/>
        <v>-117.3</v>
      </c>
      <c r="Y77" s="1"/>
      <c r="Z77" s="5">
        <f t="shared" si="35"/>
        <v>-0.52133333333333332</v>
      </c>
    </row>
    <row r="78" spans="1:26" s="24" customFormat="1" hidden="1" outlineLevel="2" x14ac:dyDescent="0.25">
      <c r="A78" s="29"/>
      <c r="B78" s="11" t="str">
        <f>CONCATENATE("          ", "6277", " - ", "EMPLOYEE APPRECIATION")</f>
        <v xml:space="preserve">          6277 - EMPLOYEE APPRECIATION</v>
      </c>
      <c r="C78" s="11"/>
      <c r="D78" s="6"/>
      <c r="E78" s="2"/>
      <c r="F78" s="7">
        <f t="shared" si="28"/>
        <v>0</v>
      </c>
      <c r="G78" s="2"/>
      <c r="H78" s="6">
        <v>75</v>
      </c>
      <c r="I78" s="2"/>
      <c r="J78" s="7">
        <f t="shared" si="29"/>
        <v>8.2384266582305184E-5</v>
      </c>
      <c r="K78" s="2"/>
      <c r="L78" s="6">
        <f t="shared" si="30"/>
        <v>-75</v>
      </c>
      <c r="M78" s="2"/>
      <c r="N78" s="7">
        <f t="shared" si="31"/>
        <v>-1</v>
      </c>
      <c r="O78" s="11"/>
      <c r="P78" s="6">
        <v>107.7</v>
      </c>
      <c r="Q78" s="2"/>
      <c r="R78" s="7">
        <f t="shared" si="32"/>
        <v>7.1252647140040789E-5</v>
      </c>
      <c r="S78" s="2"/>
      <c r="T78" s="6">
        <v>225</v>
      </c>
      <c r="U78" s="2"/>
      <c r="V78" s="7">
        <f t="shared" si="33"/>
        <v>8.9148701222288129E-5</v>
      </c>
      <c r="W78" s="2"/>
      <c r="X78" s="6">
        <f t="shared" si="34"/>
        <v>-117.3</v>
      </c>
      <c r="Y78" s="2"/>
      <c r="Z78" s="7">
        <f t="shared" si="35"/>
        <v>-0.52133333333333332</v>
      </c>
    </row>
    <row r="79" spans="1:26" s="28" customFormat="1" outlineLevel="1" collapsed="1" x14ac:dyDescent="0.25">
      <c r="A79" s="27"/>
      <c r="B79" s="14" t="str">
        <f>CONCATENATE("     ","Equipment Rental                                  ")</f>
        <v xml:space="preserve">     Equipment Rental                                  </v>
      </c>
      <c r="C79" s="14"/>
      <c r="D79" s="1">
        <f>SUM(OSRRefD22_5x_0)</f>
        <v>91.26</v>
      </c>
      <c r="E79" s="1"/>
      <c r="F79" s="5">
        <f t="shared" si="28"/>
        <v>3.8445389116753206E-4</v>
      </c>
      <c r="G79" s="1"/>
      <c r="H79" s="1">
        <f>SUM(OSRRefH22_5x_0)</f>
        <v>100</v>
      </c>
      <c r="I79" s="1"/>
      <c r="J79" s="5">
        <f t="shared" si="29"/>
        <v>1.098456887764069E-4</v>
      </c>
      <c r="K79" s="1"/>
      <c r="L79" s="1">
        <f t="shared" si="30"/>
        <v>-8.7399999999999949</v>
      </c>
      <c r="M79" s="1"/>
      <c r="N79" s="5">
        <f t="shared" si="31"/>
        <v>-8.739999999999995E-2</v>
      </c>
      <c r="O79" s="14"/>
      <c r="P79" s="1">
        <f>SUM(OSRRefP22_5x_0)</f>
        <v>273.77999999999997</v>
      </c>
      <c r="Q79" s="1"/>
      <c r="R79" s="5">
        <f t="shared" si="32"/>
        <v>1.8112859548746857E-4</v>
      </c>
      <c r="S79" s="1"/>
      <c r="T79" s="1">
        <f>SUM(OSRRefT22_5x_0)</f>
        <v>300</v>
      </c>
      <c r="U79" s="1"/>
      <c r="V79" s="5">
        <f t="shared" si="33"/>
        <v>1.1886493496305083E-4</v>
      </c>
      <c r="W79" s="1"/>
      <c r="X79" s="1">
        <f t="shared" si="34"/>
        <v>-26.220000000000027</v>
      </c>
      <c r="Y79" s="1"/>
      <c r="Z79" s="5">
        <f t="shared" si="35"/>
        <v>-8.7400000000000089E-2</v>
      </c>
    </row>
    <row r="80" spans="1:26" s="24" customFormat="1" hidden="1" outlineLevel="2" x14ac:dyDescent="0.25">
      <c r="A80" s="29"/>
      <c r="B80" s="11" t="str">
        <f>CONCATENATE("          ", "6351", " - ", "EQUIPMENT RENTAL")</f>
        <v xml:space="preserve">          6351 - EQUIPMENT RENTAL</v>
      </c>
      <c r="C80" s="11"/>
      <c r="D80" s="6">
        <v>91.26</v>
      </c>
      <c r="E80" s="2"/>
      <c r="F80" s="7">
        <f t="shared" si="28"/>
        <v>3.8445389116753206E-4</v>
      </c>
      <c r="G80" s="2"/>
      <c r="H80" s="6">
        <v>100</v>
      </c>
      <c r="I80" s="2"/>
      <c r="J80" s="7">
        <f t="shared" si="29"/>
        <v>1.098456887764069E-4</v>
      </c>
      <c r="K80" s="2"/>
      <c r="L80" s="6">
        <f t="shared" si="30"/>
        <v>-8.7399999999999949</v>
      </c>
      <c r="M80" s="2"/>
      <c r="N80" s="7">
        <f t="shared" si="31"/>
        <v>-8.739999999999995E-2</v>
      </c>
      <c r="O80" s="11"/>
      <c r="P80" s="6">
        <v>273.77999999999997</v>
      </c>
      <c r="Q80" s="2"/>
      <c r="R80" s="7">
        <f t="shared" si="32"/>
        <v>1.8112859548746857E-4</v>
      </c>
      <c r="S80" s="2"/>
      <c r="T80" s="6">
        <v>300</v>
      </c>
      <c r="U80" s="2"/>
      <c r="V80" s="7">
        <f t="shared" si="33"/>
        <v>1.1886493496305083E-4</v>
      </c>
      <c r="W80" s="2"/>
      <c r="X80" s="6">
        <f t="shared" si="34"/>
        <v>-26.220000000000027</v>
      </c>
      <c r="Y80" s="2"/>
      <c r="Z80" s="7">
        <f t="shared" si="35"/>
        <v>-8.7400000000000089E-2</v>
      </c>
    </row>
    <row r="81" spans="1:26" s="28" customFormat="1" outlineLevel="1" collapsed="1" x14ac:dyDescent="0.25">
      <c r="A81" s="27"/>
      <c r="B81" s="14" t="str">
        <f>CONCATENATE("     ","Freight out/Postage                               ")</f>
        <v xml:space="preserve">     Freight out/Postage                               </v>
      </c>
      <c r="C81" s="14"/>
      <c r="D81" s="1">
        <f>SUM(OSRRefD22_6x_0)</f>
        <v>35.35</v>
      </c>
      <c r="E81" s="1"/>
      <c r="F81" s="5">
        <f t="shared" si="28"/>
        <v>1.4892006413294169E-4</v>
      </c>
      <c r="G81" s="1"/>
      <c r="H81" s="1">
        <f>SUM(OSRRefH22_6x_0)</f>
        <v>2200</v>
      </c>
      <c r="I81" s="1"/>
      <c r="J81" s="5">
        <f t="shared" si="29"/>
        <v>2.416605153080952E-3</v>
      </c>
      <c r="K81" s="1"/>
      <c r="L81" s="1">
        <f t="shared" si="30"/>
        <v>-2164.65</v>
      </c>
      <c r="M81" s="1"/>
      <c r="N81" s="5">
        <f t="shared" si="31"/>
        <v>-0.98393181818181819</v>
      </c>
      <c r="O81" s="14"/>
      <c r="P81" s="1">
        <f>SUM(OSRRefP22_6x_0)</f>
        <v>536.16</v>
      </c>
      <c r="Q81" s="1"/>
      <c r="R81" s="5">
        <f t="shared" si="32"/>
        <v>3.5471512804646489E-4</v>
      </c>
      <c r="S81" s="1"/>
      <c r="T81" s="1">
        <f>SUM(OSRRefT22_6x_0)</f>
        <v>3500</v>
      </c>
      <c r="U81" s="1"/>
      <c r="V81" s="5">
        <f t="shared" si="33"/>
        <v>1.3867575745689265E-3</v>
      </c>
      <c r="W81" s="1"/>
      <c r="X81" s="1">
        <f t="shared" si="34"/>
        <v>-2963.84</v>
      </c>
      <c r="Y81" s="1"/>
      <c r="Z81" s="5">
        <f t="shared" si="35"/>
        <v>-0.84681142857142866</v>
      </c>
    </row>
    <row r="82" spans="1:26" s="24" customFormat="1" hidden="1" outlineLevel="2" x14ac:dyDescent="0.25">
      <c r="A82" s="29"/>
      <c r="B82" s="11" t="str">
        <f>CONCATENATE("          ", "6305", " - ", "FREIGHT OUT")</f>
        <v xml:space="preserve">          6305 - FREIGHT OUT</v>
      </c>
      <c r="C82" s="11"/>
      <c r="D82" s="6">
        <v>35.35</v>
      </c>
      <c r="E82" s="2"/>
      <c r="F82" s="7">
        <f t="shared" si="28"/>
        <v>1.4892006413294169E-4</v>
      </c>
      <c r="G82" s="2"/>
      <c r="H82" s="6">
        <v>2200</v>
      </c>
      <c r="I82" s="2"/>
      <c r="J82" s="7">
        <f t="shared" si="29"/>
        <v>2.416605153080952E-3</v>
      </c>
      <c r="K82" s="2"/>
      <c r="L82" s="6">
        <f t="shared" si="30"/>
        <v>-2164.65</v>
      </c>
      <c r="M82" s="2"/>
      <c r="N82" s="7">
        <f t="shared" si="31"/>
        <v>-0.98393181818181819</v>
      </c>
      <c r="O82" s="11"/>
      <c r="P82" s="6">
        <v>536.16</v>
      </c>
      <c r="Q82" s="2"/>
      <c r="R82" s="7">
        <f t="shared" si="32"/>
        <v>3.5471512804646489E-4</v>
      </c>
      <c r="S82" s="2"/>
      <c r="T82" s="6">
        <v>3500</v>
      </c>
      <c r="U82" s="2"/>
      <c r="V82" s="7">
        <f t="shared" si="33"/>
        <v>1.3867575745689265E-3</v>
      </c>
      <c r="W82" s="2"/>
      <c r="X82" s="6">
        <f t="shared" si="34"/>
        <v>-2963.84</v>
      </c>
      <c r="Y82" s="2"/>
      <c r="Z82" s="7">
        <f t="shared" si="35"/>
        <v>-0.84681142857142866</v>
      </c>
    </row>
    <row r="83" spans="1:26" s="28" customFormat="1" outlineLevel="1" collapsed="1" x14ac:dyDescent="0.25">
      <c r="A83" s="27"/>
      <c r="B83" s="14" t="str">
        <f>CONCATENATE("     ","General                                           ")</f>
        <v xml:space="preserve">     General                                           </v>
      </c>
      <c r="C83" s="14"/>
      <c r="D83" s="1">
        <f>SUM(OSRRefD22_7x_0)</f>
        <v>0</v>
      </c>
      <c r="E83" s="1"/>
      <c r="F83" s="5">
        <f t="shared" si="28"/>
        <v>0</v>
      </c>
      <c r="G83" s="1"/>
      <c r="H83" s="1">
        <f>SUM(OSRRefH22_7x_0)</f>
        <v>0</v>
      </c>
      <c r="I83" s="1"/>
      <c r="J83" s="5">
        <f t="shared" si="29"/>
        <v>0</v>
      </c>
      <c r="K83" s="1"/>
      <c r="L83" s="1">
        <f t="shared" si="30"/>
        <v>0</v>
      </c>
      <c r="M83" s="1"/>
      <c r="N83" s="5">
        <f t="shared" si="31"/>
        <v>0</v>
      </c>
      <c r="O83" s="14"/>
      <c r="P83" s="1">
        <f>SUM(OSRRefP22_7x_0)</f>
        <v>-4794.1899999999996</v>
      </c>
      <c r="Q83" s="1"/>
      <c r="R83" s="5">
        <f t="shared" si="32"/>
        <v>-3.1717616378116264E-3</v>
      </c>
      <c r="S83" s="1"/>
      <c r="T83" s="1">
        <f>SUM(OSRRefT22_7x_0)</f>
        <v>125</v>
      </c>
      <c r="U83" s="1"/>
      <c r="V83" s="5">
        <f t="shared" si="33"/>
        <v>4.9527056234604513E-5</v>
      </c>
      <c r="W83" s="1"/>
      <c r="X83" s="1">
        <f t="shared" si="34"/>
        <v>-4919.1899999999996</v>
      </c>
      <c r="Y83" s="1"/>
      <c r="Z83" s="5">
        <f t="shared" si="35"/>
        <v>-39.353519999999996</v>
      </c>
    </row>
    <row r="84" spans="1:26" s="24" customFormat="1" hidden="1" outlineLevel="2" x14ac:dyDescent="0.25">
      <c r="A84" s="29"/>
      <c r="B84" s="11" t="str">
        <f>CONCATENATE("          ", "6269", " - ", "ENTERTAINMENT")</f>
        <v xml:space="preserve">          6269 - ENTERTAINMENT</v>
      </c>
      <c r="C84" s="11"/>
      <c r="D84" s="6"/>
      <c r="E84" s="2"/>
      <c r="F84" s="7">
        <f t="shared" si="28"/>
        <v>0</v>
      </c>
      <c r="G84" s="2"/>
      <c r="H84" s="6">
        <v>0</v>
      </c>
      <c r="I84" s="2"/>
      <c r="J84" s="7">
        <f t="shared" si="29"/>
        <v>0</v>
      </c>
      <c r="K84" s="2"/>
      <c r="L84" s="6">
        <f t="shared" si="30"/>
        <v>0</v>
      </c>
      <c r="M84" s="2"/>
      <c r="N84" s="7">
        <f t="shared" si="31"/>
        <v>0</v>
      </c>
      <c r="O84" s="11"/>
      <c r="P84" s="6"/>
      <c r="Q84" s="2"/>
      <c r="R84" s="7">
        <f t="shared" si="32"/>
        <v>0</v>
      </c>
      <c r="S84" s="2"/>
      <c r="T84" s="6">
        <v>125</v>
      </c>
      <c r="U84" s="2"/>
      <c r="V84" s="7">
        <f t="shared" si="33"/>
        <v>4.9527056234604513E-5</v>
      </c>
      <c r="W84" s="2"/>
      <c r="X84" s="6">
        <f t="shared" si="34"/>
        <v>-125</v>
      </c>
      <c r="Y84" s="2"/>
      <c r="Z84" s="7">
        <f t="shared" si="35"/>
        <v>-1</v>
      </c>
    </row>
    <row r="85" spans="1:26" s="24" customFormat="1" hidden="1" outlineLevel="2" x14ac:dyDescent="0.25">
      <c r="A85" s="29"/>
      <c r="B85" s="11" t="str">
        <f>CONCATENATE("          ", "6279", " - ", "GENERAL EXPENSE")</f>
        <v xml:space="preserve">          6279 - GENERAL EXPENSE</v>
      </c>
      <c r="C85" s="11"/>
      <c r="D85" s="6"/>
      <c r="E85" s="2"/>
      <c r="F85" s="7">
        <f t="shared" si="28"/>
        <v>0</v>
      </c>
      <c r="G85" s="2"/>
      <c r="H85" s="6"/>
      <c r="I85" s="2"/>
      <c r="J85" s="7">
        <f t="shared" si="29"/>
        <v>0</v>
      </c>
      <c r="K85" s="2"/>
      <c r="L85" s="6">
        <f t="shared" si="30"/>
        <v>0</v>
      </c>
      <c r="M85" s="2"/>
      <c r="N85" s="7">
        <f t="shared" si="31"/>
        <v>0</v>
      </c>
      <c r="O85" s="11"/>
      <c r="P85" s="6">
        <v>-4794.1899999999996</v>
      </c>
      <c r="Q85" s="2"/>
      <c r="R85" s="7">
        <f t="shared" si="32"/>
        <v>-3.1717616378116264E-3</v>
      </c>
      <c r="S85" s="2"/>
      <c r="T85" s="6"/>
      <c r="U85" s="2"/>
      <c r="V85" s="7">
        <f t="shared" si="33"/>
        <v>0</v>
      </c>
      <c r="W85" s="2"/>
      <c r="X85" s="6">
        <f t="shared" si="34"/>
        <v>-4794.1899999999996</v>
      </c>
      <c r="Y85" s="2"/>
      <c r="Z85" s="7">
        <f t="shared" si="35"/>
        <v>0</v>
      </c>
    </row>
    <row r="86" spans="1:26" s="28" customFormat="1" outlineLevel="1" collapsed="1" x14ac:dyDescent="0.25">
      <c r="A86" s="27"/>
      <c r="B86" s="14" t="str">
        <f>CONCATENATE("     ","Inventory Adjustment                              ")</f>
        <v xml:space="preserve">     Inventory Adjustment                              </v>
      </c>
      <c r="C86" s="14"/>
      <c r="D86" s="1">
        <f>SUM(OSRRefD22_8x_0)</f>
        <v>1000</v>
      </c>
      <c r="E86" s="1"/>
      <c r="F86" s="5">
        <f t="shared" ref="F86:F90" si="36">IF(D$12=0,0,D86/D$12)</f>
        <v>4.2127316586405006E-3</v>
      </c>
      <c r="G86" s="1"/>
      <c r="H86" s="1">
        <f>SUM(OSRRefH22_8x_0)</f>
        <v>1000</v>
      </c>
      <c r="I86" s="1"/>
      <c r="J86" s="5">
        <f t="shared" ref="J86:J90" si="37">IF(H$12=0,0,H86/H$12)</f>
        <v>1.0984568877640691E-3</v>
      </c>
      <c r="K86" s="1"/>
      <c r="L86" s="1">
        <f t="shared" ref="L86:L90" si="38">+D86-H86</f>
        <v>0</v>
      </c>
      <c r="M86" s="1"/>
      <c r="N86" s="5">
        <f t="shared" ref="N86:N90" si="39">IF(H86=0,0,L86/H86)</f>
        <v>0</v>
      </c>
      <c r="O86" s="14"/>
      <c r="P86" s="1">
        <f>SUM(OSRRefP22_8x_0)</f>
        <v>3000</v>
      </c>
      <c r="Q86" s="1"/>
      <c r="R86" s="5">
        <f t="shared" ref="R86:R90" si="40">IF(P$12=0,0,P86/P$12)</f>
        <v>1.9847534022295484E-3</v>
      </c>
      <c r="S86" s="1"/>
      <c r="T86" s="1">
        <f>SUM(OSRRefT22_8x_0)</f>
        <v>3000</v>
      </c>
      <c r="U86" s="1"/>
      <c r="V86" s="5">
        <f t="shared" ref="V86:V90" si="41">IF(T$12=0,0,T86/T$12)</f>
        <v>1.1886493496305083E-3</v>
      </c>
      <c r="W86" s="1"/>
      <c r="X86" s="1">
        <f t="shared" ref="X86:X90" si="42">+P86-T86</f>
        <v>0</v>
      </c>
      <c r="Y86" s="1"/>
      <c r="Z86" s="5">
        <f t="shared" ref="Z86:Z90" si="43">IF(T86=0,0,X86/T86)</f>
        <v>0</v>
      </c>
    </row>
    <row r="87" spans="1:26" s="24" customFormat="1" hidden="1" outlineLevel="2" x14ac:dyDescent="0.25">
      <c r="A87" s="29"/>
      <c r="B87" s="11" t="str">
        <f>CONCATENATE("          ", "6408", " - ", "INVENTORY ADJUSTMENT")</f>
        <v xml:space="preserve">          6408 - INVENTORY ADJUSTMENT</v>
      </c>
      <c r="C87" s="11"/>
      <c r="D87" s="6">
        <v>1000</v>
      </c>
      <c r="E87" s="2"/>
      <c r="F87" s="7">
        <f t="shared" si="36"/>
        <v>4.2127316586405006E-3</v>
      </c>
      <c r="G87" s="2"/>
      <c r="H87" s="6">
        <v>1000</v>
      </c>
      <c r="I87" s="2"/>
      <c r="J87" s="7">
        <f t="shared" si="37"/>
        <v>1.0984568877640691E-3</v>
      </c>
      <c r="K87" s="2"/>
      <c r="L87" s="6">
        <f t="shared" si="38"/>
        <v>0</v>
      </c>
      <c r="M87" s="2"/>
      <c r="N87" s="7">
        <f t="shared" si="39"/>
        <v>0</v>
      </c>
      <c r="O87" s="11"/>
      <c r="P87" s="6">
        <v>3000</v>
      </c>
      <c r="Q87" s="2"/>
      <c r="R87" s="7">
        <f t="shared" si="40"/>
        <v>1.9847534022295484E-3</v>
      </c>
      <c r="S87" s="2"/>
      <c r="T87" s="6">
        <v>3000</v>
      </c>
      <c r="U87" s="2"/>
      <c r="V87" s="7">
        <f t="shared" si="41"/>
        <v>1.1886493496305083E-3</v>
      </c>
      <c r="W87" s="2"/>
      <c r="X87" s="6">
        <f t="shared" si="42"/>
        <v>0</v>
      </c>
      <c r="Y87" s="2"/>
      <c r="Z87" s="7">
        <f t="shared" si="43"/>
        <v>0</v>
      </c>
    </row>
    <row r="88" spans="1:26" s="28" customFormat="1" outlineLevel="1" collapsed="1" x14ac:dyDescent="0.25">
      <c r="A88" s="27"/>
      <c r="B88" s="14" t="str">
        <f>CONCATENATE("     ","Repair and Maintenance                            ")</f>
        <v xml:space="preserve">     Repair and Maintenance                            </v>
      </c>
      <c r="C88" s="14"/>
      <c r="D88" s="1">
        <f>SUM(OSRRefD22_9x_0)</f>
        <v>68.94</v>
      </c>
      <c r="E88" s="1"/>
      <c r="F88" s="5">
        <f t="shared" si="36"/>
        <v>2.9042572054667606E-4</v>
      </c>
      <c r="G88" s="1"/>
      <c r="H88" s="1">
        <f>SUM(OSRRefH22_9x_0)</f>
        <v>140</v>
      </c>
      <c r="I88" s="1"/>
      <c r="J88" s="5">
        <f t="shared" si="37"/>
        <v>1.5378396428696967E-4</v>
      </c>
      <c r="K88" s="1"/>
      <c r="L88" s="1">
        <f t="shared" si="38"/>
        <v>-71.06</v>
      </c>
      <c r="M88" s="1"/>
      <c r="N88" s="5">
        <f t="shared" si="39"/>
        <v>-0.50757142857142856</v>
      </c>
      <c r="O88" s="14"/>
      <c r="P88" s="1">
        <f>SUM(OSRRefP22_9x_0)</f>
        <v>91.8</v>
      </c>
      <c r="Q88" s="1"/>
      <c r="R88" s="5">
        <f t="shared" si="40"/>
        <v>6.0733454108224185E-5</v>
      </c>
      <c r="S88" s="1"/>
      <c r="T88" s="1">
        <f>SUM(OSRRefT22_9x_0)</f>
        <v>420</v>
      </c>
      <c r="U88" s="1"/>
      <c r="V88" s="5">
        <f t="shared" si="41"/>
        <v>1.6641090894827117E-4</v>
      </c>
      <c r="W88" s="1"/>
      <c r="X88" s="1">
        <f t="shared" si="42"/>
        <v>-328.2</v>
      </c>
      <c r="Y88" s="1"/>
      <c r="Z88" s="5">
        <f t="shared" si="43"/>
        <v>-0.78142857142857136</v>
      </c>
    </row>
    <row r="89" spans="1:26" s="24" customFormat="1" hidden="1" outlineLevel="2" x14ac:dyDescent="0.25">
      <c r="A89" s="29"/>
      <c r="B89" s="11" t="str">
        <f>CONCATENATE("          ", "6373", " - ", "MAINTENANCE CONTRACTS")</f>
        <v xml:space="preserve">          6373 - MAINTENANCE CONTRACTS</v>
      </c>
      <c r="C89" s="11"/>
      <c r="D89" s="6">
        <v>43.83</v>
      </c>
      <c r="E89" s="2"/>
      <c r="F89" s="7">
        <f t="shared" si="36"/>
        <v>1.8464402859821313E-4</v>
      </c>
      <c r="G89" s="2"/>
      <c r="H89" s="6">
        <v>40</v>
      </c>
      <c r="I89" s="2"/>
      <c r="J89" s="7">
        <f t="shared" si="37"/>
        <v>4.393827551056276E-5</v>
      </c>
      <c r="K89" s="2"/>
      <c r="L89" s="6">
        <f t="shared" si="38"/>
        <v>3.8299999999999983</v>
      </c>
      <c r="M89" s="2"/>
      <c r="N89" s="7">
        <f t="shared" si="39"/>
        <v>9.574999999999996E-2</v>
      </c>
      <c r="O89" s="11"/>
      <c r="P89" s="6">
        <v>66.69</v>
      </c>
      <c r="Q89" s="2"/>
      <c r="R89" s="7">
        <f t="shared" si="40"/>
        <v>4.4121068131562864E-5</v>
      </c>
      <c r="S89" s="2"/>
      <c r="T89" s="6">
        <v>120</v>
      </c>
      <c r="U89" s="2"/>
      <c r="V89" s="7">
        <f t="shared" si="41"/>
        <v>4.7545973985220336E-5</v>
      </c>
      <c r="W89" s="2"/>
      <c r="X89" s="6">
        <f t="shared" si="42"/>
        <v>-53.31</v>
      </c>
      <c r="Y89" s="2"/>
      <c r="Z89" s="7">
        <f t="shared" si="43"/>
        <v>-0.44425000000000003</v>
      </c>
    </row>
    <row r="90" spans="1:26" s="24" customFormat="1" hidden="1" outlineLevel="2" x14ac:dyDescent="0.25">
      <c r="A90" s="29"/>
      <c r="B90" s="11" t="str">
        <f>CONCATENATE("          ", "6375", " - ", "OUTSIDE REPAIRS &amp; MAINTENANCE")</f>
        <v xml:space="preserve">          6375 - OUTSIDE REPAIRS &amp; MAINTENANCE</v>
      </c>
      <c r="C90" s="11"/>
      <c r="D90" s="6">
        <v>25.11</v>
      </c>
      <c r="E90" s="2"/>
      <c r="F90" s="7">
        <f t="shared" si="36"/>
        <v>1.0578169194846296E-4</v>
      </c>
      <c r="G90" s="2"/>
      <c r="H90" s="6">
        <v>100</v>
      </c>
      <c r="I90" s="2"/>
      <c r="J90" s="7">
        <f t="shared" si="37"/>
        <v>1.098456887764069E-4</v>
      </c>
      <c r="K90" s="2"/>
      <c r="L90" s="6">
        <f t="shared" si="38"/>
        <v>-74.89</v>
      </c>
      <c r="M90" s="2"/>
      <c r="N90" s="7">
        <f t="shared" si="39"/>
        <v>-0.74890000000000001</v>
      </c>
      <c r="O90" s="11"/>
      <c r="P90" s="6">
        <v>25.11</v>
      </c>
      <c r="Q90" s="2"/>
      <c r="R90" s="7">
        <f t="shared" si="40"/>
        <v>1.661238597666132E-5</v>
      </c>
      <c r="S90" s="2"/>
      <c r="T90" s="6">
        <v>300</v>
      </c>
      <c r="U90" s="2"/>
      <c r="V90" s="7">
        <f t="shared" si="41"/>
        <v>1.1886493496305083E-4</v>
      </c>
      <c r="W90" s="2"/>
      <c r="X90" s="6">
        <f t="shared" si="42"/>
        <v>-274.89</v>
      </c>
      <c r="Y90" s="2"/>
      <c r="Z90" s="7">
        <f t="shared" si="43"/>
        <v>-0.9163</v>
      </c>
    </row>
    <row r="91" spans="1:26" s="28" customFormat="1" outlineLevel="1" collapsed="1" x14ac:dyDescent="0.25">
      <c r="A91" s="27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SUM(OSRRefD22_10x_0)</f>
        <v>73.040000000000006</v>
      </c>
      <c r="E91" s="1"/>
      <c r="F91" s="5">
        <f t="shared" ref="F91:F96" si="44">IF(D$12=0,0,D91/D$12)</f>
        <v>3.0769792034710219E-4</v>
      </c>
      <c r="G91" s="1"/>
      <c r="H91" s="1">
        <f>SUM(OSRRefH22_10x_0)</f>
        <v>300</v>
      </c>
      <c r="I91" s="1"/>
      <c r="J91" s="5">
        <f t="shared" ref="J91:J96" si="45">IF(H$12=0,0,H91/H$12)</f>
        <v>3.2953706632922073E-4</v>
      </c>
      <c r="K91" s="1"/>
      <c r="L91" s="1">
        <f t="shared" ref="L91:L96" si="46">+D91-H91</f>
        <v>-226.95999999999998</v>
      </c>
      <c r="M91" s="1"/>
      <c r="N91" s="5">
        <f t="shared" ref="N91:N96" si="47">IF(H91=0,0,L91/H91)</f>
        <v>-0.75653333333333328</v>
      </c>
      <c r="O91" s="14"/>
      <c r="P91" s="1">
        <f>SUM(OSRRefP22_10x_0)</f>
        <v>633.04</v>
      </c>
      <c r="Q91" s="1"/>
      <c r="R91" s="5">
        <f t="shared" ref="R91:R96" si="48">IF(P$12=0,0,P91/P$12)</f>
        <v>4.188094312491311E-4</v>
      </c>
      <c r="S91" s="1"/>
      <c r="T91" s="1">
        <f>SUM(OSRRefT22_10x_0)</f>
        <v>900</v>
      </c>
      <c r="U91" s="1"/>
      <c r="V91" s="5">
        <f t="shared" ref="V91:V96" si="49">IF(T$12=0,0,T91/T$12)</f>
        <v>3.5659480488915252E-4</v>
      </c>
      <c r="W91" s="1"/>
      <c r="X91" s="1">
        <f t="shared" ref="X91:X96" si="50">+P91-T91</f>
        <v>-266.96000000000004</v>
      </c>
      <c r="Y91" s="1"/>
      <c r="Z91" s="5">
        <f t="shared" ref="Z91:Z96" si="51">IF(T91=0,0,X91/T91)</f>
        <v>-0.29662222222222229</v>
      </c>
    </row>
    <row r="92" spans="1:26" s="24" customFormat="1" hidden="1" outlineLevel="2" x14ac:dyDescent="0.25">
      <c r="A92" s="29"/>
      <c r="B92" s="11" t="str">
        <f>CONCATENATE("          ", "6258", " - ", "MEMBERSHIP DUES")</f>
        <v xml:space="preserve">          6258 - MEMBERSHIP DUES</v>
      </c>
      <c r="C92" s="11"/>
      <c r="D92" s="6">
        <v>73.040000000000006</v>
      </c>
      <c r="E92" s="2"/>
      <c r="F92" s="7">
        <f t="shared" si="44"/>
        <v>3.0769792034710219E-4</v>
      </c>
      <c r="G92" s="2"/>
      <c r="H92" s="6">
        <v>300</v>
      </c>
      <c r="I92" s="2"/>
      <c r="J92" s="7">
        <f t="shared" si="45"/>
        <v>3.2953706632922073E-4</v>
      </c>
      <c r="K92" s="2"/>
      <c r="L92" s="6">
        <f t="shared" si="46"/>
        <v>-226.95999999999998</v>
      </c>
      <c r="M92" s="2"/>
      <c r="N92" s="7">
        <f t="shared" si="47"/>
        <v>-0.75653333333333328</v>
      </c>
      <c r="O92" s="11"/>
      <c r="P92" s="6">
        <v>633.04</v>
      </c>
      <c r="Q92" s="2"/>
      <c r="R92" s="7">
        <f t="shared" si="48"/>
        <v>4.188094312491311E-4</v>
      </c>
      <c r="S92" s="2"/>
      <c r="T92" s="6">
        <v>900</v>
      </c>
      <c r="U92" s="2"/>
      <c r="V92" s="7">
        <f t="shared" si="49"/>
        <v>3.5659480488915252E-4</v>
      </c>
      <c r="W92" s="2"/>
      <c r="X92" s="6">
        <f t="shared" si="50"/>
        <v>-266.96000000000004</v>
      </c>
      <c r="Y92" s="2"/>
      <c r="Z92" s="7">
        <f t="shared" si="51"/>
        <v>-0.29662222222222229</v>
      </c>
    </row>
    <row r="93" spans="1:26" s="28" customFormat="1" outlineLevel="1" collapsed="1" x14ac:dyDescent="0.25">
      <c r="A93" s="27"/>
      <c r="B93" s="14" t="str">
        <f>CONCATENATE("     ","Supplies                                          ")</f>
        <v xml:space="preserve">     Supplies                                          </v>
      </c>
      <c r="C93" s="14"/>
      <c r="D93" s="1">
        <f>SUM(OSRRefD22_11x_0)</f>
        <v>98.81</v>
      </c>
      <c r="E93" s="1"/>
      <c r="F93" s="5">
        <f t="shared" si="44"/>
        <v>4.1626001519026783E-4</v>
      </c>
      <c r="G93" s="1"/>
      <c r="H93" s="1">
        <f>SUM(OSRRefH22_11x_0)</f>
        <v>1400</v>
      </c>
      <c r="I93" s="1"/>
      <c r="J93" s="5">
        <f t="shared" si="45"/>
        <v>1.5378396428696965E-3</v>
      </c>
      <c r="K93" s="1"/>
      <c r="L93" s="1">
        <f t="shared" si="46"/>
        <v>-1301.19</v>
      </c>
      <c r="M93" s="1"/>
      <c r="N93" s="5">
        <f t="shared" si="47"/>
        <v>-0.92942142857142862</v>
      </c>
      <c r="O93" s="14"/>
      <c r="P93" s="1">
        <f>SUM(OSRRefP22_11x_0)</f>
        <v>1088.97</v>
      </c>
      <c r="Q93" s="1"/>
      <c r="R93" s="5">
        <f t="shared" si="48"/>
        <v>7.2044563747530389E-4</v>
      </c>
      <c r="S93" s="1"/>
      <c r="T93" s="1">
        <f>SUM(OSRRefT22_11x_0)</f>
        <v>4000</v>
      </c>
      <c r="U93" s="1"/>
      <c r="V93" s="5">
        <f t="shared" si="49"/>
        <v>1.5848657995073444E-3</v>
      </c>
      <c r="W93" s="1"/>
      <c r="X93" s="1">
        <f t="shared" si="50"/>
        <v>-2911.0299999999997</v>
      </c>
      <c r="Y93" s="1"/>
      <c r="Z93" s="5">
        <f t="shared" si="51"/>
        <v>-0.72775749999999995</v>
      </c>
    </row>
    <row r="94" spans="1:26" s="24" customFormat="1" hidden="1" outlineLevel="2" x14ac:dyDescent="0.25">
      <c r="A94" s="29"/>
      <c r="B94" s="11" t="str">
        <f>CONCATENATE("          ", "6241", " - ", "OFFICE EXPENSE")</f>
        <v xml:space="preserve">          6241 - OFFICE EXPENSE</v>
      </c>
      <c r="C94" s="11"/>
      <c r="D94" s="6">
        <v>98.81</v>
      </c>
      <c r="E94" s="2"/>
      <c r="F94" s="7">
        <f t="shared" si="44"/>
        <v>4.1626001519026783E-4</v>
      </c>
      <c r="G94" s="2"/>
      <c r="H94" s="6">
        <v>300</v>
      </c>
      <c r="I94" s="2"/>
      <c r="J94" s="7">
        <f t="shared" si="45"/>
        <v>3.2953706632922073E-4</v>
      </c>
      <c r="K94" s="2"/>
      <c r="L94" s="6">
        <f t="shared" si="46"/>
        <v>-201.19</v>
      </c>
      <c r="M94" s="2"/>
      <c r="N94" s="7">
        <f t="shared" si="47"/>
        <v>-0.6706333333333333</v>
      </c>
      <c r="O94" s="11"/>
      <c r="P94" s="6">
        <v>455.87</v>
      </c>
      <c r="Q94" s="2"/>
      <c r="R94" s="7">
        <f t="shared" si="48"/>
        <v>3.0159651115812809E-4</v>
      </c>
      <c r="S94" s="2"/>
      <c r="T94" s="6">
        <v>1200</v>
      </c>
      <c r="U94" s="2"/>
      <c r="V94" s="7">
        <f t="shared" si="49"/>
        <v>4.7545973985220334E-4</v>
      </c>
      <c r="W94" s="2"/>
      <c r="X94" s="6">
        <f t="shared" si="50"/>
        <v>-744.13</v>
      </c>
      <c r="Y94" s="2"/>
      <c r="Z94" s="7">
        <f t="shared" si="51"/>
        <v>-0.62010833333333337</v>
      </c>
    </row>
    <row r="95" spans="1:26" s="24" customFormat="1" hidden="1" outlineLevel="2" x14ac:dyDescent="0.25">
      <c r="A95" s="29"/>
      <c r="B95" s="11" t="str">
        <f>CONCATENATE("          ", "6245", " - ", "PRINTING")</f>
        <v xml:space="preserve">          6245 - PRINTING</v>
      </c>
      <c r="C95" s="11"/>
      <c r="D95" s="6"/>
      <c r="E95" s="2"/>
      <c r="F95" s="7">
        <f t="shared" si="44"/>
        <v>0</v>
      </c>
      <c r="G95" s="2"/>
      <c r="H95" s="6">
        <v>100</v>
      </c>
      <c r="I95" s="2"/>
      <c r="J95" s="7">
        <f t="shared" si="45"/>
        <v>1.098456887764069E-4</v>
      </c>
      <c r="K95" s="2"/>
      <c r="L95" s="6">
        <f t="shared" si="46"/>
        <v>-100</v>
      </c>
      <c r="M95" s="2"/>
      <c r="N95" s="7">
        <f t="shared" si="47"/>
        <v>-1</v>
      </c>
      <c r="O95" s="11"/>
      <c r="P95" s="6"/>
      <c r="Q95" s="2"/>
      <c r="R95" s="7">
        <f t="shared" si="48"/>
        <v>0</v>
      </c>
      <c r="S95" s="2"/>
      <c r="T95" s="6">
        <v>600</v>
      </c>
      <c r="U95" s="2"/>
      <c r="V95" s="7">
        <f t="shared" si="49"/>
        <v>2.3772986992610167E-4</v>
      </c>
      <c r="W95" s="2"/>
      <c r="X95" s="6">
        <f t="shared" si="50"/>
        <v>-600</v>
      </c>
      <c r="Y95" s="2"/>
      <c r="Z95" s="7">
        <f t="shared" si="51"/>
        <v>-1</v>
      </c>
    </row>
    <row r="96" spans="1:26" s="24" customFormat="1" hidden="1" outlineLevel="2" x14ac:dyDescent="0.25">
      <c r="A96" s="29"/>
      <c r="B96" s="11" t="str">
        <f>CONCATENATE("          ", "6247", " - ", "STORE SUPPLIES")</f>
        <v xml:space="preserve">          6247 - STORE SUPPLIES</v>
      </c>
      <c r="C96" s="11"/>
      <c r="D96" s="6"/>
      <c r="E96" s="2"/>
      <c r="F96" s="7">
        <f t="shared" si="44"/>
        <v>0</v>
      </c>
      <c r="G96" s="2"/>
      <c r="H96" s="6">
        <v>1000</v>
      </c>
      <c r="I96" s="2"/>
      <c r="J96" s="7">
        <f t="shared" si="45"/>
        <v>1.0984568877640691E-3</v>
      </c>
      <c r="K96" s="2"/>
      <c r="L96" s="6">
        <f t="shared" si="46"/>
        <v>-1000</v>
      </c>
      <c r="M96" s="2"/>
      <c r="N96" s="7">
        <f t="shared" si="47"/>
        <v>-1</v>
      </c>
      <c r="O96" s="11"/>
      <c r="P96" s="6">
        <v>633.1</v>
      </c>
      <c r="Q96" s="2"/>
      <c r="R96" s="7">
        <f t="shared" si="48"/>
        <v>4.1884912631717574E-4</v>
      </c>
      <c r="S96" s="2"/>
      <c r="T96" s="6">
        <v>2200</v>
      </c>
      <c r="U96" s="2"/>
      <c r="V96" s="7">
        <f t="shared" si="49"/>
        <v>8.7167618972903949E-4</v>
      </c>
      <c r="W96" s="2"/>
      <c r="X96" s="6">
        <f t="shared" si="50"/>
        <v>-1566.9</v>
      </c>
      <c r="Y96" s="2"/>
      <c r="Z96" s="7">
        <f t="shared" si="51"/>
        <v>-0.71222727272727282</v>
      </c>
    </row>
    <row r="97" spans="1:26" s="28" customFormat="1" outlineLevel="1" collapsed="1" x14ac:dyDescent="0.25">
      <c r="A97" s="27"/>
      <c r="B97" s="14" t="str">
        <f>CONCATENATE("     ","Telephone/Data Lines                              ")</f>
        <v xml:space="preserve">     Telephone/Data Lines                              </v>
      </c>
      <c r="C97" s="14"/>
      <c r="D97" s="1">
        <f>SUM(OSRRefD22_12x_0)</f>
        <v>2635</v>
      </c>
      <c r="E97" s="1"/>
      <c r="F97" s="5">
        <f t="shared" ref="F97:F99" si="52">IF(D$12=0,0,D97/D$12)</f>
        <v>1.1100547920517718E-2</v>
      </c>
      <c r="G97" s="1"/>
      <c r="H97" s="1">
        <f>SUM(OSRRefH22_12x_0)</f>
        <v>1700</v>
      </c>
      <c r="I97" s="1"/>
      <c r="J97" s="5">
        <f t="shared" ref="J97:J99" si="53">IF(H$12=0,0,H97/H$12)</f>
        <v>1.8673767091989173E-3</v>
      </c>
      <c r="K97" s="1"/>
      <c r="L97" s="1">
        <f t="shared" ref="L97:L99" si="54">+D97-H97</f>
        <v>935</v>
      </c>
      <c r="M97" s="1"/>
      <c r="N97" s="5">
        <f t="shared" ref="N97:N99" si="55">IF(H97=0,0,L97/H97)</f>
        <v>0.55000000000000004</v>
      </c>
      <c r="O97" s="14"/>
      <c r="P97" s="1">
        <f>SUM(OSRRefP22_12x_0)</f>
        <v>3868.3</v>
      </c>
      <c r="Q97" s="1"/>
      <c r="R97" s="5">
        <f t="shared" ref="R97:R99" si="56">IF(P$12=0,0,P97/P$12)</f>
        <v>2.559207195281521E-3</v>
      </c>
      <c r="S97" s="1"/>
      <c r="T97" s="1">
        <f>SUM(OSRRefT22_12x_0)</f>
        <v>3300</v>
      </c>
      <c r="U97" s="1"/>
      <c r="V97" s="5">
        <f t="shared" ref="V97:V99" si="57">IF(T$12=0,0,T97/T$12)</f>
        <v>1.3075142845935591E-3</v>
      </c>
      <c r="W97" s="1"/>
      <c r="X97" s="1">
        <f t="shared" ref="X97:X99" si="58">+P97-T97</f>
        <v>568.30000000000018</v>
      </c>
      <c r="Y97" s="1"/>
      <c r="Z97" s="5">
        <f t="shared" ref="Z97:Z99" si="59">IF(T97=0,0,X97/T97)</f>
        <v>0.17221212121212126</v>
      </c>
    </row>
    <row r="98" spans="1:26" s="24" customFormat="1" hidden="1" outlineLevel="2" x14ac:dyDescent="0.25">
      <c r="A98" s="29"/>
      <c r="B98" s="11" t="str">
        <f>CONCATENATE("          ", "6303", " - ", "DATA PHONE LINES")</f>
        <v xml:space="preserve">          6303 - DATA PHONE LINES</v>
      </c>
      <c r="C98" s="11"/>
      <c r="D98" s="6">
        <v>885</v>
      </c>
      <c r="E98" s="2"/>
      <c r="F98" s="7">
        <f t="shared" si="52"/>
        <v>3.728267517896843E-3</v>
      </c>
      <c r="G98" s="2"/>
      <c r="H98" s="6">
        <v>300</v>
      </c>
      <c r="I98" s="2"/>
      <c r="J98" s="7">
        <f t="shared" si="53"/>
        <v>3.2953706632922073E-4</v>
      </c>
      <c r="K98" s="2"/>
      <c r="L98" s="6">
        <f t="shared" si="54"/>
        <v>585</v>
      </c>
      <c r="M98" s="2"/>
      <c r="N98" s="7">
        <f t="shared" si="55"/>
        <v>1.95</v>
      </c>
      <c r="O98" s="11"/>
      <c r="P98" s="6">
        <v>1180</v>
      </c>
      <c r="Q98" s="2"/>
      <c r="R98" s="7">
        <f t="shared" si="56"/>
        <v>7.8066967154362247E-4</v>
      </c>
      <c r="S98" s="2"/>
      <c r="T98" s="6">
        <v>900</v>
      </c>
      <c r="U98" s="2"/>
      <c r="V98" s="7">
        <f t="shared" si="57"/>
        <v>3.5659480488915252E-4</v>
      </c>
      <c r="W98" s="2"/>
      <c r="X98" s="6">
        <f t="shared" si="58"/>
        <v>280</v>
      </c>
      <c r="Y98" s="2"/>
      <c r="Z98" s="7">
        <f t="shared" si="59"/>
        <v>0.31111111111111112</v>
      </c>
    </row>
    <row r="99" spans="1:26" s="24" customFormat="1" hidden="1" outlineLevel="2" x14ac:dyDescent="0.25">
      <c r="A99" s="29"/>
      <c r="B99" s="11" t="str">
        <f>CONCATENATE("          ", "6309", " - ", "TELEPHONE")</f>
        <v xml:space="preserve">          6309 - TELEPHONE</v>
      </c>
      <c r="C99" s="11"/>
      <c r="D99" s="6">
        <v>1750</v>
      </c>
      <c r="E99" s="2"/>
      <c r="F99" s="7">
        <f t="shared" si="52"/>
        <v>7.372280402620876E-3</v>
      </c>
      <c r="G99" s="2"/>
      <c r="H99" s="6">
        <v>1400</v>
      </c>
      <c r="I99" s="2"/>
      <c r="J99" s="7">
        <f t="shared" si="53"/>
        <v>1.5378396428696965E-3</v>
      </c>
      <c r="K99" s="2"/>
      <c r="L99" s="6">
        <f t="shared" si="54"/>
        <v>350</v>
      </c>
      <c r="M99" s="2"/>
      <c r="N99" s="7">
        <f t="shared" si="55"/>
        <v>0.25</v>
      </c>
      <c r="O99" s="11"/>
      <c r="P99" s="6">
        <v>2688.3</v>
      </c>
      <c r="Q99" s="2"/>
      <c r="R99" s="7">
        <f t="shared" si="56"/>
        <v>1.7785375237378985E-3</v>
      </c>
      <c r="S99" s="2"/>
      <c r="T99" s="6">
        <v>2400</v>
      </c>
      <c r="U99" s="2"/>
      <c r="V99" s="7">
        <f t="shared" si="57"/>
        <v>9.5091947970440667E-4</v>
      </c>
      <c r="W99" s="2"/>
      <c r="X99" s="6">
        <f t="shared" si="58"/>
        <v>288.30000000000018</v>
      </c>
      <c r="Y99" s="2"/>
      <c r="Z99" s="7">
        <f t="shared" si="59"/>
        <v>0.12012500000000008</v>
      </c>
    </row>
    <row r="100" spans="1:26" s="28" customFormat="1" outlineLevel="1" collapsed="1" x14ac:dyDescent="0.25">
      <c r="A100" s="27"/>
      <c r="B100" s="14" t="str">
        <f>CONCATENATE("     ","Travel                                            ")</f>
        <v xml:space="preserve">     Travel                                            </v>
      </c>
      <c r="C100" s="14"/>
      <c r="D100" s="1">
        <f>SUM(OSRRefD22_13x_0)</f>
        <v>0</v>
      </c>
      <c r="E100" s="1"/>
      <c r="F100" s="5">
        <f t="shared" ref="F100:F101" si="60">IF(D$12=0,0,D100/D$12)</f>
        <v>0</v>
      </c>
      <c r="G100" s="1"/>
      <c r="H100" s="1">
        <f>SUM(OSRRefH22_13x_0)</f>
        <v>0</v>
      </c>
      <c r="I100" s="1"/>
      <c r="J100" s="5">
        <f t="shared" ref="J100:J101" si="61">IF(H$12=0,0,H100/H$12)</f>
        <v>0</v>
      </c>
      <c r="K100" s="1"/>
      <c r="L100" s="1">
        <f t="shared" ref="L100:L101" si="62">+D100-H100</f>
        <v>0</v>
      </c>
      <c r="M100" s="1"/>
      <c r="N100" s="5">
        <f t="shared" ref="N100:N101" si="63">IF(H100=0,0,L100/H100)</f>
        <v>0</v>
      </c>
      <c r="O100" s="14"/>
      <c r="P100" s="1">
        <f>SUM(OSRRefP22_13x_0)</f>
        <v>0.16</v>
      </c>
      <c r="Q100" s="1"/>
      <c r="R100" s="5">
        <f t="shared" ref="R100:R101" si="64">IF(P$12=0,0,P100/P$12)</f>
        <v>1.0585351478557593E-7</v>
      </c>
      <c r="S100" s="1"/>
      <c r="T100" s="1">
        <f>SUM(OSRRefT22_13x_0)</f>
        <v>0</v>
      </c>
      <c r="U100" s="1"/>
      <c r="V100" s="5">
        <f t="shared" ref="V100:V101" si="65">IF(T$12=0,0,T100/T$12)</f>
        <v>0</v>
      </c>
      <c r="W100" s="1"/>
      <c r="X100" s="1">
        <f t="shared" ref="X100:X101" si="66">+P100-T100</f>
        <v>0.16</v>
      </c>
      <c r="Y100" s="1"/>
      <c r="Z100" s="5">
        <f t="shared" ref="Z100:Z101" si="67">IF(T100=0,0,X100/T100)</f>
        <v>0</v>
      </c>
    </row>
    <row r="101" spans="1:26" s="24" customFormat="1" hidden="1" outlineLevel="2" x14ac:dyDescent="0.25">
      <c r="A101" s="29"/>
      <c r="B101" s="11" t="str">
        <f>CONCATENATE("          ", "6292", " - ", "TRAVEL/CONFERENCE")</f>
        <v xml:space="preserve">          6292 - TRAVEL/CONFERENCE</v>
      </c>
      <c r="C101" s="11"/>
      <c r="D101" s="6"/>
      <c r="E101" s="2"/>
      <c r="F101" s="7">
        <f t="shared" si="60"/>
        <v>0</v>
      </c>
      <c r="G101" s="2"/>
      <c r="H101" s="6"/>
      <c r="I101" s="2"/>
      <c r="J101" s="7">
        <f t="shared" si="61"/>
        <v>0</v>
      </c>
      <c r="K101" s="2"/>
      <c r="L101" s="6">
        <f t="shared" si="62"/>
        <v>0</v>
      </c>
      <c r="M101" s="2"/>
      <c r="N101" s="7">
        <f t="shared" si="63"/>
        <v>0</v>
      </c>
      <c r="O101" s="11"/>
      <c r="P101" s="6">
        <v>0.16</v>
      </c>
      <c r="Q101" s="2"/>
      <c r="R101" s="7">
        <f t="shared" si="64"/>
        <v>1.0585351478557593E-7</v>
      </c>
      <c r="S101" s="2"/>
      <c r="T101" s="6"/>
      <c r="U101" s="2"/>
      <c r="V101" s="7">
        <f t="shared" si="65"/>
        <v>0</v>
      </c>
      <c r="W101" s="2"/>
      <c r="X101" s="6">
        <f t="shared" si="66"/>
        <v>0.16</v>
      </c>
      <c r="Y101" s="2"/>
      <c r="Z101" s="7">
        <f t="shared" si="67"/>
        <v>0</v>
      </c>
    </row>
    <row r="102" spans="1:26" s="61" customFormat="1" x14ac:dyDescent="0.25">
      <c r="A102" s="36"/>
      <c r="B102" s="36"/>
      <c r="C102" s="36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6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collapsed="1" x14ac:dyDescent="0.25">
      <c r="A103" s="10"/>
      <c r="B103" s="25" t="s">
        <v>0</v>
      </c>
      <c r="C103" s="10"/>
      <c r="D103" s="4">
        <f>SUM(OSRRefD25x_0)</f>
        <v>156953.37</v>
      </c>
      <c r="E103" s="4"/>
      <c r="F103" s="12">
        <f t="shared" ref="F103:F106" si="68">IF(D$12=0,0,D103/D$12)</f>
        <v>0.66120243072931617</v>
      </c>
      <c r="G103" s="4"/>
      <c r="H103" s="4">
        <f>SUM(OSRRefH25x_0)</f>
        <v>95659</v>
      </c>
      <c r="I103" s="4"/>
      <c r="J103" s="12">
        <f t="shared" ref="J103:J106" si="69">IF(H$12=0,0,H103/H$12)</f>
        <v>0.10507728742662308</v>
      </c>
      <c r="K103" s="4"/>
      <c r="L103" s="4">
        <f t="shared" ref="L103:L106" si="70">+D103-H103</f>
        <v>61294.369999999995</v>
      </c>
      <c r="M103" s="4"/>
      <c r="N103" s="12">
        <f t="shared" ref="N103:N106" si="71">IF(H103=0,0,L103/H103)</f>
        <v>0.64075905037685943</v>
      </c>
      <c r="O103" s="10"/>
      <c r="P103" s="4">
        <f>SUM(OSRRefP25x_0)</f>
        <v>160900.78000000003</v>
      </c>
      <c r="Q103" s="4"/>
      <c r="R103" s="12">
        <f t="shared" ref="R103:R106" si="72">IF(P$12=0,0,P103/P$12)</f>
        <v>0.10644945684212939</v>
      </c>
      <c r="S103" s="4"/>
      <c r="T103" s="4">
        <f>SUM(OSRRefT25x_0)</f>
        <v>101359</v>
      </c>
      <c r="U103" s="4"/>
      <c r="V103" s="12">
        <f t="shared" ref="V103:V106" si="73">IF(T$12=0,0,T103/T$12)</f>
        <v>4.0160103143066235E-2</v>
      </c>
      <c r="W103" s="4"/>
      <c r="X103" s="4">
        <f t="shared" ref="X103:X106" si="74">+P103-T103</f>
        <v>59541.780000000028</v>
      </c>
      <c r="Y103" s="4"/>
      <c r="Z103" s="12">
        <f t="shared" ref="Z103:Z106" si="75">IF(T103=0,0,X103/T103)</f>
        <v>0.58743456427154994</v>
      </c>
    </row>
    <row r="104" spans="1:26" s="24" customFormat="1" hidden="1" outlineLevel="1" x14ac:dyDescent="0.25">
      <c r="A104" s="51"/>
      <c r="B104" s="11" t="str">
        <f>CONCATENATE("          ", "9150", " - ", "MISC. INCOME")</f>
        <v xml:space="preserve">          9150 - MISC. INCOME</v>
      </c>
      <c r="C104" s="11"/>
      <c r="D104" s="2">
        <f>--9125.43</f>
        <v>9125.43</v>
      </c>
      <c r="E104" s="2"/>
      <c r="F104" s="22">
        <f t="shared" si="68"/>
        <v>3.8442987859707782E-2</v>
      </c>
      <c r="G104" s="2"/>
      <c r="H104" s="2">
        <v>3600</v>
      </c>
      <c r="I104" s="2"/>
      <c r="J104" s="22">
        <f t="shared" si="69"/>
        <v>3.9544447959506488E-3</v>
      </c>
      <c r="K104" s="2"/>
      <c r="L104" s="2">
        <f t="shared" si="70"/>
        <v>5525.43</v>
      </c>
      <c r="M104" s="2"/>
      <c r="N104" s="22">
        <f t="shared" si="71"/>
        <v>1.5348416666666667</v>
      </c>
      <c r="O104" s="11"/>
      <c r="P104" s="2">
        <f>--11526.45</f>
        <v>11526.45</v>
      </c>
      <c r="Q104" s="2"/>
      <c r="R104" s="22">
        <f t="shared" si="72"/>
        <v>7.6257202843762603E-3</v>
      </c>
      <c r="S104" s="2"/>
      <c r="T104" s="2">
        <v>9100</v>
      </c>
      <c r="U104" s="2"/>
      <c r="V104" s="22">
        <f t="shared" si="73"/>
        <v>3.6055696938792087E-3</v>
      </c>
      <c r="W104" s="2"/>
      <c r="X104" s="2">
        <f t="shared" si="74"/>
        <v>2426.4500000000007</v>
      </c>
      <c r="Y104" s="2"/>
      <c r="Z104" s="22">
        <f t="shared" si="75"/>
        <v>0.26664285714285724</v>
      </c>
    </row>
    <row r="105" spans="1:26" s="24" customFormat="1" hidden="1" outlineLevel="1" x14ac:dyDescent="0.25">
      <c r="A105" s="51"/>
      <c r="B105" s="11" t="str">
        <f>CONCATENATE("          ", "9151", " - ", "MISC. INCOME")</f>
        <v xml:space="preserve">          9151 - MISC. INCOME</v>
      </c>
      <c r="C105" s="11"/>
      <c r="D105" s="2">
        <f>--147285.39</f>
        <v>147285.39000000001</v>
      </c>
      <c r="E105" s="2"/>
      <c r="F105" s="22">
        <f t="shared" si="68"/>
        <v>0.62047382530821305</v>
      </c>
      <c r="G105" s="2"/>
      <c r="H105" s="2">
        <v>92059</v>
      </c>
      <c r="I105" s="2"/>
      <c r="J105" s="22">
        <f t="shared" si="69"/>
        <v>0.10112284263067244</v>
      </c>
      <c r="K105" s="2"/>
      <c r="L105" s="2">
        <f t="shared" si="70"/>
        <v>55226.390000000014</v>
      </c>
      <c r="M105" s="2"/>
      <c r="N105" s="22">
        <f t="shared" si="71"/>
        <v>0.59990212798314135</v>
      </c>
      <c r="O105" s="11"/>
      <c r="P105" s="2">
        <f>--147285.39</f>
        <v>147285.39000000001</v>
      </c>
      <c r="Q105" s="2"/>
      <c r="R105" s="22">
        <f t="shared" si="72"/>
        <v>9.7441726300401987E-2</v>
      </c>
      <c r="S105" s="2"/>
      <c r="T105" s="2">
        <v>92259</v>
      </c>
      <c r="U105" s="2"/>
      <c r="V105" s="22">
        <f t="shared" si="73"/>
        <v>3.6554533449187021E-2</v>
      </c>
      <c r="W105" s="2"/>
      <c r="X105" s="2">
        <f t="shared" si="74"/>
        <v>55026.390000000014</v>
      </c>
      <c r="Y105" s="2"/>
      <c r="Z105" s="22">
        <f t="shared" si="75"/>
        <v>0.59643384385263243</v>
      </c>
    </row>
    <row r="106" spans="1:26" s="24" customFormat="1" hidden="1" outlineLevel="1" x14ac:dyDescent="0.25">
      <c r="A106" s="51"/>
      <c r="B106" s="11" t="str">
        <f>CONCATENATE("          ", "9152", " - ", "MISC. INCOME")</f>
        <v xml:space="preserve">          9152 - MISC. INCOME</v>
      </c>
      <c r="C106" s="11"/>
      <c r="D106" s="2">
        <f>--542.55</f>
        <v>542.54999999999995</v>
      </c>
      <c r="E106" s="2"/>
      <c r="F106" s="22">
        <f t="shared" si="68"/>
        <v>2.2856175613954035E-3</v>
      </c>
      <c r="G106" s="2"/>
      <c r="H106" s="2"/>
      <c r="I106" s="2"/>
      <c r="J106" s="22">
        <f t="shared" si="69"/>
        <v>0</v>
      </c>
      <c r="K106" s="2"/>
      <c r="L106" s="2">
        <f t="shared" si="70"/>
        <v>542.54999999999995</v>
      </c>
      <c r="M106" s="2"/>
      <c r="N106" s="22">
        <f t="shared" si="71"/>
        <v>0</v>
      </c>
      <c r="O106" s="11"/>
      <c r="P106" s="2">
        <f>--2088.94</f>
        <v>2088.94</v>
      </c>
      <c r="Q106" s="2"/>
      <c r="R106" s="22">
        <f t="shared" si="72"/>
        <v>1.382010257351131E-3</v>
      </c>
      <c r="S106" s="2"/>
      <c r="T106" s="2"/>
      <c r="U106" s="2"/>
      <c r="V106" s="22">
        <f t="shared" si="73"/>
        <v>0</v>
      </c>
      <c r="W106" s="2"/>
      <c r="X106" s="2">
        <f t="shared" si="74"/>
        <v>2088.94</v>
      </c>
      <c r="Y106" s="2"/>
      <c r="Z106" s="22">
        <f t="shared" si="75"/>
        <v>0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6" t="s">
        <v>3</v>
      </c>
      <c r="C108" s="26"/>
      <c r="D108" s="20">
        <f>+D48-D50+D103</f>
        <v>197116.18000000011</v>
      </c>
      <c r="E108" s="13"/>
      <c r="F108" s="21">
        <f>IF(D$12=0,0,D108/D$12)</f>
        <v>0.83039757191627994</v>
      </c>
      <c r="G108" s="13"/>
      <c r="H108" s="20">
        <f>+H48-H50+H103</f>
        <v>283130.59425113851</v>
      </c>
      <c r="I108" s="13"/>
      <c r="J108" s="21">
        <f>IF(H$12=0,0,H108/H$12)</f>
        <v>0.31100675139189704</v>
      </c>
      <c r="K108" s="16"/>
      <c r="L108" s="20">
        <f>+D108-H108</f>
        <v>-86014.414251138398</v>
      </c>
      <c r="M108" s="16"/>
      <c r="N108" s="21">
        <f>IF(H108=0,0,L108/H108)</f>
        <v>-0.30379766792296248</v>
      </c>
      <c r="O108" s="25"/>
      <c r="P108" s="20">
        <f>+P48-P50+P103</f>
        <v>463496.72000000044</v>
      </c>
      <c r="Q108" s="13"/>
      <c r="R108" s="21">
        <f>IF(P$12=0,0,P108/P$12)</f>
        <v>0.30664223064741242</v>
      </c>
      <c r="S108" s="13"/>
      <c r="T108" s="20">
        <f>+T48-T50+T103</f>
        <v>613995.76158495003</v>
      </c>
      <c r="U108" s="13"/>
      <c r="V108" s="21">
        <f>IF(T$12=0,0,T108/T$12)</f>
        <v>0.24327522089461318</v>
      </c>
      <c r="W108" s="16"/>
      <c r="X108" s="20">
        <f>+P108-T108</f>
        <v>-150499.04158494959</v>
      </c>
      <c r="Y108" s="16"/>
      <c r="Z108" s="21">
        <f>IF(T108=0,0,X108/T108)</f>
        <v>-0.2451141375902269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2"/>
      <c r="B110" s="10" t="s">
        <v>14</v>
      </c>
      <c r="C110" s="10"/>
      <c r="D110" s="4">
        <v>64894.33</v>
      </c>
      <c r="E110" s="4"/>
      <c r="F110" s="12">
        <f>IF(D$12=0,0,D110/D$12)</f>
        <v>0.27338239845726398</v>
      </c>
      <c r="G110" s="4"/>
      <c r="H110" s="4">
        <v>101391</v>
      </c>
      <c r="I110" s="4"/>
      <c r="J110" s="12">
        <f>IF(H$12=0,0,H110/H$12)</f>
        <v>0.11137364230728672</v>
      </c>
      <c r="K110" s="4"/>
      <c r="L110" s="4">
        <f>+D110-H110</f>
        <v>-36496.67</v>
      </c>
      <c r="M110" s="4"/>
      <c r="N110" s="12">
        <f>IF(H110=0,0,L110/H110)</f>
        <v>-0.35995966111390554</v>
      </c>
      <c r="O110" s="10"/>
      <c r="P110" s="4">
        <v>280017.14</v>
      </c>
      <c r="Q110" s="4"/>
      <c r="R110" s="12">
        <f>IF(P$12=0,0,P110/P$12)</f>
        <v>0.18525499043252927</v>
      </c>
      <c r="S110" s="4"/>
      <c r="T110" s="4">
        <v>364882</v>
      </c>
      <c r="U110" s="4"/>
      <c r="V110" s="12">
        <f>IF(T$12=0,0,T110/T$12)</f>
        <v>0.14457225066395971</v>
      </c>
      <c r="W110" s="4"/>
      <c r="X110" s="4">
        <f>+P110-T110</f>
        <v>-84864.859999999986</v>
      </c>
      <c r="Y110" s="4"/>
      <c r="Z110" s="12">
        <f>IF(T110=0,0,X110/T110)</f>
        <v>-0.23258165653553747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6" t="s">
        <v>4</v>
      </c>
      <c r="C112" s="26"/>
      <c r="D112" s="33">
        <f>+D108-D110</f>
        <v>132221.85000000009</v>
      </c>
      <c r="E112" s="13"/>
      <c r="F112" s="34">
        <f>IF(D$12=0,0,D112/D$12)</f>
        <v>0.55701517345901586</v>
      </c>
      <c r="G112" s="13"/>
      <c r="H112" s="33">
        <f>+H108-H110</f>
        <v>181739.59425113851</v>
      </c>
      <c r="I112" s="13"/>
      <c r="J112" s="34">
        <f>IF(H$12=0,0,H112/H$12)</f>
        <v>0.19963310908461029</v>
      </c>
      <c r="K112" s="16"/>
      <c r="L112" s="33">
        <f>D112-H112</f>
        <v>-49517.744251138414</v>
      </c>
      <c r="M112" s="16"/>
      <c r="N112" s="34">
        <f>IF(H112=0,0,L112/H112)</f>
        <v>-0.27246536152552353</v>
      </c>
      <c r="O112" s="25"/>
      <c r="P112" s="33">
        <f>+P108-P110</f>
        <v>183479.58000000042</v>
      </c>
      <c r="Q112" s="13"/>
      <c r="R112" s="34">
        <f>IF(P$12=0,0,P112/P$12)</f>
        <v>0.12138724021488316</v>
      </c>
      <c r="S112" s="13"/>
      <c r="T112" s="33">
        <f>+T108-T110</f>
        <v>249113.76158495003</v>
      </c>
      <c r="U112" s="13"/>
      <c r="V112" s="34">
        <f>IF(T$12=0,0,T112/T$12)</f>
        <v>9.8702970230653456E-2</v>
      </c>
      <c r="W112" s="16"/>
      <c r="X112" s="33">
        <f>P112-T112</f>
        <v>-65634.181584949605</v>
      </c>
      <c r="Y112" s="16"/>
      <c r="Z112" s="34">
        <f>IF(T112=0,0,X112/T112)</f>
        <v>-0.26347071782530873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6" t="s">
        <v>5</v>
      </c>
      <c r="C115" s="26"/>
      <c r="D115" s="31">
        <f>SUM(D112:D114)</f>
        <v>132221.85000000009</v>
      </c>
      <c r="E115" s="13"/>
      <c r="F115" s="32">
        <f>IF(D$12=0,0,D115/D$12)</f>
        <v>0.55701517345901586</v>
      </c>
      <c r="G115" s="13"/>
      <c r="H115" s="31">
        <f>SUM(H112:H114)</f>
        <v>181739.59425113851</v>
      </c>
      <c r="I115" s="13"/>
      <c r="J115" s="32">
        <f>IF(H$12=0,0,H115/H$12)</f>
        <v>0.19963310908461029</v>
      </c>
      <c r="K115" s="16"/>
      <c r="L115" s="31">
        <f>+D115-H115</f>
        <v>-49517.744251138414</v>
      </c>
      <c r="M115" s="16"/>
      <c r="N115" s="32">
        <f>IF(H115=0,0,L115/H115)</f>
        <v>-0.27246536152552353</v>
      </c>
      <c r="O115" s="25"/>
      <c r="P115" s="31">
        <f>SUM(P112:P114)</f>
        <v>183479.58000000042</v>
      </c>
      <c r="Q115" s="13"/>
      <c r="R115" s="32">
        <f>IF(P$12=0,0,P115/P$12)</f>
        <v>0.12138724021488316</v>
      </c>
      <c r="S115" s="13"/>
      <c r="T115" s="31">
        <f>SUM(T112:T114)</f>
        <v>249113.76158495003</v>
      </c>
      <c r="U115" s="13"/>
      <c r="V115" s="32">
        <f>IF(T$12=0,0,T115/T$12)</f>
        <v>9.8702970230653456E-2</v>
      </c>
      <c r="W115" s="16"/>
      <c r="X115" s="31">
        <f>+P115-T115</f>
        <v>-65634.181584949605</v>
      </c>
      <c r="Y115" s="16"/>
      <c r="Z115" s="32">
        <f>IF(T115=0,0,X115/T115)</f>
        <v>-0.26347071782530873</v>
      </c>
    </row>
    <row r="116" spans="1:26" ht="15.75" thickTop="1" x14ac:dyDescent="0.25">
      <c r="A116" s="9"/>
      <c r="C116" s="9"/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55">
        <v>44123.571520104168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53" t="s">
        <v>314</v>
      </c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A119" s="9"/>
      <c r="B119" s="62"/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  <row r="120" spans="1:26" x14ac:dyDescent="0.25">
      <c r="D120" s="17"/>
      <c r="E120" s="17"/>
      <c r="G120" s="17"/>
      <c r="H120" s="17"/>
      <c r="I120" s="17"/>
      <c r="J120" s="43"/>
      <c r="K120" s="17"/>
      <c r="L120" s="17"/>
      <c r="M120" s="17"/>
      <c r="P120" s="17"/>
      <c r="Q120" s="17"/>
      <c r="R120" s="43"/>
      <c r="S120" s="17"/>
      <c r="T120" s="17"/>
      <c r="U120" s="17"/>
      <c r="V120" s="43"/>
      <c r="W120" s="17"/>
      <c r="X120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","311", " - ", "Textbooks")</f>
        <v>Department 311 - Textbooks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188990.74</v>
      </c>
      <c r="E12" s="4"/>
      <c r="F12" s="12"/>
      <c r="G12" s="4"/>
      <c r="H12" s="4">
        <f>SUM(OSRRefH13x_0)</f>
        <v>683039</v>
      </c>
      <c r="I12" s="4"/>
      <c r="J12" s="12"/>
      <c r="K12" s="4"/>
      <c r="L12" s="4">
        <f t="shared" ref="L12:L31" si="0">+D12-H12</f>
        <v>-494048.26</v>
      </c>
      <c r="M12" s="4"/>
      <c r="N12" s="12">
        <f t="shared" ref="N12:N31" si="1">IF(H12=0,0,L12/H12)</f>
        <v>-0.72330900578151469</v>
      </c>
      <c r="O12" s="10"/>
      <c r="P12" s="4">
        <f>SUM(OSRRefP13x_0)</f>
        <v>1043791.4</v>
      </c>
      <c r="Q12" s="4"/>
      <c r="R12" s="12"/>
      <c r="S12" s="4"/>
      <c r="T12" s="4">
        <f>SUM(OSRRefT13x_0)</f>
        <v>1722833</v>
      </c>
      <c r="U12" s="4"/>
      <c r="V12" s="12"/>
      <c r="W12" s="4"/>
      <c r="X12" s="4">
        <f t="shared" ref="X12:X31" si="2">+P12-T12</f>
        <v>-679041.6</v>
      </c>
      <c r="Y12" s="4"/>
      <c r="Z12" s="12">
        <f t="shared" ref="Z12:Z31" si="3">IF(T12=0,0,X12/T12)</f>
        <v>-0.3941424386461137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-965.28</f>
        <v>-965.28</v>
      </c>
      <c r="E13" s="2"/>
      <c r="F13" s="22"/>
      <c r="G13" s="2"/>
      <c r="H13" s="2">
        <v>683039</v>
      </c>
      <c r="I13" s="2"/>
      <c r="J13" s="22"/>
      <c r="K13" s="2"/>
      <c r="L13" s="2">
        <f t="shared" si="0"/>
        <v>-684004.28</v>
      </c>
      <c r="M13" s="2"/>
      <c r="N13" s="22">
        <f t="shared" si="1"/>
        <v>-1.0014132135939529</v>
      </c>
      <c r="O13" s="11"/>
      <c r="P13" s="2">
        <f>-4993.54</f>
        <v>-4993.54</v>
      </c>
      <c r="Q13" s="2"/>
      <c r="R13" s="22"/>
      <c r="S13" s="2"/>
      <c r="T13" s="2">
        <v>1722833</v>
      </c>
      <c r="U13" s="2"/>
      <c r="V13" s="22"/>
      <c r="W13" s="2"/>
      <c r="X13" s="2">
        <f t="shared" si="2"/>
        <v>-1727826.54</v>
      </c>
      <c r="Y13" s="2"/>
      <c r="Z13" s="22">
        <f t="shared" si="3"/>
        <v>-1.0028984469185347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--86795.93</f>
        <v>86795.93</v>
      </c>
      <c r="E14" s="2"/>
      <c r="F14" s="22"/>
      <c r="G14" s="2"/>
      <c r="H14" s="2"/>
      <c r="I14" s="2"/>
      <c r="J14" s="22"/>
      <c r="K14" s="2"/>
      <c r="L14" s="2">
        <f t="shared" si="0"/>
        <v>86795.93</v>
      </c>
      <c r="M14" s="2"/>
      <c r="N14" s="22">
        <f t="shared" si="1"/>
        <v>0</v>
      </c>
      <c r="O14" s="11"/>
      <c r="P14" s="2">
        <f>--523741.98</f>
        <v>523741.98</v>
      </c>
      <c r="Q14" s="2"/>
      <c r="R14" s="22"/>
      <c r="S14" s="2"/>
      <c r="T14" s="2"/>
      <c r="U14" s="2"/>
      <c r="V14" s="22"/>
      <c r="W14" s="2"/>
      <c r="X14" s="2">
        <f t="shared" si="2"/>
        <v>523741.98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--24307.89</f>
        <v>24307.89</v>
      </c>
      <c r="E15" s="2"/>
      <c r="F15" s="22"/>
      <c r="G15" s="2"/>
      <c r="H15" s="2"/>
      <c r="I15" s="2"/>
      <c r="J15" s="22"/>
      <c r="K15" s="2"/>
      <c r="L15" s="2">
        <f t="shared" si="0"/>
        <v>24307.89</v>
      </c>
      <c r="M15" s="2"/>
      <c r="N15" s="22">
        <f t="shared" si="1"/>
        <v>0</v>
      </c>
      <c r="O15" s="11"/>
      <c r="P15" s="2">
        <f>--184223.19</f>
        <v>184223.19</v>
      </c>
      <c r="Q15" s="2"/>
      <c r="R15" s="22"/>
      <c r="S15" s="2"/>
      <c r="T15" s="2"/>
      <c r="U15" s="2"/>
      <c r="V15" s="22"/>
      <c r="W15" s="2"/>
      <c r="X15" s="2">
        <f t="shared" si="2"/>
        <v>184223.19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"4003", " - ", "TAXABLE SALES-RENTAL TEXT")</f>
        <v xml:space="preserve">          4003 - TAXABLE SALES-RENTAL TEXT</v>
      </c>
      <c r="C16" s="11"/>
      <c r="D16" s="2">
        <f>--1539.79</f>
        <v>1539.79</v>
      </c>
      <c r="E16" s="2"/>
      <c r="F16" s="22"/>
      <c r="G16" s="2"/>
      <c r="H16" s="2"/>
      <c r="I16" s="2"/>
      <c r="J16" s="22"/>
      <c r="K16" s="2"/>
      <c r="L16" s="2">
        <f t="shared" si="0"/>
        <v>1539.79</v>
      </c>
      <c r="M16" s="2"/>
      <c r="N16" s="22">
        <f t="shared" si="1"/>
        <v>0</v>
      </c>
      <c r="O16" s="11"/>
      <c r="P16" s="2">
        <f>--10595.63</f>
        <v>10595.63</v>
      </c>
      <c r="Q16" s="2"/>
      <c r="R16" s="22"/>
      <c r="S16" s="2"/>
      <c r="T16" s="2"/>
      <c r="U16" s="2"/>
      <c r="V16" s="22"/>
      <c r="W16" s="2"/>
      <c r="X16" s="2">
        <f t="shared" si="2"/>
        <v>10595.63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"4004", " - ", "TAXABLE SALES-DIGITAL TEXT")</f>
        <v xml:space="preserve">          4004 - TAXABLE SALES-DIGITAL TEXT</v>
      </c>
      <c r="C17" s="11"/>
      <c r="D17" s="2">
        <f>--284.22</f>
        <v>284.22000000000003</v>
      </c>
      <c r="E17" s="2"/>
      <c r="F17" s="22"/>
      <c r="G17" s="2"/>
      <c r="H17" s="2"/>
      <c r="I17" s="2"/>
      <c r="J17" s="22"/>
      <c r="K17" s="2"/>
      <c r="L17" s="2">
        <f t="shared" si="0"/>
        <v>284.22000000000003</v>
      </c>
      <c r="M17" s="2"/>
      <c r="N17" s="22">
        <f t="shared" si="1"/>
        <v>0</v>
      </c>
      <c r="O17" s="11"/>
      <c r="P17" s="2">
        <f>--2105.11</f>
        <v>2105.11</v>
      </c>
      <c r="Q17" s="2"/>
      <c r="R17" s="22"/>
      <c r="S17" s="2"/>
      <c r="T17" s="2"/>
      <c r="U17" s="2"/>
      <c r="V17" s="22"/>
      <c r="W17" s="2"/>
      <c r="X17" s="2">
        <f t="shared" si="2"/>
        <v>2105.11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"4013", " - ", "TAXABLE SALES-TRADE BOOKS")</f>
        <v xml:space="preserve">          4013 - TAXABLE SALES-TRADE BOOKS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--39.9</f>
        <v>39.9</v>
      </c>
      <c r="Q18" s="2"/>
      <c r="R18" s="22"/>
      <c r="S18" s="2"/>
      <c r="T18" s="2"/>
      <c r="U18" s="2"/>
      <c r="V18" s="22"/>
      <c r="W18" s="2"/>
      <c r="X18" s="2">
        <f t="shared" si="2"/>
        <v>39.9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"4014", " - ", "TAXABLE SALES-REMAINDERS")</f>
        <v xml:space="preserve">          4014 - TAXABLE SALES-REMAINDERS</v>
      </c>
      <c r="C19" s="11"/>
      <c r="D19" s="2">
        <f>--97.51</f>
        <v>97.51</v>
      </c>
      <c r="E19" s="2"/>
      <c r="F19" s="22"/>
      <c r="G19" s="2"/>
      <c r="H19" s="2"/>
      <c r="I19" s="2"/>
      <c r="J19" s="22"/>
      <c r="K19" s="2"/>
      <c r="L19" s="2">
        <f t="shared" si="0"/>
        <v>97.51</v>
      </c>
      <c r="M19" s="2"/>
      <c r="N19" s="22">
        <f t="shared" si="1"/>
        <v>0</v>
      </c>
      <c r="O19" s="11"/>
      <c r="P19" s="2">
        <f>--304.44</f>
        <v>304.44</v>
      </c>
      <c r="Q19" s="2"/>
      <c r="R19" s="22"/>
      <c r="S19" s="2"/>
      <c r="T19" s="2"/>
      <c r="U19" s="2"/>
      <c r="V19" s="22"/>
      <c r="W19" s="2"/>
      <c r="X19" s="2">
        <f t="shared" si="2"/>
        <v>304.44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"4018", " - ", "TAXABLE SALES-STUDY GUIDES")</f>
        <v xml:space="preserve">          4018 - TAXABLE SALES-STUDY GUIDES</v>
      </c>
      <c r="C20" s="11"/>
      <c r="D20" s="2">
        <f>--48.87</f>
        <v>48.87</v>
      </c>
      <c r="E20" s="2"/>
      <c r="F20" s="22"/>
      <c r="G20" s="2"/>
      <c r="H20" s="2"/>
      <c r="I20" s="2"/>
      <c r="J20" s="22"/>
      <c r="K20" s="2"/>
      <c r="L20" s="2">
        <f t="shared" si="0"/>
        <v>48.87</v>
      </c>
      <c r="M20" s="2"/>
      <c r="N20" s="22">
        <f t="shared" si="1"/>
        <v>0</v>
      </c>
      <c r="O20" s="11"/>
      <c r="P20" s="2">
        <f>--183.89</f>
        <v>183.89</v>
      </c>
      <c r="Q20" s="2"/>
      <c r="R20" s="22"/>
      <c r="S20" s="2"/>
      <c r="T20" s="2"/>
      <c r="U20" s="2"/>
      <c r="V20" s="22"/>
      <c r="W20" s="2"/>
      <c r="X20" s="2">
        <f t="shared" si="2"/>
        <v>183.89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"4101", " - ", "NON-TAXABLE SALES-NEW TEXT")</f>
        <v xml:space="preserve">          4101 - NON-TAXABLE SALES-NEW TEXT</v>
      </c>
      <c r="C21" s="11"/>
      <c r="D21" s="2">
        <f>--18824.16</f>
        <v>18824.16</v>
      </c>
      <c r="E21" s="2"/>
      <c r="F21" s="22"/>
      <c r="G21" s="2"/>
      <c r="H21" s="2"/>
      <c r="I21" s="2"/>
      <c r="J21" s="22"/>
      <c r="K21" s="2"/>
      <c r="L21" s="2">
        <f t="shared" si="0"/>
        <v>18824.16</v>
      </c>
      <c r="M21" s="2"/>
      <c r="N21" s="22">
        <f t="shared" si="1"/>
        <v>0</v>
      </c>
      <c r="O21" s="11"/>
      <c r="P21" s="2">
        <f>--70404.84</f>
        <v>70404.84</v>
      </c>
      <c r="Q21" s="2"/>
      <c r="R21" s="22"/>
      <c r="S21" s="2"/>
      <c r="T21" s="2"/>
      <c r="U21" s="2"/>
      <c r="V21" s="22"/>
      <c r="W21" s="2"/>
      <c r="X21" s="2">
        <f t="shared" si="2"/>
        <v>70404.84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"4102", " - ", "NON-TAXABLE SALES-USED TEXT")</f>
        <v xml:space="preserve">          4102 - NON-TAXABLE SALES-USED TEXT</v>
      </c>
      <c r="C22" s="11"/>
      <c r="D22" s="2">
        <f>--8807.08</f>
        <v>8807.08</v>
      </c>
      <c r="E22" s="2"/>
      <c r="F22" s="22"/>
      <c r="G22" s="2"/>
      <c r="H22" s="2"/>
      <c r="I22" s="2"/>
      <c r="J22" s="22"/>
      <c r="K22" s="2"/>
      <c r="L22" s="2">
        <f t="shared" si="0"/>
        <v>8807.08</v>
      </c>
      <c r="M22" s="2"/>
      <c r="N22" s="22">
        <f t="shared" si="1"/>
        <v>0</v>
      </c>
      <c r="O22" s="11"/>
      <c r="P22" s="2">
        <f>--30370.82</f>
        <v>30370.82</v>
      </c>
      <c r="Q22" s="2"/>
      <c r="R22" s="22"/>
      <c r="S22" s="2"/>
      <c r="T22" s="2"/>
      <c r="U22" s="2"/>
      <c r="V22" s="22"/>
      <c r="W22" s="2"/>
      <c r="X22" s="2">
        <f t="shared" si="2"/>
        <v>30370.82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--284.97</f>
        <v>284.97000000000003</v>
      </c>
      <c r="E23" s="2"/>
      <c r="F23" s="22"/>
      <c r="G23" s="2"/>
      <c r="H23" s="2"/>
      <c r="I23" s="2"/>
      <c r="J23" s="22"/>
      <c r="K23" s="2"/>
      <c r="L23" s="2">
        <f t="shared" si="0"/>
        <v>284.97000000000003</v>
      </c>
      <c r="M23" s="2"/>
      <c r="N23" s="22">
        <f t="shared" si="1"/>
        <v>0</v>
      </c>
      <c r="O23" s="11"/>
      <c r="P23" s="2">
        <f>--284.97</f>
        <v>284.97000000000003</v>
      </c>
      <c r="Q23" s="2"/>
      <c r="R23" s="22"/>
      <c r="S23" s="2"/>
      <c r="T23" s="2"/>
      <c r="U23" s="2"/>
      <c r="V23" s="22"/>
      <c r="W23" s="2"/>
      <c r="X23" s="2">
        <f t="shared" si="2"/>
        <v>284.97000000000003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--73817.67</f>
        <v>73817.67</v>
      </c>
      <c r="E24" s="2"/>
      <c r="F24" s="22"/>
      <c r="G24" s="2"/>
      <c r="H24" s="2"/>
      <c r="I24" s="2"/>
      <c r="J24" s="22"/>
      <c r="K24" s="2"/>
      <c r="L24" s="2">
        <f t="shared" si="0"/>
        <v>73817.67</v>
      </c>
      <c r="M24" s="2"/>
      <c r="N24" s="22">
        <f t="shared" si="1"/>
        <v>0</v>
      </c>
      <c r="O24" s="11"/>
      <c r="P24" s="2">
        <f>--286707.85</f>
        <v>286707.84999999998</v>
      </c>
      <c r="Q24" s="2"/>
      <c r="R24" s="22"/>
      <c r="S24" s="2"/>
      <c r="T24" s="2"/>
      <c r="U24" s="2"/>
      <c r="V24" s="22"/>
      <c r="W24" s="2"/>
      <c r="X24" s="2">
        <f t="shared" si="2"/>
        <v>286707.84999999998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"4118", " - ", "NON-TAXABLE SALES-STUDY GUIDES")</f>
        <v xml:space="preserve">          4118 - NON-TAXABLE SALES-STUDY GUIDES</v>
      </c>
      <c r="C25" s="11"/>
      <c r="D25" s="2">
        <f>--6.5</f>
        <v>6.5</v>
      </c>
      <c r="E25" s="2"/>
      <c r="F25" s="22"/>
      <c r="G25" s="2"/>
      <c r="H25" s="2"/>
      <c r="I25" s="2"/>
      <c r="J25" s="22"/>
      <c r="K25" s="2"/>
      <c r="L25" s="2">
        <f t="shared" si="0"/>
        <v>6.5</v>
      </c>
      <c r="M25" s="2"/>
      <c r="N25" s="22">
        <f t="shared" si="1"/>
        <v>0</v>
      </c>
      <c r="O25" s="11"/>
      <c r="P25" s="2">
        <f>--108.33</f>
        <v>108.33</v>
      </c>
      <c r="Q25" s="2"/>
      <c r="R25" s="22"/>
      <c r="S25" s="2"/>
      <c r="T25" s="2"/>
      <c r="U25" s="2"/>
      <c r="V25" s="22"/>
      <c r="W25" s="2"/>
      <c r="X25" s="2">
        <f t="shared" si="2"/>
        <v>108.33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"4201", " - ", "SALES RETURN TAXABLE-NEW TEXT")</f>
        <v xml:space="preserve">          4201 - SALES RETURN TAXABLE-NEW TEXT</v>
      </c>
      <c r="C26" s="11"/>
      <c r="D26" s="2">
        <f>-13393.2</f>
        <v>-13393.2</v>
      </c>
      <c r="E26" s="2"/>
      <c r="F26" s="22"/>
      <c r="G26" s="2"/>
      <c r="H26" s="2"/>
      <c r="I26" s="2"/>
      <c r="J26" s="22"/>
      <c r="K26" s="2"/>
      <c r="L26" s="2">
        <f t="shared" si="0"/>
        <v>-13393.2</v>
      </c>
      <c r="M26" s="2"/>
      <c r="N26" s="22">
        <f t="shared" si="1"/>
        <v>0</v>
      </c>
      <c r="O26" s="11"/>
      <c r="P26" s="2">
        <f>-32248.99</f>
        <v>-32248.99</v>
      </c>
      <c r="Q26" s="2"/>
      <c r="R26" s="22"/>
      <c r="S26" s="2"/>
      <c r="T26" s="2"/>
      <c r="U26" s="2"/>
      <c r="V26" s="22"/>
      <c r="W26" s="2"/>
      <c r="X26" s="2">
        <f t="shared" si="2"/>
        <v>-32248.99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"4202", " - ", "SALES RETURN TAXABLE-USED TEXT")</f>
        <v xml:space="preserve">          4202 - SALES RETURN TAXABLE-USED TEXT</v>
      </c>
      <c r="C27" s="11"/>
      <c r="D27" s="2">
        <f>-1345.2</f>
        <v>-1345.2</v>
      </c>
      <c r="E27" s="2"/>
      <c r="F27" s="22"/>
      <c r="G27" s="2"/>
      <c r="H27" s="2"/>
      <c r="I27" s="2"/>
      <c r="J27" s="22"/>
      <c r="K27" s="2"/>
      <c r="L27" s="2">
        <f t="shared" si="0"/>
        <v>-1345.2</v>
      </c>
      <c r="M27" s="2"/>
      <c r="N27" s="22">
        <f t="shared" si="1"/>
        <v>0</v>
      </c>
      <c r="O27" s="11"/>
      <c r="P27" s="2">
        <f>-10392.95</f>
        <v>-10392.950000000001</v>
      </c>
      <c r="Q27" s="2"/>
      <c r="R27" s="22"/>
      <c r="S27" s="2"/>
      <c r="T27" s="2"/>
      <c r="U27" s="2"/>
      <c r="V27" s="22"/>
      <c r="W27" s="2"/>
      <c r="X27" s="2">
        <f t="shared" si="2"/>
        <v>-10392.950000000001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"4204", " - ", "SALES RETURN TAXABLE-DIGITAL T")</f>
        <v xml:space="preserve">          4204 - SALES RETURN TAXABLE-DIGITAL T</v>
      </c>
      <c r="C28" s="11"/>
      <c r="D28" s="2">
        <f>-105.87</f>
        <v>-105.87</v>
      </c>
      <c r="E28" s="2"/>
      <c r="F28" s="22"/>
      <c r="G28" s="2"/>
      <c r="H28" s="2"/>
      <c r="I28" s="2"/>
      <c r="J28" s="22"/>
      <c r="K28" s="2"/>
      <c r="L28" s="2">
        <f t="shared" si="0"/>
        <v>-105.87</v>
      </c>
      <c r="M28" s="2"/>
      <c r="N28" s="22">
        <f t="shared" si="1"/>
        <v>0</v>
      </c>
      <c r="O28" s="11"/>
      <c r="P28" s="2">
        <f>-1246.95</f>
        <v>-1246.95</v>
      </c>
      <c r="Q28" s="2"/>
      <c r="R28" s="22"/>
      <c r="S28" s="2"/>
      <c r="T28" s="2"/>
      <c r="U28" s="2"/>
      <c r="V28" s="22"/>
      <c r="W28" s="2"/>
      <c r="X28" s="2">
        <f t="shared" si="2"/>
        <v>-1246.95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"4301", " - ", "SALES RETURN NON TAXABLE-NEW T")</f>
        <v xml:space="preserve">          4301 - SALES RETURN NON TAXABLE-NEW T</v>
      </c>
      <c r="C29" s="11"/>
      <c r="D29" s="2">
        <f>-1820.43</f>
        <v>-1820.43</v>
      </c>
      <c r="E29" s="2"/>
      <c r="F29" s="22"/>
      <c r="G29" s="2"/>
      <c r="H29" s="2"/>
      <c r="I29" s="2"/>
      <c r="J29" s="22"/>
      <c r="K29" s="2"/>
      <c r="L29" s="2">
        <f t="shared" si="0"/>
        <v>-1820.43</v>
      </c>
      <c r="M29" s="2"/>
      <c r="N29" s="22">
        <f t="shared" si="1"/>
        <v>0</v>
      </c>
      <c r="O29" s="11"/>
      <c r="P29" s="2">
        <f>-1840.68</f>
        <v>-1840.68</v>
      </c>
      <c r="Q29" s="2"/>
      <c r="R29" s="22"/>
      <c r="S29" s="2"/>
      <c r="T29" s="2"/>
      <c r="U29" s="2"/>
      <c r="V29" s="22"/>
      <c r="W29" s="2"/>
      <c r="X29" s="2">
        <f t="shared" si="2"/>
        <v>-1840.68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"4302", " - ", "SALES RETURN NON TAXABLE-TEXT")</f>
        <v xml:space="preserve">          4302 - SALES RETURN NON TAXABLE-TEXT</v>
      </c>
      <c r="C30" s="11"/>
      <c r="D30" s="2">
        <f>-737.24</f>
        <v>-737.24</v>
      </c>
      <c r="E30" s="2"/>
      <c r="F30" s="22"/>
      <c r="G30" s="2"/>
      <c r="H30" s="2"/>
      <c r="I30" s="2"/>
      <c r="J30" s="22"/>
      <c r="K30" s="2"/>
      <c r="L30" s="2">
        <f t="shared" si="0"/>
        <v>-737.24</v>
      </c>
      <c r="M30" s="2"/>
      <c r="N30" s="22">
        <f t="shared" si="1"/>
        <v>0</v>
      </c>
      <c r="O30" s="11"/>
      <c r="P30" s="2">
        <f>-1147.08</f>
        <v>-1147.08</v>
      </c>
      <c r="Q30" s="2"/>
      <c r="R30" s="22"/>
      <c r="S30" s="2"/>
      <c r="T30" s="2"/>
      <c r="U30" s="2"/>
      <c r="V30" s="22"/>
      <c r="W30" s="2"/>
      <c r="X30" s="2">
        <f t="shared" si="2"/>
        <v>-1147.08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"4304", " - ", "SALES RETURN NON TAXABLE-DIGIT")</f>
        <v xml:space="preserve">          4304 - SALES RETURN NON TAXABLE-DIGIT</v>
      </c>
      <c r="C31" s="11"/>
      <c r="D31" s="2">
        <f>-7456.63</f>
        <v>-7456.63</v>
      </c>
      <c r="E31" s="2"/>
      <c r="F31" s="22"/>
      <c r="G31" s="2"/>
      <c r="H31" s="2"/>
      <c r="I31" s="2"/>
      <c r="J31" s="22"/>
      <c r="K31" s="2"/>
      <c r="L31" s="2">
        <f t="shared" si="0"/>
        <v>-7456.63</v>
      </c>
      <c r="M31" s="2"/>
      <c r="N31" s="22">
        <f t="shared" si="1"/>
        <v>0</v>
      </c>
      <c r="O31" s="11"/>
      <c r="P31" s="2">
        <f>-13409.36</f>
        <v>-13409.36</v>
      </c>
      <c r="Q31" s="2"/>
      <c r="R31" s="22"/>
      <c r="S31" s="2"/>
      <c r="T31" s="2"/>
      <c r="U31" s="2"/>
      <c r="V31" s="22"/>
      <c r="W31" s="2"/>
      <c r="X31" s="2">
        <f t="shared" si="2"/>
        <v>-13409.36</v>
      </c>
      <c r="Y31" s="2"/>
      <c r="Z31" s="22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5" t="s">
        <v>8</v>
      </c>
      <c r="C33" s="10"/>
      <c r="D33" s="4">
        <f>SUM(OSRRefD16x_0)</f>
        <v>130512.99999999991</v>
      </c>
      <c r="E33" s="4"/>
      <c r="F33" s="12">
        <f t="shared" ref="F33:F45" si="4">IF(D$12=0,0,D33/D$12)</f>
        <v>0.69057880825272133</v>
      </c>
      <c r="G33" s="4"/>
      <c r="H33" s="4">
        <f>SUM(OSRRefH16x_0)</f>
        <v>497634</v>
      </c>
      <c r="I33" s="4"/>
      <c r="J33" s="12">
        <f t="shared" ref="J33:J45" si="5">IF(H$12=0,0,H33/H$12)</f>
        <v>0.72855869137779838</v>
      </c>
      <c r="K33" s="4"/>
      <c r="L33" s="4">
        <f t="shared" ref="L33:L45" si="6">+D33-H33</f>
        <v>-367121.00000000012</v>
      </c>
      <c r="M33" s="4"/>
      <c r="N33" s="12">
        <f t="shared" ref="N33:N45" si="7">IF(H33=0,0,L33/H33)</f>
        <v>-0.73773295233042779</v>
      </c>
      <c r="O33" s="10"/>
      <c r="P33" s="4">
        <f>SUM(OSRRefP16x_0)</f>
        <v>737968.99999999953</v>
      </c>
      <c r="Q33" s="4"/>
      <c r="R33" s="12">
        <f t="shared" ref="R33:R45" si="8">IF(P$12=0,0,P33/P$12)</f>
        <v>0.70700812442026206</v>
      </c>
      <c r="S33" s="4"/>
      <c r="T33" s="4">
        <f>SUM(OSRRefT16x_0)</f>
        <v>1253853</v>
      </c>
      <c r="U33" s="4"/>
      <c r="V33" s="12">
        <f t="shared" ref="V33:V45" si="9">IF(T$12=0,0,T33/T$12)</f>
        <v>0.72778557178786341</v>
      </c>
      <c r="W33" s="4"/>
      <c r="X33" s="4">
        <f t="shared" ref="X33:X45" si="10">+P33-T33</f>
        <v>-515884.00000000047</v>
      </c>
      <c r="Y33" s="4"/>
      <c r="Z33" s="12">
        <f t="shared" ref="Z33:Z45" si="11">IF(T33=0,0,X33/T33)</f>
        <v>-0.41143898048654864</v>
      </c>
    </row>
    <row r="34" spans="1:26" s="24" customFormat="1" hidden="1" outlineLevel="1" x14ac:dyDescent="0.25">
      <c r="A34" s="51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22">
        <f t="shared" si="4"/>
        <v>0</v>
      </c>
      <c r="G34" s="2"/>
      <c r="H34" s="2">
        <v>497634</v>
      </c>
      <c r="I34" s="2"/>
      <c r="J34" s="22">
        <f t="shared" si="5"/>
        <v>0.72855869137779838</v>
      </c>
      <c r="K34" s="2"/>
      <c r="L34" s="2">
        <f t="shared" si="6"/>
        <v>-497634</v>
      </c>
      <c r="M34" s="2"/>
      <c r="N34" s="22">
        <f t="shared" si="7"/>
        <v>-1</v>
      </c>
      <c r="O34" s="11"/>
      <c r="P34" s="2"/>
      <c r="Q34" s="2"/>
      <c r="R34" s="22">
        <f t="shared" si="8"/>
        <v>0</v>
      </c>
      <c r="S34" s="2"/>
      <c r="T34" s="2">
        <v>1253853</v>
      </c>
      <c r="U34" s="2"/>
      <c r="V34" s="22">
        <f t="shared" si="9"/>
        <v>0.72778557178786341</v>
      </c>
      <c r="W34" s="2"/>
      <c r="X34" s="2">
        <f t="shared" si="10"/>
        <v>-1253853</v>
      </c>
      <c r="Y34" s="2"/>
      <c r="Z34" s="22">
        <f t="shared" si="11"/>
        <v>-1</v>
      </c>
    </row>
    <row r="35" spans="1:26" s="24" customFormat="1" hidden="1" outlineLevel="1" x14ac:dyDescent="0.25">
      <c r="A35" s="51"/>
      <c r="B35" s="11" t="str">
        <f>CONCATENATE("          ", "5001", " - ", "PURCHASES @ COST-NEW TEXT")</f>
        <v xml:space="preserve">          5001 - PURCHASES @ COST-NEW TEXT</v>
      </c>
      <c r="C35" s="11"/>
      <c r="D35" s="2">
        <v>575285.49</v>
      </c>
      <c r="E35" s="2"/>
      <c r="F35" s="22">
        <f t="shared" si="4"/>
        <v>3.0439877107206419</v>
      </c>
      <c r="G35" s="2"/>
      <c r="H35" s="2"/>
      <c r="I35" s="2"/>
      <c r="J35" s="22">
        <f t="shared" si="5"/>
        <v>0</v>
      </c>
      <c r="K35" s="2"/>
      <c r="L35" s="2">
        <f t="shared" si="6"/>
        <v>575285.49</v>
      </c>
      <c r="M35" s="2"/>
      <c r="N35" s="22">
        <f t="shared" si="7"/>
        <v>0</v>
      </c>
      <c r="O35" s="11"/>
      <c r="P35" s="2">
        <v>1090229.3999999999</v>
      </c>
      <c r="Q35" s="2"/>
      <c r="R35" s="22">
        <f t="shared" si="8"/>
        <v>1.0444897323354072</v>
      </c>
      <c r="S35" s="2"/>
      <c r="T35" s="2"/>
      <c r="U35" s="2"/>
      <c r="V35" s="22">
        <f t="shared" si="9"/>
        <v>0</v>
      </c>
      <c r="W35" s="2"/>
      <c r="X35" s="2">
        <f t="shared" si="10"/>
        <v>1090229.3999999999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"5002", " - ", "PURCHASES @ COST-USED TEXT")</f>
        <v xml:space="preserve">          5002 - PURCHASES @ COST-USED TEXT</v>
      </c>
      <c r="C36" s="11"/>
      <c r="D36" s="2">
        <v>108363.86</v>
      </c>
      <c r="E36" s="2"/>
      <c r="F36" s="22">
        <f t="shared" si="4"/>
        <v>0.57338184929060554</v>
      </c>
      <c r="G36" s="2"/>
      <c r="H36" s="2"/>
      <c r="I36" s="2"/>
      <c r="J36" s="22">
        <f t="shared" si="5"/>
        <v>0</v>
      </c>
      <c r="K36" s="2"/>
      <c r="L36" s="2">
        <f t="shared" si="6"/>
        <v>108363.86</v>
      </c>
      <c r="M36" s="2"/>
      <c r="N36" s="22">
        <f t="shared" si="7"/>
        <v>0</v>
      </c>
      <c r="O36" s="11"/>
      <c r="P36" s="2">
        <v>157396.90000000002</v>
      </c>
      <c r="Q36" s="2"/>
      <c r="R36" s="22">
        <f t="shared" si="8"/>
        <v>0.15079344397740777</v>
      </c>
      <c r="S36" s="2"/>
      <c r="T36" s="2"/>
      <c r="U36" s="2"/>
      <c r="V36" s="22">
        <f t="shared" si="9"/>
        <v>0</v>
      </c>
      <c r="W36" s="2"/>
      <c r="X36" s="2">
        <f t="shared" si="10"/>
        <v>157396.90000000002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"5003", " - ", "PURCHASES @ COST-RENTAL TEXT")</f>
        <v xml:space="preserve">          5003 - PURCHASES @ COST-RENTAL TEXT</v>
      </c>
      <c r="C37" s="11"/>
      <c r="D37" s="2">
        <v>781.74</v>
      </c>
      <c r="E37" s="2"/>
      <c r="F37" s="22">
        <f t="shared" si="4"/>
        <v>4.1363931375685394E-3</v>
      </c>
      <c r="G37" s="2"/>
      <c r="H37" s="2"/>
      <c r="I37" s="2"/>
      <c r="J37" s="22">
        <f t="shared" si="5"/>
        <v>0</v>
      </c>
      <c r="K37" s="2"/>
      <c r="L37" s="2">
        <f t="shared" si="6"/>
        <v>781.74</v>
      </c>
      <c r="M37" s="2"/>
      <c r="N37" s="22">
        <f t="shared" si="7"/>
        <v>0</v>
      </c>
      <c r="O37" s="11"/>
      <c r="P37" s="2">
        <v>-11086.1</v>
      </c>
      <c r="Q37" s="2"/>
      <c r="R37" s="22">
        <f t="shared" si="8"/>
        <v>-1.062099189550709E-2</v>
      </c>
      <c r="S37" s="2"/>
      <c r="T37" s="2"/>
      <c r="U37" s="2"/>
      <c r="V37" s="22">
        <f t="shared" si="9"/>
        <v>0</v>
      </c>
      <c r="W37" s="2"/>
      <c r="X37" s="2">
        <f t="shared" si="10"/>
        <v>-11086.1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"5004", " - ", "PURCHASES @ COST-DIGITAL TEXT")</f>
        <v xml:space="preserve">          5004 - PURCHASES @ COST-DIGITAL TEXT</v>
      </c>
      <c r="C38" s="11"/>
      <c r="D38" s="2">
        <v>60186.1</v>
      </c>
      <c r="E38" s="2"/>
      <c r="F38" s="22">
        <f t="shared" si="4"/>
        <v>0.31846057642824194</v>
      </c>
      <c r="G38" s="2"/>
      <c r="H38" s="2"/>
      <c r="I38" s="2"/>
      <c r="J38" s="22">
        <f t="shared" si="5"/>
        <v>0</v>
      </c>
      <c r="K38" s="2"/>
      <c r="L38" s="2">
        <f t="shared" si="6"/>
        <v>60186.1</v>
      </c>
      <c r="M38" s="2"/>
      <c r="N38" s="22">
        <f t="shared" si="7"/>
        <v>0</v>
      </c>
      <c r="O38" s="11"/>
      <c r="P38" s="2">
        <v>182616.07</v>
      </c>
      <c r="Q38" s="2"/>
      <c r="R38" s="22">
        <f t="shared" si="8"/>
        <v>0.17495456467642864</v>
      </c>
      <c r="S38" s="2"/>
      <c r="T38" s="2"/>
      <c r="U38" s="2"/>
      <c r="V38" s="22">
        <f t="shared" si="9"/>
        <v>0</v>
      </c>
      <c r="W38" s="2"/>
      <c r="X38" s="2">
        <f t="shared" si="10"/>
        <v>182616.07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"5013", " - ", "PURCHASES @ COST-TRADE BOOKS")</f>
        <v xml:space="preserve">          5013 - PURCHASES @ COST-TRADE BOOKS</v>
      </c>
      <c r="C39" s="11"/>
      <c r="D39" s="2">
        <v>-9.36</v>
      </c>
      <c r="E39" s="2"/>
      <c r="F39" s="22">
        <f t="shared" si="4"/>
        <v>-4.9526236047332268E-5</v>
      </c>
      <c r="G39" s="2"/>
      <c r="H39" s="2"/>
      <c r="I39" s="2"/>
      <c r="J39" s="22">
        <f t="shared" si="5"/>
        <v>0</v>
      </c>
      <c r="K39" s="2"/>
      <c r="L39" s="2">
        <f t="shared" si="6"/>
        <v>-9.36</v>
      </c>
      <c r="M39" s="2"/>
      <c r="N39" s="22">
        <f t="shared" si="7"/>
        <v>0</v>
      </c>
      <c r="O39" s="11"/>
      <c r="P39" s="2">
        <v>99.18</v>
      </c>
      <c r="Q39" s="2"/>
      <c r="R39" s="22">
        <f t="shared" si="8"/>
        <v>9.5018985594248051E-5</v>
      </c>
      <c r="S39" s="2"/>
      <c r="T39" s="2"/>
      <c r="U39" s="2"/>
      <c r="V39" s="22">
        <f t="shared" si="9"/>
        <v>0</v>
      </c>
      <c r="W39" s="2"/>
      <c r="X39" s="2">
        <f t="shared" si="10"/>
        <v>99.18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"5014", " - ", "PURCHASES @ COST-REMAINDERS")</f>
        <v xml:space="preserve">          5014 - PURCHASES @ COST-REMAINDERS</v>
      </c>
      <c r="C40" s="11"/>
      <c r="D40" s="2"/>
      <c r="E40" s="2"/>
      <c r="F40" s="22">
        <f t="shared" si="4"/>
        <v>0</v>
      </c>
      <c r="G40" s="2"/>
      <c r="H40" s="2"/>
      <c r="I40" s="2"/>
      <c r="J40" s="22">
        <f t="shared" si="5"/>
        <v>0</v>
      </c>
      <c r="K40" s="2"/>
      <c r="L40" s="2">
        <f t="shared" si="6"/>
        <v>0</v>
      </c>
      <c r="M40" s="2"/>
      <c r="N40" s="22">
        <f t="shared" si="7"/>
        <v>0</v>
      </c>
      <c r="O40" s="11"/>
      <c r="P40" s="2">
        <v>-12.51</v>
      </c>
      <c r="Q40" s="2"/>
      <c r="R40" s="22">
        <f t="shared" si="8"/>
        <v>-1.1985153355354336E-5</v>
      </c>
      <c r="S40" s="2"/>
      <c r="T40" s="2"/>
      <c r="U40" s="2"/>
      <c r="V40" s="22">
        <f t="shared" si="9"/>
        <v>0</v>
      </c>
      <c r="W40" s="2"/>
      <c r="X40" s="2">
        <f t="shared" si="10"/>
        <v>-12.51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"5200", " - ", "PURCHASES OFFSET")</f>
        <v xml:space="preserve">          5200 - PURCHASES OFFSET</v>
      </c>
      <c r="C41" s="11"/>
      <c r="D41" s="2">
        <v>-757174.69000000006</v>
      </c>
      <c r="E41" s="2"/>
      <c r="F41" s="22">
        <f t="shared" si="4"/>
        <v>-4.0064115839749617</v>
      </c>
      <c r="G41" s="2"/>
      <c r="H41" s="2"/>
      <c r="I41" s="2"/>
      <c r="J41" s="22">
        <f t="shared" si="5"/>
        <v>0</v>
      </c>
      <c r="K41" s="2"/>
      <c r="L41" s="2">
        <f t="shared" si="6"/>
        <v>-757174.69000000006</v>
      </c>
      <c r="M41" s="2"/>
      <c r="N41" s="22">
        <f t="shared" si="7"/>
        <v>0</v>
      </c>
      <c r="O41" s="11"/>
      <c r="P41" s="2">
        <v>-1438527.6300000001</v>
      </c>
      <c r="Q41" s="2"/>
      <c r="R41" s="22">
        <f t="shared" si="8"/>
        <v>-1.3781753997973158</v>
      </c>
      <c r="S41" s="2"/>
      <c r="T41" s="2"/>
      <c r="U41" s="2"/>
      <c r="V41" s="22">
        <f t="shared" si="9"/>
        <v>0</v>
      </c>
      <c r="W41" s="2"/>
      <c r="X41" s="2">
        <f t="shared" si="10"/>
        <v>-1438527.6300000001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"5300", " - ", "COG$ OFFSET")</f>
        <v xml:space="preserve">          5300 - COG$ OFFSET</v>
      </c>
      <c r="C42" s="11"/>
      <c r="D42" s="2">
        <v>130513</v>
      </c>
      <c r="E42" s="2"/>
      <c r="F42" s="22">
        <f t="shared" si="4"/>
        <v>0.69057880825272189</v>
      </c>
      <c r="G42" s="2"/>
      <c r="H42" s="2"/>
      <c r="I42" s="2"/>
      <c r="J42" s="22">
        <f t="shared" si="5"/>
        <v>0</v>
      </c>
      <c r="K42" s="2"/>
      <c r="L42" s="2">
        <f t="shared" si="6"/>
        <v>130513</v>
      </c>
      <c r="M42" s="2"/>
      <c r="N42" s="22">
        <f t="shared" si="7"/>
        <v>0</v>
      </c>
      <c r="O42" s="11"/>
      <c r="P42" s="2">
        <v>737969</v>
      </c>
      <c r="Q42" s="2"/>
      <c r="R42" s="22">
        <f t="shared" si="8"/>
        <v>0.70700812442026251</v>
      </c>
      <c r="S42" s="2"/>
      <c r="T42" s="2"/>
      <c r="U42" s="2"/>
      <c r="V42" s="22">
        <f t="shared" si="9"/>
        <v>0</v>
      </c>
      <c r="W42" s="2"/>
      <c r="X42" s="2">
        <f t="shared" si="10"/>
        <v>737969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"5501", " - ", "FREIGHT-IN-NEW TEXT")</f>
        <v xml:space="preserve">          5501 - FREIGHT-IN-NEW TEXT</v>
      </c>
      <c r="C43" s="11"/>
      <c r="D43" s="2">
        <v>5279.6</v>
      </c>
      <c r="E43" s="2"/>
      <c r="F43" s="22">
        <f t="shared" si="4"/>
        <v>2.7935760238834987E-2</v>
      </c>
      <c r="G43" s="2"/>
      <c r="H43" s="2"/>
      <c r="I43" s="2"/>
      <c r="J43" s="22">
        <f t="shared" si="5"/>
        <v>0</v>
      </c>
      <c r="K43" s="2"/>
      <c r="L43" s="2">
        <f t="shared" si="6"/>
        <v>5279.6</v>
      </c>
      <c r="M43" s="2"/>
      <c r="N43" s="22">
        <f t="shared" si="7"/>
        <v>0</v>
      </c>
      <c r="O43" s="11"/>
      <c r="P43" s="2">
        <v>10762.88</v>
      </c>
      <c r="Q43" s="2"/>
      <c r="R43" s="22">
        <f t="shared" si="8"/>
        <v>1.0311332321764673E-2</v>
      </c>
      <c r="S43" s="2"/>
      <c r="T43" s="2"/>
      <c r="U43" s="2"/>
      <c r="V43" s="22">
        <f t="shared" si="9"/>
        <v>0</v>
      </c>
      <c r="W43" s="2"/>
      <c r="X43" s="2">
        <f t="shared" si="10"/>
        <v>10762.88</v>
      </c>
      <c r="Y43" s="2"/>
      <c r="Z43" s="22">
        <f t="shared" si="11"/>
        <v>0</v>
      </c>
    </row>
    <row r="44" spans="1:26" s="24" customFormat="1" hidden="1" outlineLevel="1" x14ac:dyDescent="0.25">
      <c r="A44" s="51"/>
      <c r="B44" s="11" t="str">
        <f>CONCATENATE("          ", "5502", " - ", "FREIGHT-IN-USED TEXT")</f>
        <v xml:space="preserve">          5502 - FREIGHT-IN-USED TEXT</v>
      </c>
      <c r="C44" s="11"/>
      <c r="D44" s="2">
        <v>7276.27</v>
      </c>
      <c r="E44" s="2"/>
      <c r="F44" s="22">
        <f t="shared" si="4"/>
        <v>3.8500669397876323E-2</v>
      </c>
      <c r="G44" s="2"/>
      <c r="H44" s="2"/>
      <c r="I44" s="2"/>
      <c r="J44" s="22">
        <f t="shared" si="5"/>
        <v>0</v>
      </c>
      <c r="K44" s="2"/>
      <c r="L44" s="2">
        <f t="shared" si="6"/>
        <v>7276.27</v>
      </c>
      <c r="M44" s="2"/>
      <c r="N44" s="22">
        <f t="shared" si="7"/>
        <v>0</v>
      </c>
      <c r="O44" s="11"/>
      <c r="P44" s="2">
        <v>8510.82</v>
      </c>
      <c r="Q44" s="2"/>
      <c r="R44" s="22">
        <f t="shared" si="8"/>
        <v>8.1537556258846344E-3</v>
      </c>
      <c r="S44" s="2"/>
      <c r="T44" s="2"/>
      <c r="U44" s="2"/>
      <c r="V44" s="22">
        <f t="shared" si="9"/>
        <v>0</v>
      </c>
      <c r="W44" s="2"/>
      <c r="X44" s="2">
        <f t="shared" si="10"/>
        <v>8510.82</v>
      </c>
      <c r="Y44" s="2"/>
      <c r="Z44" s="22">
        <f t="shared" si="11"/>
        <v>0</v>
      </c>
    </row>
    <row r="45" spans="1:26" s="24" customFormat="1" hidden="1" outlineLevel="1" x14ac:dyDescent="0.25">
      <c r="A45" s="51"/>
      <c r="B45" s="11" t="str">
        <f>CONCATENATE("          ", "5504", " - ", "FREIGHT-IN-DIGITAL TEXT")</f>
        <v xml:space="preserve">          5504 - FREIGHT-IN-DIGITAL TEXT</v>
      </c>
      <c r="C45" s="11"/>
      <c r="D45" s="2">
        <v>10.99</v>
      </c>
      <c r="E45" s="2"/>
      <c r="F45" s="22">
        <f t="shared" si="4"/>
        <v>5.8150997239335649E-5</v>
      </c>
      <c r="G45" s="2"/>
      <c r="H45" s="2"/>
      <c r="I45" s="2"/>
      <c r="J45" s="22">
        <f t="shared" si="5"/>
        <v>0</v>
      </c>
      <c r="K45" s="2"/>
      <c r="L45" s="2">
        <f t="shared" si="6"/>
        <v>10.99</v>
      </c>
      <c r="M45" s="2"/>
      <c r="N45" s="22">
        <f t="shared" si="7"/>
        <v>0</v>
      </c>
      <c r="O45" s="11"/>
      <c r="P45" s="2">
        <v>10.99</v>
      </c>
      <c r="Q45" s="2"/>
      <c r="R45" s="22">
        <f t="shared" si="8"/>
        <v>1.0528923691074672E-5</v>
      </c>
      <c r="S45" s="2"/>
      <c r="T45" s="2"/>
      <c r="U45" s="2"/>
      <c r="V45" s="22">
        <f t="shared" si="9"/>
        <v>0</v>
      </c>
      <c r="W45" s="2"/>
      <c r="X45" s="2">
        <f t="shared" si="10"/>
        <v>10.99</v>
      </c>
      <c r="Y45" s="2"/>
      <c r="Z45" s="22">
        <f t="shared" si="11"/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10"/>
      <c r="B47" s="26" t="s">
        <v>6</v>
      </c>
      <c r="C47" s="26"/>
      <c r="D47" s="20">
        <f>D12-D33</f>
        <v>58477.740000000078</v>
      </c>
      <c r="E47" s="13"/>
      <c r="F47" s="21">
        <f>IF(D$12=0,0,D47/D$12)</f>
        <v>0.30942119174727861</v>
      </c>
      <c r="G47" s="13"/>
      <c r="H47" s="20">
        <f>H12-H33</f>
        <v>185405</v>
      </c>
      <c r="I47" s="13"/>
      <c r="J47" s="21">
        <f>IF(H$12=0,0,H47/H$12)</f>
        <v>0.27144130862220167</v>
      </c>
      <c r="K47" s="16"/>
      <c r="L47" s="20">
        <f>+D47-H47</f>
        <v>-126927.25999999992</v>
      </c>
      <c r="M47" s="16"/>
      <c r="N47" s="21">
        <f>IF(H47=0,0,L47/H47)</f>
        <v>-0.68459459022140678</v>
      </c>
      <c r="O47" s="25"/>
      <c r="P47" s="20">
        <f>P12-P33</f>
        <v>305822.40000000049</v>
      </c>
      <c r="Q47" s="13"/>
      <c r="R47" s="21">
        <f>IF(P$12=0,0,P47/P$12)</f>
        <v>0.29299187557973794</v>
      </c>
      <c r="S47" s="13"/>
      <c r="T47" s="20">
        <f>T12-T33</f>
        <v>468980</v>
      </c>
      <c r="U47" s="13"/>
      <c r="V47" s="21">
        <f>IF(T$12=0,0,T47/T$12)</f>
        <v>0.27221442821213665</v>
      </c>
      <c r="W47" s="16"/>
      <c r="X47" s="20">
        <f>+P47-T47</f>
        <v>-163157.59999999951</v>
      </c>
      <c r="Y47" s="16"/>
      <c r="Z47" s="21">
        <f>IF(T47=0,0,X47/T47)</f>
        <v>-0.34789884430039558</v>
      </c>
    </row>
    <row r="48" spans="1:26" x14ac:dyDescent="0.25">
      <c r="A48" s="9"/>
      <c r="B48" s="10"/>
      <c r="C48" s="9"/>
      <c r="D48" s="1"/>
      <c r="E48" s="1"/>
      <c r="F48" s="5"/>
      <c r="G48" s="1"/>
      <c r="H48" s="1"/>
      <c r="I48" s="1"/>
      <c r="J48" s="5"/>
      <c r="K48" s="1"/>
      <c r="L48" s="1"/>
      <c r="M48" s="1"/>
      <c r="N48" s="5"/>
      <c r="O48" s="36"/>
      <c r="P48" s="1"/>
      <c r="Q48" s="1"/>
      <c r="R48" s="5"/>
      <c r="S48" s="1"/>
      <c r="T48" s="1"/>
      <c r="U48" s="1"/>
      <c r="V48" s="5"/>
      <c r="W48" s="1"/>
      <c r="X48" s="1"/>
      <c r="Y48" s="1"/>
      <c r="Z48" s="5"/>
    </row>
    <row r="49" spans="1:26" s="23" customFormat="1" x14ac:dyDescent="0.25">
      <c r="A49" s="10"/>
      <c r="B49" s="25" t="s">
        <v>9</v>
      </c>
      <c r="C49" s="10"/>
      <c r="D49" s="19">
        <f>SUM(OSRRefD22x_0)</f>
        <v>39896.36</v>
      </c>
      <c r="E49" s="19"/>
      <c r="F49" s="35">
        <f t="shared" ref="F49:F60" si="12">IF(D$12=0,0,D49/D$12)</f>
        <v>0.21110219474245143</v>
      </c>
      <c r="G49" s="19"/>
      <c r="H49" s="19">
        <f>SUM(OSRRefH22x_0)</f>
        <v>56386.405748861529</v>
      </c>
      <c r="I49" s="19"/>
      <c r="J49" s="35">
        <f t="shared" ref="J49:J60" si="13">IF(H$12=0,0,H49/H$12)</f>
        <v>8.25522492110429E-2</v>
      </c>
      <c r="K49" s="4"/>
      <c r="L49" s="19">
        <f t="shared" ref="L49:L60" si="14">+D49-H49</f>
        <v>-16490.045748861528</v>
      </c>
      <c r="M49" s="4"/>
      <c r="N49" s="35">
        <f t="shared" ref="N49:N60" si="15">IF(H49=0,0,L49/H49)</f>
        <v>-0.29244718704551353</v>
      </c>
      <c r="O49" s="10"/>
      <c r="P49" s="19">
        <f>SUM(OSRRefP22x_0)</f>
        <v>128431.01</v>
      </c>
      <c r="Q49" s="19"/>
      <c r="R49" s="35">
        <f t="shared" ref="R49:R60" si="16">IF(P$12=0,0,P49/P$12)</f>
        <v>0.12304279379960402</v>
      </c>
      <c r="S49" s="19"/>
      <c r="T49" s="19">
        <f>SUM(OSRRefT22x_0)</f>
        <v>173142.23841505</v>
      </c>
      <c r="U49" s="19"/>
      <c r="V49" s="35">
        <f t="shared" ref="V49:V60" si="17">IF(T$12=0,0,T49/T$12)</f>
        <v>0.10049856162207829</v>
      </c>
      <c r="W49" s="4"/>
      <c r="X49" s="19">
        <f t="shared" ref="X49:X60" si="18">+P49-T49</f>
        <v>-44711.228415050005</v>
      </c>
      <c r="Y49" s="4"/>
      <c r="Z49" s="35">
        <f t="shared" ref="Z49:Z60" si="19">IF(T49=0,0,X49/T49)</f>
        <v>-0.25823409021587179</v>
      </c>
    </row>
    <row r="50" spans="1:26" s="28" customFormat="1" outlineLevel="1" collapsed="1" x14ac:dyDescent="0.25">
      <c r="A50" s="27"/>
      <c r="B50" s="14" t="str">
        <f>CONCATENATE("     ","*Benefits                                         ")</f>
        <v xml:space="preserve">     *Benefits                                         </v>
      </c>
      <c r="C50" s="14"/>
      <c r="D50" s="1">
        <f>SUM(OSRRefD22_0x_0)</f>
        <v>10776.93</v>
      </c>
      <c r="E50" s="1"/>
      <c r="F50" s="5">
        <f t="shared" si="12"/>
        <v>5.7023587504869293E-2</v>
      </c>
      <c r="G50" s="1"/>
      <c r="H50" s="1">
        <f>SUM(OSRRefH22_0x_0)</f>
        <v>11868.153605169227</v>
      </c>
      <c r="I50" s="1"/>
      <c r="J50" s="5">
        <f t="shared" si="13"/>
        <v>1.7375513850847797E-2</v>
      </c>
      <c r="K50" s="1"/>
      <c r="L50" s="1">
        <f t="shared" si="14"/>
        <v>-1091.2236051692271</v>
      </c>
      <c r="M50" s="1"/>
      <c r="N50" s="5">
        <f t="shared" si="15"/>
        <v>-9.1945524255259023E-2</v>
      </c>
      <c r="O50" s="14"/>
      <c r="P50" s="1">
        <f>SUM(OSRRefP22_0x_0)</f>
        <v>32591.090000000004</v>
      </c>
      <c r="Q50" s="1"/>
      <c r="R50" s="5">
        <f t="shared" si="16"/>
        <v>3.1223757927110726E-2</v>
      </c>
      <c r="S50" s="1"/>
      <c r="T50" s="1">
        <f>SUM(OSRRefT22_0x_0)</f>
        <v>38278.731448049999</v>
      </c>
      <c r="U50" s="1"/>
      <c r="V50" s="5">
        <f t="shared" si="17"/>
        <v>2.2218480519034637E-2</v>
      </c>
      <c r="W50" s="1"/>
      <c r="X50" s="1">
        <f t="shared" si="18"/>
        <v>-5687.6414480499952</v>
      </c>
      <c r="Y50" s="1"/>
      <c r="Z50" s="5">
        <f t="shared" si="19"/>
        <v>-0.14858489905207492</v>
      </c>
    </row>
    <row r="51" spans="1:26" s="24" customFormat="1" hidden="1" outlineLevel="2" x14ac:dyDescent="0.25">
      <c r="A51" s="29"/>
      <c r="B51" s="11" t="str">
        <f>CONCATENATE("          ", "6111", " - ", "F.I.C.A.")</f>
        <v xml:space="preserve">          6111 - F.I.C.A.</v>
      </c>
      <c r="C51" s="11"/>
      <c r="D51" s="6">
        <v>2005.88</v>
      </c>
      <c r="E51" s="2"/>
      <c r="F51" s="7">
        <f t="shared" si="12"/>
        <v>1.0613641705408424E-2</v>
      </c>
      <c r="G51" s="2"/>
      <c r="H51" s="6">
        <v>1568.3171629384599</v>
      </c>
      <c r="I51" s="2"/>
      <c r="J51" s="7">
        <f t="shared" si="13"/>
        <v>2.2960872848233555E-3</v>
      </c>
      <c r="K51" s="2"/>
      <c r="L51" s="6">
        <f t="shared" si="14"/>
        <v>437.56283706154022</v>
      </c>
      <c r="M51" s="2"/>
      <c r="N51" s="7">
        <f t="shared" si="15"/>
        <v>0.2790014975298144</v>
      </c>
      <c r="O51" s="11"/>
      <c r="P51" s="6">
        <v>6099.88</v>
      </c>
      <c r="Q51" s="2"/>
      <c r="R51" s="7">
        <f t="shared" si="16"/>
        <v>5.8439646082541017E-3</v>
      </c>
      <c r="S51" s="2"/>
      <c r="T51" s="6">
        <v>6121.57615455</v>
      </c>
      <c r="U51" s="2"/>
      <c r="V51" s="7">
        <f t="shared" si="17"/>
        <v>3.5532034472000478E-3</v>
      </c>
      <c r="W51" s="2"/>
      <c r="X51" s="6">
        <f t="shared" si="18"/>
        <v>-21.696154549999846</v>
      </c>
      <c r="Y51" s="2"/>
      <c r="Z51" s="7">
        <f t="shared" si="19"/>
        <v>-3.5442105108622539E-3</v>
      </c>
    </row>
    <row r="52" spans="1:26" s="24" customFormat="1" hidden="1" outlineLevel="2" x14ac:dyDescent="0.25">
      <c r="A52" s="29"/>
      <c r="B52" s="11" t="str">
        <f>CONCATENATE("          ", "6112", " - ", "COMPENSATION INSURANCE")</f>
        <v xml:space="preserve">          6112 - COMPENSATION INSURANCE</v>
      </c>
      <c r="C52" s="11"/>
      <c r="D52" s="6">
        <v>94.94</v>
      </c>
      <c r="E52" s="2"/>
      <c r="F52" s="7">
        <f t="shared" si="12"/>
        <v>5.0235265495018433E-4</v>
      </c>
      <c r="G52" s="2"/>
      <c r="H52" s="6">
        <v>703.98219346153803</v>
      </c>
      <c r="I52" s="2"/>
      <c r="J52" s="7">
        <f t="shared" si="13"/>
        <v>1.0306617827994273E-3</v>
      </c>
      <c r="K52" s="2"/>
      <c r="L52" s="6">
        <f t="shared" si="14"/>
        <v>-609.04219346153809</v>
      </c>
      <c r="M52" s="2"/>
      <c r="N52" s="7">
        <f t="shared" si="15"/>
        <v>-0.86513863435497962</v>
      </c>
      <c r="O52" s="11"/>
      <c r="P52" s="6">
        <v>433.29</v>
      </c>
      <c r="Q52" s="2"/>
      <c r="R52" s="7">
        <f t="shared" si="16"/>
        <v>4.1511167844456281E-4</v>
      </c>
      <c r="S52" s="2"/>
      <c r="T52" s="6">
        <v>2189.8077225000002</v>
      </c>
      <c r="U52" s="2"/>
      <c r="V52" s="7">
        <f t="shared" si="17"/>
        <v>1.2710504863210771E-3</v>
      </c>
      <c r="W52" s="2"/>
      <c r="X52" s="6">
        <f t="shared" si="18"/>
        <v>-1756.5177225000002</v>
      </c>
      <c r="Y52" s="2"/>
      <c r="Z52" s="7">
        <f t="shared" si="19"/>
        <v>-0.80213331264293231</v>
      </c>
    </row>
    <row r="53" spans="1:26" s="24" customFormat="1" hidden="1" outlineLevel="2" x14ac:dyDescent="0.25">
      <c r="A53" s="29"/>
      <c r="B53" s="11" t="str">
        <f>CONCATENATE("          ", "6113", " - ", "GROUP INSURANCE")</f>
        <v xml:space="preserve">          6113 - GROUP INSURANCE</v>
      </c>
      <c r="C53" s="11"/>
      <c r="D53" s="6">
        <v>4248.21</v>
      </c>
      <c r="E53" s="2"/>
      <c r="F53" s="7">
        <f t="shared" si="12"/>
        <v>2.2478402910110835E-2</v>
      </c>
      <c r="G53" s="2"/>
      <c r="H53" s="6">
        <v>4662.6923076923094</v>
      </c>
      <c r="I53" s="2"/>
      <c r="J53" s="7">
        <f t="shared" si="13"/>
        <v>6.8263925012954007E-3</v>
      </c>
      <c r="K53" s="2"/>
      <c r="L53" s="6">
        <f t="shared" si="14"/>
        <v>-414.4823076923094</v>
      </c>
      <c r="M53" s="2"/>
      <c r="N53" s="7">
        <f t="shared" si="15"/>
        <v>-8.8893343231873631E-2</v>
      </c>
      <c r="O53" s="11"/>
      <c r="P53" s="6">
        <v>12610.42</v>
      </c>
      <c r="Q53" s="2"/>
      <c r="R53" s="7">
        <f t="shared" si="16"/>
        <v>1.208136031777997E-2</v>
      </c>
      <c r="S53" s="2"/>
      <c r="T53" s="6">
        <v>14295</v>
      </c>
      <c r="U53" s="2"/>
      <c r="V53" s="7">
        <f t="shared" si="17"/>
        <v>8.2973799549927365E-3</v>
      </c>
      <c r="W53" s="2"/>
      <c r="X53" s="6">
        <f t="shared" si="18"/>
        <v>-1684.58</v>
      </c>
      <c r="Y53" s="2"/>
      <c r="Z53" s="7">
        <f t="shared" si="19"/>
        <v>-0.11784400139909058</v>
      </c>
    </row>
    <row r="54" spans="1:26" s="24" customFormat="1" hidden="1" outlineLevel="2" x14ac:dyDescent="0.25">
      <c r="A54" s="29"/>
      <c r="B54" s="11" t="str">
        <f>CONCATENATE("          ", "6114", " - ", "STATE UNEMPLOYMENT INSURANCE")</f>
        <v xml:space="preserve">          6114 - STATE UNEMPLOYMENT INSURANCE</v>
      </c>
      <c r="C54" s="11"/>
      <c r="D54" s="6">
        <v>74.8</v>
      </c>
      <c r="E54" s="2"/>
      <c r="F54" s="7">
        <f t="shared" si="12"/>
        <v>3.9578658721586043E-4</v>
      </c>
      <c r="G54" s="2"/>
      <c r="H54" s="6">
        <v>98.938038000000006</v>
      </c>
      <c r="I54" s="2"/>
      <c r="J54" s="7">
        <f t="shared" si="13"/>
        <v>1.448497640691088E-4</v>
      </c>
      <c r="K54" s="2"/>
      <c r="L54" s="6">
        <f t="shared" si="14"/>
        <v>-24.138038000000009</v>
      </c>
      <c r="M54" s="2"/>
      <c r="N54" s="7">
        <f t="shared" si="15"/>
        <v>-0.2439712620943626</v>
      </c>
      <c r="O54" s="11"/>
      <c r="P54" s="6">
        <v>208.22</v>
      </c>
      <c r="Q54" s="2"/>
      <c r="R54" s="7">
        <f t="shared" si="16"/>
        <v>1.9948430308967864E-4</v>
      </c>
      <c r="S54" s="2"/>
      <c r="T54" s="6">
        <v>307.75676099999998</v>
      </c>
      <c r="U54" s="2"/>
      <c r="V54" s="7">
        <f t="shared" si="17"/>
        <v>1.7863412240188108E-4</v>
      </c>
      <c r="W54" s="2"/>
      <c r="X54" s="6">
        <f t="shared" si="18"/>
        <v>-99.536760999999984</v>
      </c>
      <c r="Y54" s="2"/>
      <c r="Z54" s="7">
        <f t="shared" si="19"/>
        <v>-0.32342672400298622</v>
      </c>
    </row>
    <row r="55" spans="1:26" s="24" customFormat="1" hidden="1" outlineLevel="2" x14ac:dyDescent="0.25">
      <c r="A55" s="29"/>
      <c r="B55" s="11" t="str">
        <f>CONCATENATE("          ", "6115", " - ", "P.E.R.S.")</f>
        <v xml:space="preserve">          6115 - P.E.R.S.</v>
      </c>
      <c r="C55" s="11"/>
      <c r="D55" s="6">
        <v>1480.2</v>
      </c>
      <c r="E55" s="2"/>
      <c r="F55" s="7">
        <f t="shared" si="12"/>
        <v>7.8321297646646616E-3</v>
      </c>
      <c r="G55" s="2"/>
      <c r="H55" s="6">
        <v>1268.5379723076899</v>
      </c>
      <c r="I55" s="2"/>
      <c r="J55" s="7">
        <f t="shared" si="13"/>
        <v>1.8571969862741218E-3</v>
      </c>
      <c r="K55" s="2"/>
      <c r="L55" s="6">
        <f t="shared" si="14"/>
        <v>211.66202769231018</v>
      </c>
      <c r="M55" s="2"/>
      <c r="N55" s="7">
        <f t="shared" si="15"/>
        <v>0.16685509800487908</v>
      </c>
      <c r="O55" s="11"/>
      <c r="P55" s="6">
        <v>5180.72</v>
      </c>
      <c r="Q55" s="2"/>
      <c r="R55" s="7">
        <f t="shared" si="16"/>
        <v>4.9633672015308803E-3</v>
      </c>
      <c r="S55" s="2"/>
      <c r="T55" s="6">
        <v>4122.7484100000001</v>
      </c>
      <c r="U55" s="2"/>
      <c r="V55" s="7">
        <f t="shared" si="17"/>
        <v>2.3930052477518136E-3</v>
      </c>
      <c r="W55" s="2"/>
      <c r="X55" s="6">
        <f t="shared" si="18"/>
        <v>1057.9715900000001</v>
      </c>
      <c r="Y55" s="2"/>
      <c r="Z55" s="7">
        <f t="shared" si="19"/>
        <v>0.25661803359958124</v>
      </c>
    </row>
    <row r="56" spans="1:26" s="24" customFormat="1" hidden="1" outlineLevel="2" x14ac:dyDescent="0.25">
      <c r="A56" s="29"/>
      <c r="B56" s="11" t="str">
        <f>CONCATENATE("          ", "6116", " - ", "EDUCATIONAL BENEFITS")</f>
        <v xml:space="preserve">          6116 - EDUCATIONAL BENEFITS</v>
      </c>
      <c r="C56" s="11"/>
      <c r="D56" s="6"/>
      <c r="E56" s="2"/>
      <c r="F56" s="7">
        <f t="shared" si="12"/>
        <v>0</v>
      </c>
      <c r="G56" s="2"/>
      <c r="H56" s="6">
        <v>0</v>
      </c>
      <c r="I56" s="2"/>
      <c r="J56" s="7">
        <f t="shared" si="13"/>
        <v>0</v>
      </c>
      <c r="K56" s="2"/>
      <c r="L56" s="6">
        <f t="shared" si="14"/>
        <v>0</v>
      </c>
      <c r="M56" s="2"/>
      <c r="N56" s="7">
        <f t="shared" si="15"/>
        <v>0</v>
      </c>
      <c r="O56" s="11"/>
      <c r="P56" s="6"/>
      <c r="Q56" s="2"/>
      <c r="R56" s="7">
        <f t="shared" si="16"/>
        <v>0</v>
      </c>
      <c r="S56" s="2"/>
      <c r="T56" s="6">
        <v>0</v>
      </c>
      <c r="U56" s="2"/>
      <c r="V56" s="7">
        <f t="shared" si="17"/>
        <v>0</v>
      </c>
      <c r="W56" s="2"/>
      <c r="X56" s="6">
        <f t="shared" si="18"/>
        <v>0</v>
      </c>
      <c r="Y56" s="2"/>
      <c r="Z56" s="7">
        <f t="shared" si="19"/>
        <v>0</v>
      </c>
    </row>
    <row r="57" spans="1:26" s="24" customFormat="1" hidden="1" outlineLevel="2" x14ac:dyDescent="0.25">
      <c r="A57" s="29"/>
      <c r="B57" s="11" t="str">
        <f>CONCATENATE("          ", "6117", " - ", "RETIREMENT STAFF HOURLY")</f>
        <v xml:space="preserve">          6117 - RETIREMENT STAFF HOURLY</v>
      </c>
      <c r="C57" s="11"/>
      <c r="D57" s="6">
        <v>248.98</v>
      </c>
      <c r="E57" s="2"/>
      <c r="F57" s="7">
        <f t="shared" si="12"/>
        <v>1.3174190439171783E-3</v>
      </c>
      <c r="G57" s="2"/>
      <c r="H57" s="6"/>
      <c r="I57" s="2"/>
      <c r="J57" s="7">
        <f t="shared" si="13"/>
        <v>0</v>
      </c>
      <c r="K57" s="2"/>
      <c r="L57" s="6">
        <f t="shared" si="14"/>
        <v>248.98</v>
      </c>
      <c r="M57" s="2"/>
      <c r="N57" s="7">
        <f t="shared" si="15"/>
        <v>0</v>
      </c>
      <c r="O57" s="11"/>
      <c r="P57" s="6">
        <v>837.77</v>
      </c>
      <c r="Q57" s="2"/>
      <c r="R57" s="7">
        <f t="shared" si="16"/>
        <v>8.0262205647603534E-4</v>
      </c>
      <c r="S57" s="2"/>
      <c r="T57" s="6"/>
      <c r="U57" s="2"/>
      <c r="V57" s="7">
        <f t="shared" si="17"/>
        <v>0</v>
      </c>
      <c r="W57" s="2"/>
      <c r="X57" s="6">
        <f t="shared" si="18"/>
        <v>837.77</v>
      </c>
      <c r="Y57" s="2"/>
      <c r="Z57" s="7">
        <f t="shared" si="19"/>
        <v>0</v>
      </c>
    </row>
    <row r="58" spans="1:26" s="24" customFormat="1" hidden="1" outlineLevel="2" x14ac:dyDescent="0.25">
      <c r="A58" s="29"/>
      <c r="B58" s="11" t="str">
        <f>CONCATENATE("          ", "6118", " - ", "VACATION")</f>
        <v xml:space="preserve">          6118 - VACATION</v>
      </c>
      <c r="C58" s="11"/>
      <c r="D58" s="6">
        <v>1121.07</v>
      </c>
      <c r="E58" s="2"/>
      <c r="F58" s="7">
        <f t="shared" si="12"/>
        <v>5.9318779322203828E-3</v>
      </c>
      <c r="G58" s="2"/>
      <c r="H58" s="6">
        <v>1346.2077200000001</v>
      </c>
      <c r="I58" s="2"/>
      <c r="J58" s="7">
        <f t="shared" si="13"/>
        <v>1.9709090110520775E-3</v>
      </c>
      <c r="K58" s="2"/>
      <c r="L58" s="6">
        <f t="shared" si="14"/>
        <v>-225.13772000000017</v>
      </c>
      <c r="M58" s="2"/>
      <c r="N58" s="7">
        <f t="shared" si="15"/>
        <v>-0.16723847044941931</v>
      </c>
      <c r="O58" s="11"/>
      <c r="P58" s="6">
        <v>3031.38</v>
      </c>
      <c r="Q58" s="2"/>
      <c r="R58" s="7">
        <f t="shared" si="16"/>
        <v>2.9042009734895308E-3</v>
      </c>
      <c r="S58" s="2"/>
      <c r="T58" s="6">
        <v>4375.1750899999997</v>
      </c>
      <c r="U58" s="2"/>
      <c r="V58" s="7">
        <f t="shared" si="17"/>
        <v>2.5395236160440388E-3</v>
      </c>
      <c r="W58" s="2"/>
      <c r="X58" s="6">
        <f t="shared" si="18"/>
        <v>-1343.7950899999996</v>
      </c>
      <c r="Y58" s="2"/>
      <c r="Z58" s="7">
        <f t="shared" si="19"/>
        <v>-0.30714087147538582</v>
      </c>
    </row>
    <row r="59" spans="1:26" s="24" customFormat="1" hidden="1" outlineLevel="2" x14ac:dyDescent="0.25">
      <c r="A59" s="29"/>
      <c r="B59" s="11" t="str">
        <f>CONCATENATE("          ", "6119", " - ", "SICK LEAVE")</f>
        <v xml:space="preserve">          6119 - SICK LEAVE</v>
      </c>
      <c r="C59" s="11"/>
      <c r="D59" s="6">
        <v>944.6</v>
      </c>
      <c r="E59" s="2"/>
      <c r="F59" s="7">
        <f t="shared" si="12"/>
        <v>4.998128479733981E-3</v>
      </c>
      <c r="G59" s="2"/>
      <c r="H59" s="6">
        <v>1469.4782107692299</v>
      </c>
      <c r="I59" s="2"/>
      <c r="J59" s="7">
        <f t="shared" si="13"/>
        <v>2.1513825868936178E-3</v>
      </c>
      <c r="K59" s="2"/>
      <c r="L59" s="6">
        <f t="shared" si="14"/>
        <v>-524.8782107692299</v>
      </c>
      <c r="M59" s="2"/>
      <c r="N59" s="7">
        <f t="shared" si="15"/>
        <v>-0.35718679387186769</v>
      </c>
      <c r="O59" s="11"/>
      <c r="P59" s="6">
        <v>2833.8</v>
      </c>
      <c r="Q59" s="2"/>
      <c r="R59" s="7">
        <f t="shared" si="16"/>
        <v>2.7149102780498098E-3</v>
      </c>
      <c r="S59" s="2"/>
      <c r="T59" s="6">
        <v>4616.6673099999998</v>
      </c>
      <c r="U59" s="2"/>
      <c r="V59" s="7">
        <f t="shared" si="17"/>
        <v>2.6796951939044586E-3</v>
      </c>
      <c r="W59" s="2"/>
      <c r="X59" s="6">
        <f t="shared" si="18"/>
        <v>-1782.8673099999996</v>
      </c>
      <c r="Y59" s="2"/>
      <c r="Z59" s="7">
        <f t="shared" si="19"/>
        <v>-0.38618059095100782</v>
      </c>
    </row>
    <row r="60" spans="1:26" s="24" customFormat="1" hidden="1" outlineLevel="2" x14ac:dyDescent="0.25">
      <c r="A60" s="29"/>
      <c r="B60" s="11" t="str">
        <f>CONCATENATE("          ", "6156", " - ", "EMPLOYEE MEALS")</f>
        <v xml:space="preserve">          6156 - EMPLOYEE MEALS</v>
      </c>
      <c r="C60" s="11"/>
      <c r="D60" s="6">
        <v>558.25</v>
      </c>
      <c r="E60" s="2"/>
      <c r="F60" s="7">
        <f t="shared" si="12"/>
        <v>2.953848426647782E-3</v>
      </c>
      <c r="G60" s="2"/>
      <c r="H60" s="6">
        <v>750</v>
      </c>
      <c r="I60" s="2"/>
      <c r="J60" s="7">
        <f t="shared" si="13"/>
        <v>1.0980339336406852E-3</v>
      </c>
      <c r="K60" s="2"/>
      <c r="L60" s="6">
        <f t="shared" si="14"/>
        <v>-191.75</v>
      </c>
      <c r="M60" s="2"/>
      <c r="N60" s="7">
        <f t="shared" si="15"/>
        <v>-0.25566666666666665</v>
      </c>
      <c r="O60" s="11"/>
      <c r="P60" s="6">
        <v>1355.61</v>
      </c>
      <c r="Q60" s="2"/>
      <c r="R60" s="7">
        <f t="shared" si="16"/>
        <v>1.2987365099961542E-3</v>
      </c>
      <c r="S60" s="2"/>
      <c r="T60" s="6">
        <v>2250</v>
      </c>
      <c r="U60" s="2"/>
      <c r="V60" s="7">
        <f t="shared" si="17"/>
        <v>1.3059884504185838E-3</v>
      </c>
      <c r="W60" s="2"/>
      <c r="X60" s="6">
        <f t="shared" si="18"/>
        <v>-894.3900000000001</v>
      </c>
      <c r="Y60" s="2"/>
      <c r="Z60" s="7">
        <f t="shared" si="19"/>
        <v>-0.39750666666666673</v>
      </c>
    </row>
    <row r="61" spans="1:26" s="28" customFormat="1" outlineLevel="1" collapsed="1" x14ac:dyDescent="0.25">
      <c r="A61" s="27"/>
      <c r="B61" s="14" t="str">
        <f>CONCATENATE("     ","*Payroll                                          ")</f>
        <v xml:space="preserve">     *Payroll                                          </v>
      </c>
      <c r="C61" s="14"/>
      <c r="D61" s="1">
        <f>SUM(OSRRefD22_1x_0)</f>
        <v>25117.03</v>
      </c>
      <c r="E61" s="1"/>
      <c r="F61" s="5">
        <f t="shared" ref="F61:F71" si="20">IF(D$12=0,0,D61/D$12)</f>
        <v>0.1329008500628126</v>
      </c>
      <c r="G61" s="1"/>
      <c r="H61" s="1">
        <f>SUM(OSRRefH22_1x_0)</f>
        <v>35953.252143692298</v>
      </c>
      <c r="I61" s="1"/>
      <c r="J61" s="5">
        <f t="shared" ref="J61:J71" si="21">IF(H$12=0,0,H61/H$12)</f>
        <v>5.2637187838018469E-2</v>
      </c>
      <c r="K61" s="1"/>
      <c r="L61" s="1">
        <f t="shared" ref="L61:L71" si="22">+D61-H61</f>
        <v>-10836.222143692299</v>
      </c>
      <c r="M61" s="1"/>
      <c r="N61" s="5">
        <f t="shared" ref="N61:N71" si="23">IF(H61=0,0,L61/H61)</f>
        <v>-0.30139755091928244</v>
      </c>
      <c r="O61" s="14"/>
      <c r="P61" s="1">
        <f>SUM(OSRRefP22_1x_0)</f>
        <v>89674.319999999992</v>
      </c>
      <c r="Q61" s="1"/>
      <c r="R61" s="5">
        <f t="shared" ref="R61:R71" si="24">IF(P$12=0,0,P61/P$12)</f>
        <v>8.5912108492175732E-2</v>
      </c>
      <c r="S61" s="1"/>
      <c r="T61" s="1">
        <f>SUM(OSRRefT22_1x_0)</f>
        <v>111543.50696699999</v>
      </c>
      <c r="U61" s="1"/>
      <c r="V61" s="5">
        <f t="shared" ref="V61:V71" si="25">IF(T$12=0,0,T61/T$12)</f>
        <v>6.4744236363594151E-2</v>
      </c>
      <c r="W61" s="1"/>
      <c r="X61" s="1">
        <f t="shared" ref="X61:X71" si="26">+P61-T61</f>
        <v>-21869.186967000001</v>
      </c>
      <c r="Y61" s="1"/>
      <c r="Z61" s="5">
        <f t="shared" ref="Z61:Z71" si="27">IF(T61=0,0,X61/T61)</f>
        <v>-0.19605970407107581</v>
      </c>
    </row>
    <row r="62" spans="1:26" s="24" customFormat="1" hidden="1" outlineLevel="2" x14ac:dyDescent="0.25">
      <c r="A62" s="29"/>
      <c r="B62" s="11" t="str">
        <f>CONCATENATE("          ", "6001", " - ", "ADMINISTRATIVE SALARIES")</f>
        <v xml:space="preserve">          6001 - ADMINISTRATIVE SALARIES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>
        <v>-311.32</v>
      </c>
      <c r="Q62" s="2"/>
      <c r="R62" s="7">
        <f t="shared" si="24"/>
        <v>-2.982588283444374E-4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-311.32</v>
      </c>
      <c r="Y62" s="2"/>
      <c r="Z62" s="7">
        <f t="shared" si="27"/>
        <v>0</v>
      </c>
    </row>
    <row r="63" spans="1:26" s="24" customFormat="1" hidden="1" outlineLevel="2" x14ac:dyDescent="0.25">
      <c r="A63" s="29"/>
      <c r="B63" s="11" t="str">
        <f>CONCATENATE("          ", "6002", " - ", "STAFF SALARIES")</f>
        <v xml:space="preserve">          6002 - STAFF SALARIES</v>
      </c>
      <c r="C63" s="11"/>
      <c r="D63" s="6">
        <v>14307.52</v>
      </c>
      <c r="E63" s="2"/>
      <c r="F63" s="7">
        <f t="shared" si="20"/>
        <v>7.5704873159393948E-2</v>
      </c>
      <c r="G63" s="2"/>
      <c r="H63" s="6">
        <v>13107.2520636923</v>
      </c>
      <c r="I63" s="2"/>
      <c r="J63" s="7">
        <f t="shared" si="21"/>
        <v>1.9189610056954728E-2</v>
      </c>
      <c r="K63" s="2"/>
      <c r="L63" s="6">
        <f t="shared" si="22"/>
        <v>1200.2679363077004</v>
      </c>
      <c r="M63" s="2"/>
      <c r="N63" s="7">
        <f t="shared" si="23"/>
        <v>9.1572812552563831E-2</v>
      </c>
      <c r="O63" s="11"/>
      <c r="P63" s="6">
        <v>47442.92</v>
      </c>
      <c r="Q63" s="2"/>
      <c r="R63" s="7">
        <f t="shared" si="24"/>
        <v>4.5452491752662458E-2</v>
      </c>
      <c r="S63" s="2"/>
      <c r="T63" s="6">
        <v>42598.569207</v>
      </c>
      <c r="U63" s="2"/>
      <c r="V63" s="7">
        <f t="shared" si="25"/>
        <v>2.4725884172754991E-2</v>
      </c>
      <c r="W63" s="2"/>
      <c r="X63" s="6">
        <f t="shared" si="26"/>
        <v>4844.3507929999978</v>
      </c>
      <c r="Y63" s="2"/>
      <c r="Z63" s="7">
        <f t="shared" si="27"/>
        <v>0.1137209742763837</v>
      </c>
    </row>
    <row r="64" spans="1:26" s="24" customFormat="1" hidden="1" outlineLevel="2" x14ac:dyDescent="0.25">
      <c r="A64" s="29"/>
      <c r="B64" s="11" t="str">
        <f>CONCATENATE("          ", "6003", " - ", "STAFF HOURLY-9 MONTH")</f>
        <v xml:space="preserve">          6003 - STAFF HOURLY-9 MONTH</v>
      </c>
      <c r="C64" s="11"/>
      <c r="D64" s="6"/>
      <c r="E64" s="2"/>
      <c r="F64" s="7">
        <f t="shared" si="20"/>
        <v>0</v>
      </c>
      <c r="G64" s="2"/>
      <c r="H64" s="6">
        <v>0</v>
      </c>
      <c r="I64" s="2"/>
      <c r="J64" s="7">
        <f t="shared" si="21"/>
        <v>0</v>
      </c>
      <c r="K64" s="2"/>
      <c r="L64" s="6">
        <f t="shared" si="22"/>
        <v>0</v>
      </c>
      <c r="M64" s="2"/>
      <c r="N64" s="7">
        <f t="shared" si="23"/>
        <v>0</v>
      </c>
      <c r="O64" s="11"/>
      <c r="P64" s="6"/>
      <c r="Q64" s="2"/>
      <c r="R64" s="7">
        <f t="shared" si="24"/>
        <v>0</v>
      </c>
      <c r="S64" s="2"/>
      <c r="T64" s="6">
        <v>0</v>
      </c>
      <c r="U64" s="2"/>
      <c r="V64" s="7">
        <f t="shared" si="25"/>
        <v>0</v>
      </c>
      <c r="W64" s="2"/>
      <c r="X64" s="6">
        <f t="shared" si="26"/>
        <v>0</v>
      </c>
      <c r="Y64" s="2"/>
      <c r="Z64" s="7">
        <f t="shared" si="27"/>
        <v>0</v>
      </c>
    </row>
    <row r="65" spans="1:26" s="24" customFormat="1" hidden="1" outlineLevel="2" x14ac:dyDescent="0.25">
      <c r="A65" s="29"/>
      <c r="B65" s="11" t="str">
        <f>CONCATENATE("          ", "6004", " - ", "STAFF HOURLY")</f>
        <v xml:space="preserve">          6004 - STAFF HOURLY</v>
      </c>
      <c r="C65" s="11"/>
      <c r="D65" s="6">
        <v>6404.63</v>
      </c>
      <c r="E65" s="2"/>
      <c r="F65" s="7">
        <f t="shared" si="20"/>
        <v>3.3888591578613854E-2</v>
      </c>
      <c r="G65" s="2"/>
      <c r="H65" s="6">
        <v>5285.7500799999998</v>
      </c>
      <c r="I65" s="2"/>
      <c r="J65" s="7">
        <f t="shared" si="21"/>
        <v>7.7385772701119553E-3</v>
      </c>
      <c r="K65" s="2"/>
      <c r="L65" s="6">
        <f t="shared" si="22"/>
        <v>1118.8799200000003</v>
      </c>
      <c r="M65" s="2"/>
      <c r="N65" s="7">
        <f t="shared" si="23"/>
        <v>0.21167855140059902</v>
      </c>
      <c r="O65" s="11"/>
      <c r="P65" s="6">
        <v>18577.73</v>
      </c>
      <c r="Q65" s="2"/>
      <c r="R65" s="7">
        <f t="shared" si="24"/>
        <v>1.7798316790117258E-2</v>
      </c>
      <c r="S65" s="2"/>
      <c r="T65" s="6">
        <v>17178.687759999997</v>
      </c>
      <c r="U65" s="2"/>
      <c r="V65" s="7">
        <f t="shared" si="25"/>
        <v>9.9711856924031509E-3</v>
      </c>
      <c r="W65" s="2"/>
      <c r="X65" s="6">
        <f t="shared" si="26"/>
        <v>1399.0422400000025</v>
      </c>
      <c r="Y65" s="2"/>
      <c r="Z65" s="7">
        <f t="shared" si="27"/>
        <v>8.1440576809226714E-2</v>
      </c>
    </row>
    <row r="66" spans="1:26" s="24" customFormat="1" hidden="1" outlineLevel="2" x14ac:dyDescent="0.25">
      <c r="A66" s="29"/>
      <c r="B66" s="11" t="str">
        <f>CONCATENATE("          ", "6005", " - ", "TEMPORARY WAGES-HOURLY")</f>
        <v xml:space="preserve">          6005 - TEMPORARY WAGES-HOURLY</v>
      </c>
      <c r="C66" s="11"/>
      <c r="D66" s="6">
        <v>5645.28</v>
      </c>
      <c r="E66" s="2"/>
      <c r="F66" s="7">
        <f t="shared" si="20"/>
        <v>2.9870669853983321E-2</v>
      </c>
      <c r="G66" s="2"/>
      <c r="H66" s="6">
        <v>3391.5</v>
      </c>
      <c r="I66" s="2"/>
      <c r="J66" s="7">
        <f t="shared" si="21"/>
        <v>4.9653094479231788E-3</v>
      </c>
      <c r="K66" s="2"/>
      <c r="L66" s="6">
        <f t="shared" si="22"/>
        <v>2253.7799999999997</v>
      </c>
      <c r="M66" s="2"/>
      <c r="N66" s="7">
        <f t="shared" si="23"/>
        <v>0.66453781512605037</v>
      </c>
      <c r="O66" s="11"/>
      <c r="P66" s="6">
        <v>11339.33</v>
      </c>
      <c r="Q66" s="2"/>
      <c r="R66" s="7">
        <f t="shared" si="24"/>
        <v>1.0863597841484419E-2</v>
      </c>
      <c r="S66" s="2"/>
      <c r="T66" s="6">
        <v>10687.5</v>
      </c>
      <c r="U66" s="2"/>
      <c r="V66" s="7">
        <f t="shared" si="25"/>
        <v>6.2034451394882735E-3</v>
      </c>
      <c r="W66" s="2"/>
      <c r="X66" s="6">
        <f t="shared" si="26"/>
        <v>651.82999999999993</v>
      </c>
      <c r="Y66" s="2"/>
      <c r="Z66" s="7">
        <f t="shared" si="27"/>
        <v>6.0989941520467827E-2</v>
      </c>
    </row>
    <row r="67" spans="1:26" s="24" customFormat="1" hidden="1" outlineLevel="2" x14ac:dyDescent="0.25">
      <c r="A67" s="29"/>
      <c r="B67" s="11" t="str">
        <f>CONCATENATE("          ", "6006", " - ", "TEMPORARY PART TIME")</f>
        <v xml:space="preserve">          6006 - TEMPORARY PART TIME</v>
      </c>
      <c r="C67" s="11"/>
      <c r="D67" s="6"/>
      <c r="E67" s="2"/>
      <c r="F67" s="7">
        <f t="shared" si="20"/>
        <v>0</v>
      </c>
      <c r="G67" s="2"/>
      <c r="H67" s="6">
        <v>0</v>
      </c>
      <c r="I67" s="2"/>
      <c r="J67" s="7">
        <f t="shared" si="21"/>
        <v>0</v>
      </c>
      <c r="K67" s="2"/>
      <c r="L67" s="6">
        <f t="shared" si="22"/>
        <v>0</v>
      </c>
      <c r="M67" s="2"/>
      <c r="N67" s="7">
        <f t="shared" si="23"/>
        <v>0</v>
      </c>
      <c r="O67" s="11"/>
      <c r="P67" s="6">
        <v>502.29</v>
      </c>
      <c r="Q67" s="2"/>
      <c r="R67" s="7">
        <f t="shared" si="24"/>
        <v>4.8121684083620543E-4</v>
      </c>
      <c r="S67" s="2"/>
      <c r="T67" s="6">
        <v>0</v>
      </c>
      <c r="U67" s="2"/>
      <c r="V67" s="7">
        <f t="shared" si="25"/>
        <v>0</v>
      </c>
      <c r="W67" s="2"/>
      <c r="X67" s="6">
        <f t="shared" si="26"/>
        <v>502.29</v>
      </c>
      <c r="Y67" s="2"/>
      <c r="Z67" s="7">
        <f t="shared" si="27"/>
        <v>0</v>
      </c>
    </row>
    <row r="68" spans="1:26" s="24" customFormat="1" hidden="1" outlineLevel="2" x14ac:dyDescent="0.25">
      <c r="A68" s="29"/>
      <c r="B68" s="11" t="str">
        <f>CONCATENATE("          ", "6007", " - ", "STUDENT HOURLY")</f>
        <v xml:space="preserve">          6007 - STUDENT HOURLY</v>
      </c>
      <c r="C68" s="11"/>
      <c r="D68" s="6">
        <v>-1240.4000000000001</v>
      </c>
      <c r="E68" s="2"/>
      <c r="F68" s="7">
        <f t="shared" si="20"/>
        <v>-6.5632845291785204E-3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-1240.4000000000001</v>
      </c>
      <c r="M68" s="2"/>
      <c r="N68" s="7">
        <f t="shared" si="23"/>
        <v>0</v>
      </c>
      <c r="O68" s="11"/>
      <c r="P68" s="6">
        <v>12123.37</v>
      </c>
      <c r="Q68" s="2"/>
      <c r="R68" s="7">
        <f t="shared" si="24"/>
        <v>1.1614744095419833E-2</v>
      </c>
      <c r="S68" s="2"/>
      <c r="T68" s="6">
        <v>13387.5</v>
      </c>
      <c r="U68" s="2"/>
      <c r="V68" s="7">
        <f t="shared" si="25"/>
        <v>7.7706312799905733E-3</v>
      </c>
      <c r="W68" s="2"/>
      <c r="X68" s="6">
        <f t="shared" si="26"/>
        <v>-1264.1299999999992</v>
      </c>
      <c r="Y68" s="2"/>
      <c r="Z68" s="7">
        <f t="shared" si="27"/>
        <v>-9.4426143790849612E-2</v>
      </c>
    </row>
    <row r="69" spans="1:26" s="24" customFormat="1" hidden="1" outlineLevel="2" x14ac:dyDescent="0.25">
      <c r="A69" s="29"/>
      <c r="B69" s="11" t="str">
        <f>CONCATENATE("          ", "6008", " - ", "STUDENT HOURLY-FICA EXEMPT")</f>
        <v xml:space="preserve">          6008 - STUDENT HOURLY-FICA EXEMPT</v>
      </c>
      <c r="C69" s="11"/>
      <c r="D69" s="6"/>
      <c r="E69" s="2"/>
      <c r="F69" s="7">
        <f t="shared" si="20"/>
        <v>0</v>
      </c>
      <c r="G69" s="2"/>
      <c r="H69" s="6">
        <v>14168.75</v>
      </c>
      <c r="I69" s="2"/>
      <c r="J69" s="7">
        <f t="shared" si="21"/>
        <v>2.0743691063028612E-2</v>
      </c>
      <c r="K69" s="2"/>
      <c r="L69" s="6">
        <f t="shared" si="22"/>
        <v>-14168.75</v>
      </c>
      <c r="M69" s="2"/>
      <c r="N69" s="7">
        <f t="shared" si="23"/>
        <v>-1</v>
      </c>
      <c r="O69" s="11"/>
      <c r="P69" s="6"/>
      <c r="Q69" s="2"/>
      <c r="R69" s="7">
        <f t="shared" si="24"/>
        <v>0</v>
      </c>
      <c r="S69" s="2"/>
      <c r="T69" s="6">
        <v>27691.25</v>
      </c>
      <c r="U69" s="2"/>
      <c r="V69" s="7">
        <f t="shared" si="25"/>
        <v>1.6073090078957158E-2</v>
      </c>
      <c r="W69" s="2"/>
      <c r="X69" s="6">
        <f t="shared" si="26"/>
        <v>-27691.25</v>
      </c>
      <c r="Y69" s="2"/>
      <c r="Z69" s="7">
        <f t="shared" si="27"/>
        <v>-1</v>
      </c>
    </row>
    <row r="70" spans="1:26" s="24" customFormat="1" hidden="1" outlineLevel="2" x14ac:dyDescent="0.25">
      <c r="A70" s="29"/>
      <c r="B70" s="11" t="str">
        <f>CONCATENATE("          ", "6009", " - ", "TEMPORARY-SEASONAL")</f>
        <v xml:space="preserve">          6009 - TEMPORARY-SEASONAL</v>
      </c>
      <c r="C70" s="11"/>
      <c r="D70" s="6"/>
      <c r="E70" s="2"/>
      <c r="F70" s="7">
        <f t="shared" si="20"/>
        <v>0</v>
      </c>
      <c r="G70" s="2"/>
      <c r="H70" s="6">
        <v>0</v>
      </c>
      <c r="I70" s="2"/>
      <c r="J70" s="7">
        <f t="shared" si="21"/>
        <v>0</v>
      </c>
      <c r="K70" s="2"/>
      <c r="L70" s="6">
        <f t="shared" si="22"/>
        <v>0</v>
      </c>
      <c r="M70" s="2"/>
      <c r="N70" s="7">
        <f t="shared" si="23"/>
        <v>0</v>
      </c>
      <c r="O70" s="11"/>
      <c r="P70" s="6"/>
      <c r="Q70" s="2"/>
      <c r="R70" s="7">
        <f t="shared" si="24"/>
        <v>0</v>
      </c>
      <c r="S70" s="2"/>
      <c r="T70" s="6">
        <v>0</v>
      </c>
      <c r="U70" s="2"/>
      <c r="V70" s="7">
        <f t="shared" si="25"/>
        <v>0</v>
      </c>
      <c r="W70" s="2"/>
      <c r="X70" s="6">
        <f t="shared" si="26"/>
        <v>0</v>
      </c>
      <c r="Y70" s="2"/>
      <c r="Z70" s="7">
        <f t="shared" si="27"/>
        <v>0</v>
      </c>
    </row>
    <row r="71" spans="1:26" s="24" customFormat="1" hidden="1" outlineLevel="2" x14ac:dyDescent="0.25">
      <c r="A71" s="29"/>
      <c r="B71" s="11" t="str">
        <f>CONCATENATE("          ", "6010", " - ", "GRATUITY")</f>
        <v xml:space="preserve">          6010 - GRATUITY</v>
      </c>
      <c r="C71" s="11"/>
      <c r="D71" s="6"/>
      <c r="E71" s="2"/>
      <c r="F71" s="7">
        <f t="shared" si="20"/>
        <v>0</v>
      </c>
      <c r="G71" s="2"/>
      <c r="H71" s="6">
        <v>0</v>
      </c>
      <c r="I71" s="2"/>
      <c r="J71" s="7">
        <f t="shared" si="21"/>
        <v>0</v>
      </c>
      <c r="K71" s="2"/>
      <c r="L71" s="6">
        <f t="shared" si="22"/>
        <v>0</v>
      </c>
      <c r="M71" s="2"/>
      <c r="N71" s="7">
        <f t="shared" si="23"/>
        <v>0</v>
      </c>
      <c r="O71" s="11"/>
      <c r="P71" s="6"/>
      <c r="Q71" s="2"/>
      <c r="R71" s="7">
        <f t="shared" si="24"/>
        <v>0</v>
      </c>
      <c r="S71" s="2"/>
      <c r="T71" s="6">
        <v>0</v>
      </c>
      <c r="U71" s="2"/>
      <c r="V71" s="7">
        <f t="shared" si="25"/>
        <v>0</v>
      </c>
      <c r="W71" s="2"/>
      <c r="X71" s="6">
        <f t="shared" si="26"/>
        <v>0</v>
      </c>
      <c r="Y71" s="2"/>
      <c r="Z71" s="7">
        <f t="shared" si="27"/>
        <v>0</v>
      </c>
    </row>
    <row r="72" spans="1:26" s="28" customFormat="1" outlineLevel="1" collapsed="1" x14ac:dyDescent="0.25">
      <c r="A72" s="27"/>
      <c r="B72" s="14" t="str">
        <f>CONCATENATE("     ","Advertising/Promo                                 ")</f>
        <v xml:space="preserve">     Advertising/Promo                                 </v>
      </c>
      <c r="C72" s="14"/>
      <c r="D72" s="1">
        <f>SUM(OSRRefD22_2x_0)</f>
        <v>0</v>
      </c>
      <c r="E72" s="1"/>
      <c r="F72" s="5">
        <f t="shared" ref="F72:F84" si="28">IF(D$12=0,0,D72/D$12)</f>
        <v>0</v>
      </c>
      <c r="G72" s="1"/>
      <c r="H72" s="1">
        <f>SUM(OSRRefH22_2x_0)</f>
        <v>250</v>
      </c>
      <c r="I72" s="1"/>
      <c r="J72" s="5">
        <f t="shared" ref="J72:J84" si="29">IF(H$12=0,0,H72/H$12)</f>
        <v>3.6601131121356172E-4</v>
      </c>
      <c r="K72" s="1"/>
      <c r="L72" s="1">
        <f t="shared" ref="L72:L84" si="30">+D72-H72</f>
        <v>-250</v>
      </c>
      <c r="M72" s="1"/>
      <c r="N72" s="5">
        <f t="shared" ref="N72:N84" si="31">IF(H72=0,0,L72/H72)</f>
        <v>-1</v>
      </c>
      <c r="O72" s="14"/>
      <c r="P72" s="1">
        <f>SUM(OSRRefP22_2x_0)</f>
        <v>1359.88</v>
      </c>
      <c r="Q72" s="1"/>
      <c r="R72" s="5">
        <f t="shared" ref="R72:R84" si="32">IF(P$12=0,0,P72/P$12)</f>
        <v>1.3028273656977823E-3</v>
      </c>
      <c r="S72" s="1"/>
      <c r="T72" s="1">
        <f>SUM(OSRRefT22_2x_0)</f>
        <v>1150</v>
      </c>
      <c r="U72" s="1"/>
      <c r="V72" s="5">
        <f t="shared" ref="V72:V84" si="33">IF(T$12=0,0,T72/T$12)</f>
        <v>6.6750520799172062E-4</v>
      </c>
      <c r="W72" s="1"/>
      <c r="X72" s="1">
        <f t="shared" ref="X72:X84" si="34">+P72-T72</f>
        <v>209.88000000000011</v>
      </c>
      <c r="Y72" s="1"/>
      <c r="Z72" s="5">
        <f t="shared" ref="Z72:Z84" si="35">IF(T72=0,0,X72/T72)</f>
        <v>0.18250434782608704</v>
      </c>
    </row>
    <row r="73" spans="1:26" s="24" customFormat="1" hidden="1" outlineLevel="2" x14ac:dyDescent="0.25">
      <c r="A73" s="29"/>
      <c r="B73" s="11" t="str">
        <f>CONCATENATE("          ", "6362", " - ", "ADVERTISING EXPENSE")</f>
        <v xml:space="preserve">          6362 - ADVERTISING EXPENSE</v>
      </c>
      <c r="C73" s="11"/>
      <c r="D73" s="6"/>
      <c r="E73" s="2"/>
      <c r="F73" s="7">
        <f t="shared" si="28"/>
        <v>0</v>
      </c>
      <c r="G73" s="2"/>
      <c r="H73" s="6">
        <v>250</v>
      </c>
      <c r="I73" s="2"/>
      <c r="J73" s="7">
        <f t="shared" si="29"/>
        <v>3.6601131121356172E-4</v>
      </c>
      <c r="K73" s="2"/>
      <c r="L73" s="6">
        <f t="shared" si="30"/>
        <v>-250</v>
      </c>
      <c r="M73" s="2"/>
      <c r="N73" s="7">
        <f t="shared" si="31"/>
        <v>-1</v>
      </c>
      <c r="O73" s="11"/>
      <c r="P73" s="6">
        <v>1359.88</v>
      </c>
      <c r="Q73" s="2"/>
      <c r="R73" s="7">
        <f t="shared" si="32"/>
        <v>1.3028273656977823E-3</v>
      </c>
      <c r="S73" s="2"/>
      <c r="T73" s="6">
        <v>1150</v>
      </c>
      <c r="U73" s="2"/>
      <c r="V73" s="7">
        <f t="shared" si="33"/>
        <v>6.6750520799172062E-4</v>
      </c>
      <c r="W73" s="2"/>
      <c r="X73" s="6">
        <f t="shared" si="34"/>
        <v>209.88000000000011</v>
      </c>
      <c r="Y73" s="2"/>
      <c r="Z73" s="7">
        <f t="shared" si="35"/>
        <v>0.18250434782608704</v>
      </c>
    </row>
    <row r="74" spans="1:26" s="28" customFormat="1" outlineLevel="1" collapsed="1" x14ac:dyDescent="0.25">
      <c r="A74" s="27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SUM(OSRRefD22_3x_0)</f>
        <v>0</v>
      </c>
      <c r="E74" s="1"/>
      <c r="F74" s="5">
        <f t="shared" si="28"/>
        <v>0</v>
      </c>
      <c r="G74" s="1"/>
      <c r="H74" s="1">
        <f>SUM(OSRRefH22_3x_0)</f>
        <v>1400</v>
      </c>
      <c r="I74" s="1"/>
      <c r="J74" s="5">
        <f t="shared" si="29"/>
        <v>2.0496633427959459E-3</v>
      </c>
      <c r="K74" s="1"/>
      <c r="L74" s="1">
        <f t="shared" si="30"/>
        <v>-1400</v>
      </c>
      <c r="M74" s="1"/>
      <c r="N74" s="5">
        <f t="shared" si="31"/>
        <v>-1</v>
      </c>
      <c r="O74" s="14"/>
      <c r="P74" s="1">
        <f>SUM(OSRRefP22_3x_0)</f>
        <v>0</v>
      </c>
      <c r="Q74" s="1"/>
      <c r="R74" s="5">
        <f t="shared" si="32"/>
        <v>0</v>
      </c>
      <c r="S74" s="1"/>
      <c r="T74" s="1">
        <f>SUM(OSRRefT22_3x_0)</f>
        <v>6400</v>
      </c>
      <c r="U74" s="1"/>
      <c r="V74" s="5">
        <f t="shared" si="33"/>
        <v>3.7148115923017495E-3</v>
      </c>
      <c r="W74" s="1"/>
      <c r="X74" s="1">
        <f t="shared" si="34"/>
        <v>-6400</v>
      </c>
      <c r="Y74" s="1"/>
      <c r="Z74" s="5">
        <f t="shared" si="35"/>
        <v>-1</v>
      </c>
    </row>
    <row r="75" spans="1:26" s="24" customFormat="1" hidden="1" outlineLevel="2" x14ac:dyDescent="0.25">
      <c r="A75" s="29"/>
      <c r="B75" s="11" t="str">
        <f>CONCATENATE("          ", "6382", " - ", "DISCOUNTS/MARK DOWNS")</f>
        <v xml:space="preserve">          6382 - DISCOUNTS/MARK DOWNS</v>
      </c>
      <c r="C75" s="11"/>
      <c r="D75" s="6"/>
      <c r="E75" s="2"/>
      <c r="F75" s="7">
        <f t="shared" si="28"/>
        <v>0</v>
      </c>
      <c r="G75" s="2"/>
      <c r="H75" s="6">
        <v>1400</v>
      </c>
      <c r="I75" s="2"/>
      <c r="J75" s="7">
        <f t="shared" si="29"/>
        <v>2.0496633427959459E-3</v>
      </c>
      <c r="K75" s="2"/>
      <c r="L75" s="6">
        <f t="shared" si="30"/>
        <v>-1400</v>
      </c>
      <c r="M75" s="2"/>
      <c r="N75" s="7">
        <f t="shared" si="31"/>
        <v>-1</v>
      </c>
      <c r="O75" s="11"/>
      <c r="P75" s="6"/>
      <c r="Q75" s="2"/>
      <c r="R75" s="7">
        <f t="shared" si="32"/>
        <v>0</v>
      </c>
      <c r="S75" s="2"/>
      <c r="T75" s="6">
        <v>6400</v>
      </c>
      <c r="U75" s="2"/>
      <c r="V75" s="7">
        <f t="shared" si="33"/>
        <v>3.7148115923017495E-3</v>
      </c>
      <c r="W75" s="2"/>
      <c r="X75" s="6">
        <f t="shared" si="34"/>
        <v>-6400</v>
      </c>
      <c r="Y75" s="2"/>
      <c r="Z75" s="7">
        <f t="shared" si="35"/>
        <v>-1</v>
      </c>
    </row>
    <row r="76" spans="1:26" s="28" customFormat="1" outlineLevel="1" collapsed="1" x14ac:dyDescent="0.25">
      <c r="A76" s="27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SUM(OSRRefD22_4x_0)</f>
        <v>0</v>
      </c>
      <c r="E76" s="1"/>
      <c r="F76" s="5">
        <f t="shared" si="28"/>
        <v>0</v>
      </c>
      <c r="G76" s="1"/>
      <c r="H76" s="1">
        <f>SUM(OSRRefH22_4x_0)</f>
        <v>75</v>
      </c>
      <c r="I76" s="1"/>
      <c r="J76" s="5">
        <f t="shared" si="29"/>
        <v>1.0980339336406852E-4</v>
      </c>
      <c r="K76" s="1"/>
      <c r="L76" s="1">
        <f t="shared" si="30"/>
        <v>-75</v>
      </c>
      <c r="M76" s="1"/>
      <c r="N76" s="5">
        <f t="shared" si="31"/>
        <v>-1</v>
      </c>
      <c r="O76" s="14"/>
      <c r="P76" s="1">
        <f>SUM(OSRRefP22_4x_0)</f>
        <v>107.7</v>
      </c>
      <c r="Q76" s="1"/>
      <c r="R76" s="5">
        <f t="shared" si="32"/>
        <v>1.0318153608086827E-4</v>
      </c>
      <c r="S76" s="1"/>
      <c r="T76" s="1">
        <f>SUM(OSRRefT22_4x_0)</f>
        <v>225</v>
      </c>
      <c r="U76" s="1"/>
      <c r="V76" s="5">
        <f t="shared" si="33"/>
        <v>1.3059884504185837E-4</v>
      </c>
      <c r="W76" s="1"/>
      <c r="X76" s="1">
        <f t="shared" si="34"/>
        <v>-117.3</v>
      </c>
      <c r="Y76" s="1"/>
      <c r="Z76" s="5">
        <f t="shared" si="35"/>
        <v>-0.52133333333333332</v>
      </c>
    </row>
    <row r="77" spans="1:26" s="24" customFormat="1" hidden="1" outlineLevel="2" x14ac:dyDescent="0.25">
      <c r="A77" s="29"/>
      <c r="B77" s="11" t="str">
        <f>CONCATENATE("          ", "6277", " - ", "EMPLOYEE APPRECIATION")</f>
        <v xml:space="preserve">          6277 - EMPLOYEE APPRECIATION</v>
      </c>
      <c r="C77" s="11"/>
      <c r="D77" s="6"/>
      <c r="E77" s="2"/>
      <c r="F77" s="7">
        <f t="shared" si="28"/>
        <v>0</v>
      </c>
      <c r="G77" s="2"/>
      <c r="H77" s="6">
        <v>75</v>
      </c>
      <c r="I77" s="2"/>
      <c r="J77" s="7">
        <f t="shared" si="29"/>
        <v>1.0980339336406852E-4</v>
      </c>
      <c r="K77" s="2"/>
      <c r="L77" s="6">
        <f t="shared" si="30"/>
        <v>-75</v>
      </c>
      <c r="M77" s="2"/>
      <c r="N77" s="7">
        <f t="shared" si="31"/>
        <v>-1</v>
      </c>
      <c r="O77" s="11"/>
      <c r="P77" s="6">
        <v>107.7</v>
      </c>
      <c r="Q77" s="2"/>
      <c r="R77" s="7">
        <f t="shared" si="32"/>
        <v>1.0318153608086827E-4</v>
      </c>
      <c r="S77" s="2"/>
      <c r="T77" s="6">
        <v>225</v>
      </c>
      <c r="U77" s="2"/>
      <c r="V77" s="7">
        <f t="shared" si="33"/>
        <v>1.3059884504185837E-4</v>
      </c>
      <c r="W77" s="2"/>
      <c r="X77" s="6">
        <f t="shared" si="34"/>
        <v>-117.3</v>
      </c>
      <c r="Y77" s="2"/>
      <c r="Z77" s="7">
        <f t="shared" si="35"/>
        <v>-0.52133333333333332</v>
      </c>
    </row>
    <row r="78" spans="1:26" s="28" customFormat="1" outlineLevel="1" collapsed="1" x14ac:dyDescent="0.25">
      <c r="A78" s="27"/>
      <c r="B78" s="14" t="str">
        <f>CONCATENATE("     ","Equipment Rental                                  ")</f>
        <v xml:space="preserve">     Equipment Rental                                  </v>
      </c>
      <c r="C78" s="14"/>
      <c r="D78" s="1">
        <f>SUM(OSRRefD22_5x_0)</f>
        <v>91.26</v>
      </c>
      <c r="E78" s="1"/>
      <c r="F78" s="5">
        <f t="shared" si="28"/>
        <v>4.8288080146148966E-4</v>
      </c>
      <c r="G78" s="1"/>
      <c r="H78" s="1">
        <f>SUM(OSRRefH22_5x_0)</f>
        <v>100</v>
      </c>
      <c r="I78" s="1"/>
      <c r="J78" s="5">
        <f t="shared" si="29"/>
        <v>1.464045244854247E-4</v>
      </c>
      <c r="K78" s="1"/>
      <c r="L78" s="1">
        <f t="shared" si="30"/>
        <v>-8.7399999999999949</v>
      </c>
      <c r="M78" s="1"/>
      <c r="N78" s="5">
        <f t="shared" si="31"/>
        <v>-8.739999999999995E-2</v>
      </c>
      <c r="O78" s="14"/>
      <c r="P78" s="1">
        <f>SUM(OSRRefP22_5x_0)</f>
        <v>273.77999999999997</v>
      </c>
      <c r="Q78" s="1"/>
      <c r="R78" s="5">
        <f t="shared" si="32"/>
        <v>2.6229378782005673E-4</v>
      </c>
      <c r="S78" s="1"/>
      <c r="T78" s="1">
        <f>SUM(OSRRefT22_5x_0)</f>
        <v>300</v>
      </c>
      <c r="U78" s="1"/>
      <c r="V78" s="5">
        <f t="shared" si="33"/>
        <v>1.7413179338914451E-4</v>
      </c>
      <c r="W78" s="1"/>
      <c r="X78" s="1">
        <f t="shared" si="34"/>
        <v>-26.220000000000027</v>
      </c>
      <c r="Y78" s="1"/>
      <c r="Z78" s="5">
        <f t="shared" si="35"/>
        <v>-8.7400000000000089E-2</v>
      </c>
    </row>
    <row r="79" spans="1:26" s="24" customFormat="1" hidden="1" outlineLevel="2" x14ac:dyDescent="0.25">
      <c r="A79" s="29"/>
      <c r="B79" s="11" t="str">
        <f>CONCATENATE("          ", "6351", " - ", "EQUIPMENT RENTAL")</f>
        <v xml:space="preserve">          6351 - EQUIPMENT RENTAL</v>
      </c>
      <c r="C79" s="11"/>
      <c r="D79" s="6">
        <v>91.26</v>
      </c>
      <c r="E79" s="2"/>
      <c r="F79" s="7">
        <f t="shared" si="28"/>
        <v>4.8288080146148966E-4</v>
      </c>
      <c r="G79" s="2"/>
      <c r="H79" s="6">
        <v>100</v>
      </c>
      <c r="I79" s="2"/>
      <c r="J79" s="7">
        <f t="shared" si="29"/>
        <v>1.464045244854247E-4</v>
      </c>
      <c r="K79" s="2"/>
      <c r="L79" s="6">
        <f t="shared" si="30"/>
        <v>-8.7399999999999949</v>
      </c>
      <c r="M79" s="2"/>
      <c r="N79" s="7">
        <f t="shared" si="31"/>
        <v>-8.739999999999995E-2</v>
      </c>
      <c r="O79" s="11"/>
      <c r="P79" s="6">
        <v>273.77999999999997</v>
      </c>
      <c r="Q79" s="2"/>
      <c r="R79" s="7">
        <f t="shared" si="32"/>
        <v>2.6229378782005673E-4</v>
      </c>
      <c r="S79" s="2"/>
      <c r="T79" s="6">
        <v>300</v>
      </c>
      <c r="U79" s="2"/>
      <c r="V79" s="7">
        <f t="shared" si="33"/>
        <v>1.7413179338914451E-4</v>
      </c>
      <c r="W79" s="2"/>
      <c r="X79" s="6">
        <f t="shared" si="34"/>
        <v>-26.220000000000027</v>
      </c>
      <c r="Y79" s="2"/>
      <c r="Z79" s="7">
        <f t="shared" si="35"/>
        <v>-8.7400000000000089E-2</v>
      </c>
    </row>
    <row r="80" spans="1:26" s="28" customFormat="1" outlineLevel="1" collapsed="1" x14ac:dyDescent="0.25">
      <c r="A80" s="27"/>
      <c r="B80" s="14" t="str">
        <f>CONCATENATE("     ","Freight out/Postage                               ")</f>
        <v xml:space="preserve">     Freight out/Postage                               </v>
      </c>
      <c r="C80" s="14"/>
      <c r="D80" s="1">
        <f>SUM(OSRRefD22_6x_0)</f>
        <v>35.35</v>
      </c>
      <c r="E80" s="1"/>
      <c r="F80" s="5">
        <f t="shared" si="28"/>
        <v>1.8704620131123888E-4</v>
      </c>
      <c r="G80" s="1"/>
      <c r="H80" s="1">
        <f>SUM(OSRRefH22_6x_0)</f>
        <v>2200</v>
      </c>
      <c r="I80" s="1"/>
      <c r="J80" s="5">
        <f t="shared" si="29"/>
        <v>3.2208995386793435E-3</v>
      </c>
      <c r="K80" s="1"/>
      <c r="L80" s="1">
        <f t="shared" si="30"/>
        <v>-2164.65</v>
      </c>
      <c r="M80" s="1"/>
      <c r="N80" s="5">
        <f t="shared" si="31"/>
        <v>-0.98393181818181819</v>
      </c>
      <c r="O80" s="14"/>
      <c r="P80" s="1">
        <f>SUM(OSRRefP22_6x_0)</f>
        <v>536.16</v>
      </c>
      <c r="Q80" s="1"/>
      <c r="R80" s="5">
        <f t="shared" si="32"/>
        <v>5.1366585315801598E-4</v>
      </c>
      <c r="S80" s="1"/>
      <c r="T80" s="1">
        <f>SUM(OSRRefT22_6x_0)</f>
        <v>3500</v>
      </c>
      <c r="U80" s="1"/>
      <c r="V80" s="5">
        <f t="shared" si="33"/>
        <v>2.0315375895400192E-3</v>
      </c>
      <c r="W80" s="1"/>
      <c r="X80" s="1">
        <f t="shared" si="34"/>
        <v>-2963.84</v>
      </c>
      <c r="Y80" s="1"/>
      <c r="Z80" s="5">
        <f t="shared" si="35"/>
        <v>-0.84681142857142866</v>
      </c>
    </row>
    <row r="81" spans="1:26" s="24" customFormat="1" hidden="1" outlineLevel="2" x14ac:dyDescent="0.25">
      <c r="A81" s="29"/>
      <c r="B81" s="11" t="str">
        <f>CONCATENATE("          ", "6305", " - ", "FREIGHT OUT")</f>
        <v xml:space="preserve">          6305 - FREIGHT OUT</v>
      </c>
      <c r="C81" s="11"/>
      <c r="D81" s="6">
        <v>35.35</v>
      </c>
      <c r="E81" s="2"/>
      <c r="F81" s="7">
        <f t="shared" si="28"/>
        <v>1.8704620131123888E-4</v>
      </c>
      <c r="G81" s="2"/>
      <c r="H81" s="6">
        <v>2200</v>
      </c>
      <c r="I81" s="2"/>
      <c r="J81" s="7">
        <f t="shared" si="29"/>
        <v>3.2208995386793435E-3</v>
      </c>
      <c r="K81" s="2"/>
      <c r="L81" s="6">
        <f t="shared" si="30"/>
        <v>-2164.65</v>
      </c>
      <c r="M81" s="2"/>
      <c r="N81" s="7">
        <f t="shared" si="31"/>
        <v>-0.98393181818181819</v>
      </c>
      <c r="O81" s="11"/>
      <c r="P81" s="6">
        <v>536.16</v>
      </c>
      <c r="Q81" s="2"/>
      <c r="R81" s="7">
        <f t="shared" si="32"/>
        <v>5.1366585315801598E-4</v>
      </c>
      <c r="S81" s="2"/>
      <c r="T81" s="6">
        <v>3500</v>
      </c>
      <c r="U81" s="2"/>
      <c r="V81" s="7">
        <f t="shared" si="33"/>
        <v>2.0315375895400192E-3</v>
      </c>
      <c r="W81" s="2"/>
      <c r="X81" s="6">
        <f t="shared" si="34"/>
        <v>-2963.84</v>
      </c>
      <c r="Y81" s="2"/>
      <c r="Z81" s="7">
        <f t="shared" si="35"/>
        <v>-0.84681142857142866</v>
      </c>
    </row>
    <row r="82" spans="1:26" s="28" customFormat="1" outlineLevel="1" collapsed="1" x14ac:dyDescent="0.25">
      <c r="A82" s="27"/>
      <c r="B82" s="14" t="str">
        <f>CONCATENATE("     ","General                                           ")</f>
        <v xml:space="preserve">     General                                           </v>
      </c>
      <c r="C82" s="14"/>
      <c r="D82" s="1">
        <f>SUM(OSRRefD22_7x_0)</f>
        <v>0</v>
      </c>
      <c r="E82" s="1"/>
      <c r="F82" s="5">
        <f t="shared" si="28"/>
        <v>0</v>
      </c>
      <c r="G82" s="1"/>
      <c r="H82" s="1">
        <f>SUM(OSRRefH22_7x_0)</f>
        <v>0</v>
      </c>
      <c r="I82" s="1"/>
      <c r="J82" s="5">
        <f t="shared" si="29"/>
        <v>0</v>
      </c>
      <c r="K82" s="1"/>
      <c r="L82" s="1">
        <f t="shared" si="30"/>
        <v>0</v>
      </c>
      <c r="M82" s="1"/>
      <c r="N82" s="5">
        <f t="shared" si="31"/>
        <v>0</v>
      </c>
      <c r="O82" s="14"/>
      <c r="P82" s="1">
        <f>SUM(OSRRefP22_7x_0)</f>
        <v>-4794.1899999999996</v>
      </c>
      <c r="Q82" s="1"/>
      <c r="R82" s="5">
        <f t="shared" si="32"/>
        <v>-4.5930537461795519E-3</v>
      </c>
      <c r="S82" s="1"/>
      <c r="T82" s="1">
        <f>SUM(OSRRefT22_7x_0)</f>
        <v>125</v>
      </c>
      <c r="U82" s="1"/>
      <c r="V82" s="5">
        <f t="shared" si="33"/>
        <v>7.2554913912143551E-5</v>
      </c>
      <c r="W82" s="1"/>
      <c r="X82" s="1">
        <f t="shared" si="34"/>
        <v>-4919.1899999999996</v>
      </c>
      <c r="Y82" s="1"/>
      <c r="Z82" s="5">
        <f t="shared" si="35"/>
        <v>-39.353519999999996</v>
      </c>
    </row>
    <row r="83" spans="1:26" s="24" customFormat="1" hidden="1" outlineLevel="2" x14ac:dyDescent="0.25">
      <c r="A83" s="29"/>
      <c r="B83" s="11" t="str">
        <f>CONCATENATE("          ", "6269", " - ", "ENTERTAINMENT")</f>
        <v xml:space="preserve">          6269 - ENTERTAINMENT</v>
      </c>
      <c r="C83" s="11"/>
      <c r="D83" s="6"/>
      <c r="E83" s="2"/>
      <c r="F83" s="7">
        <f t="shared" si="28"/>
        <v>0</v>
      </c>
      <c r="G83" s="2"/>
      <c r="H83" s="6">
        <v>0</v>
      </c>
      <c r="I83" s="2"/>
      <c r="J83" s="7">
        <f t="shared" si="29"/>
        <v>0</v>
      </c>
      <c r="K83" s="2"/>
      <c r="L83" s="6">
        <f t="shared" si="30"/>
        <v>0</v>
      </c>
      <c r="M83" s="2"/>
      <c r="N83" s="7">
        <f t="shared" si="31"/>
        <v>0</v>
      </c>
      <c r="O83" s="11"/>
      <c r="P83" s="6"/>
      <c r="Q83" s="2"/>
      <c r="R83" s="7">
        <f t="shared" si="32"/>
        <v>0</v>
      </c>
      <c r="S83" s="2"/>
      <c r="T83" s="6">
        <v>125</v>
      </c>
      <c r="U83" s="2"/>
      <c r="V83" s="7">
        <f t="shared" si="33"/>
        <v>7.2554913912143551E-5</v>
      </c>
      <c r="W83" s="2"/>
      <c r="X83" s="6">
        <f t="shared" si="34"/>
        <v>-125</v>
      </c>
      <c r="Y83" s="2"/>
      <c r="Z83" s="7">
        <f t="shared" si="35"/>
        <v>-1</v>
      </c>
    </row>
    <row r="84" spans="1:26" s="24" customFormat="1" hidden="1" outlineLevel="2" x14ac:dyDescent="0.25">
      <c r="A84" s="29"/>
      <c r="B84" s="11" t="str">
        <f>CONCATENATE("          ", "6279", " - ", "GENERAL EXPENSE")</f>
        <v xml:space="preserve">          6279 - GENERAL EXPENSE</v>
      </c>
      <c r="C84" s="11"/>
      <c r="D84" s="6"/>
      <c r="E84" s="2"/>
      <c r="F84" s="7">
        <f t="shared" si="28"/>
        <v>0</v>
      </c>
      <c r="G84" s="2"/>
      <c r="H84" s="6"/>
      <c r="I84" s="2"/>
      <c r="J84" s="7">
        <f t="shared" si="29"/>
        <v>0</v>
      </c>
      <c r="K84" s="2"/>
      <c r="L84" s="6">
        <f t="shared" si="30"/>
        <v>0</v>
      </c>
      <c r="M84" s="2"/>
      <c r="N84" s="7">
        <f t="shared" si="31"/>
        <v>0</v>
      </c>
      <c r="O84" s="11"/>
      <c r="P84" s="6">
        <v>-4794.1899999999996</v>
      </c>
      <c r="Q84" s="2"/>
      <c r="R84" s="7">
        <f t="shared" si="32"/>
        <v>-4.5930537461795519E-3</v>
      </c>
      <c r="S84" s="2"/>
      <c r="T84" s="6"/>
      <c r="U84" s="2"/>
      <c r="V84" s="7">
        <f t="shared" si="33"/>
        <v>0</v>
      </c>
      <c r="W84" s="2"/>
      <c r="X84" s="6">
        <f t="shared" si="34"/>
        <v>-4794.1899999999996</v>
      </c>
      <c r="Y84" s="2"/>
      <c r="Z84" s="7">
        <f t="shared" si="35"/>
        <v>0</v>
      </c>
    </row>
    <row r="85" spans="1:26" s="28" customFormat="1" outlineLevel="1" collapsed="1" x14ac:dyDescent="0.25">
      <c r="A85" s="27"/>
      <c r="B85" s="14" t="str">
        <f>CONCATENATE("     ","Inventory Adjustment                              ")</f>
        <v xml:space="preserve">     Inventory Adjustment                              </v>
      </c>
      <c r="C85" s="14"/>
      <c r="D85" s="1">
        <f>SUM(OSRRefD22_8x_0)</f>
        <v>1000</v>
      </c>
      <c r="E85" s="1"/>
      <c r="F85" s="5">
        <f t="shared" ref="F85:F89" si="36">IF(D$12=0,0,D85/D$12)</f>
        <v>5.2912645349713966E-3</v>
      </c>
      <c r="G85" s="1"/>
      <c r="H85" s="1">
        <f>SUM(OSRRefH22_8x_0)</f>
        <v>1000</v>
      </c>
      <c r="I85" s="1"/>
      <c r="J85" s="5">
        <f t="shared" ref="J85:J89" si="37">IF(H$12=0,0,H85/H$12)</f>
        <v>1.4640452448542469E-3</v>
      </c>
      <c r="K85" s="1"/>
      <c r="L85" s="1">
        <f t="shared" ref="L85:L89" si="38">+D85-H85</f>
        <v>0</v>
      </c>
      <c r="M85" s="1"/>
      <c r="N85" s="5">
        <f t="shared" ref="N85:N89" si="39">IF(H85=0,0,L85/H85)</f>
        <v>0</v>
      </c>
      <c r="O85" s="14"/>
      <c r="P85" s="1">
        <f>SUM(OSRRefP22_8x_0)</f>
        <v>3000</v>
      </c>
      <c r="Q85" s="1"/>
      <c r="R85" s="5">
        <f t="shared" ref="R85:R89" si="40">IF(P$12=0,0,P85/P$12)</f>
        <v>2.8741374952888097E-3</v>
      </c>
      <c r="S85" s="1"/>
      <c r="T85" s="1">
        <f>SUM(OSRRefT22_8x_0)</f>
        <v>3000</v>
      </c>
      <c r="U85" s="1"/>
      <c r="V85" s="5">
        <f t="shared" ref="V85:V89" si="41">IF(T$12=0,0,T85/T$12)</f>
        <v>1.7413179338914451E-3</v>
      </c>
      <c r="W85" s="1"/>
      <c r="X85" s="1">
        <f t="shared" ref="X85:X89" si="42">+P85-T85</f>
        <v>0</v>
      </c>
      <c r="Y85" s="1"/>
      <c r="Z85" s="5">
        <f t="shared" ref="Z85:Z89" si="43">IF(T85=0,0,X85/T85)</f>
        <v>0</v>
      </c>
    </row>
    <row r="86" spans="1:26" s="24" customFormat="1" hidden="1" outlineLevel="2" x14ac:dyDescent="0.25">
      <c r="A86" s="29"/>
      <c r="B86" s="11" t="str">
        <f>CONCATENATE("          ", "6408", " - ", "INVENTORY ADJUSTMENT")</f>
        <v xml:space="preserve">          6408 - INVENTORY ADJUSTMENT</v>
      </c>
      <c r="C86" s="11"/>
      <c r="D86" s="6">
        <v>1000</v>
      </c>
      <c r="E86" s="2"/>
      <c r="F86" s="7">
        <f t="shared" si="36"/>
        <v>5.2912645349713966E-3</v>
      </c>
      <c r="G86" s="2"/>
      <c r="H86" s="6">
        <v>1000</v>
      </c>
      <c r="I86" s="2"/>
      <c r="J86" s="7">
        <f t="shared" si="37"/>
        <v>1.4640452448542469E-3</v>
      </c>
      <c r="K86" s="2"/>
      <c r="L86" s="6">
        <f t="shared" si="38"/>
        <v>0</v>
      </c>
      <c r="M86" s="2"/>
      <c r="N86" s="7">
        <f t="shared" si="39"/>
        <v>0</v>
      </c>
      <c r="O86" s="11"/>
      <c r="P86" s="6">
        <v>3000</v>
      </c>
      <c r="Q86" s="2"/>
      <c r="R86" s="7">
        <f t="shared" si="40"/>
        <v>2.8741374952888097E-3</v>
      </c>
      <c r="S86" s="2"/>
      <c r="T86" s="6">
        <v>3000</v>
      </c>
      <c r="U86" s="2"/>
      <c r="V86" s="7">
        <f t="shared" si="41"/>
        <v>1.7413179338914451E-3</v>
      </c>
      <c r="W86" s="2"/>
      <c r="X86" s="6">
        <f t="shared" si="42"/>
        <v>0</v>
      </c>
      <c r="Y86" s="2"/>
      <c r="Z86" s="7">
        <f t="shared" si="43"/>
        <v>0</v>
      </c>
    </row>
    <row r="87" spans="1:26" s="28" customFormat="1" outlineLevel="1" collapsed="1" x14ac:dyDescent="0.25">
      <c r="A87" s="27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SUM(OSRRefD22_9x_0)</f>
        <v>68.94</v>
      </c>
      <c r="E87" s="1"/>
      <c r="F87" s="5">
        <f t="shared" si="36"/>
        <v>3.6477977704092805E-4</v>
      </c>
      <c r="G87" s="1"/>
      <c r="H87" s="1">
        <f>SUM(OSRRefH22_9x_0)</f>
        <v>140</v>
      </c>
      <c r="I87" s="1"/>
      <c r="J87" s="5">
        <f t="shared" si="37"/>
        <v>2.0496633427959457E-4</v>
      </c>
      <c r="K87" s="1"/>
      <c r="L87" s="1">
        <f t="shared" si="38"/>
        <v>-71.06</v>
      </c>
      <c r="M87" s="1"/>
      <c r="N87" s="5">
        <f t="shared" si="39"/>
        <v>-0.50757142857142856</v>
      </c>
      <c r="O87" s="14"/>
      <c r="P87" s="1">
        <f>SUM(OSRRefP22_9x_0)</f>
        <v>91.8</v>
      </c>
      <c r="Q87" s="1"/>
      <c r="R87" s="5">
        <f t="shared" si="40"/>
        <v>8.7948607355837571E-5</v>
      </c>
      <c r="S87" s="1"/>
      <c r="T87" s="1">
        <f>SUM(OSRRefT22_9x_0)</f>
        <v>420</v>
      </c>
      <c r="U87" s="1"/>
      <c r="V87" s="5">
        <f t="shared" si="41"/>
        <v>2.4378451074480231E-4</v>
      </c>
      <c r="W87" s="1"/>
      <c r="X87" s="1">
        <f t="shared" si="42"/>
        <v>-328.2</v>
      </c>
      <c r="Y87" s="1"/>
      <c r="Z87" s="5">
        <f t="shared" si="43"/>
        <v>-0.78142857142857136</v>
      </c>
    </row>
    <row r="88" spans="1:26" s="24" customFormat="1" hidden="1" outlineLevel="2" x14ac:dyDescent="0.25">
      <c r="A88" s="29"/>
      <c r="B88" s="11" t="str">
        <f>CONCATENATE("          ", "6373", " - ", "MAINTENANCE CONTRACTS")</f>
        <v xml:space="preserve">          6373 - MAINTENANCE CONTRACTS</v>
      </c>
      <c r="C88" s="11"/>
      <c r="D88" s="6">
        <v>43.83</v>
      </c>
      <c r="E88" s="2"/>
      <c r="F88" s="7">
        <f t="shared" si="36"/>
        <v>2.319161245677963E-4</v>
      </c>
      <c r="G88" s="2"/>
      <c r="H88" s="6">
        <v>40</v>
      </c>
      <c r="I88" s="2"/>
      <c r="J88" s="7">
        <f t="shared" si="37"/>
        <v>5.8561809794169882E-5</v>
      </c>
      <c r="K88" s="2"/>
      <c r="L88" s="6">
        <f t="shared" si="38"/>
        <v>3.8299999999999983</v>
      </c>
      <c r="M88" s="2"/>
      <c r="N88" s="7">
        <f t="shared" si="39"/>
        <v>9.574999999999996E-2</v>
      </c>
      <c r="O88" s="11"/>
      <c r="P88" s="6">
        <v>66.69</v>
      </c>
      <c r="Q88" s="2"/>
      <c r="R88" s="7">
        <f t="shared" si="40"/>
        <v>6.3892076520270241E-5</v>
      </c>
      <c r="S88" s="2"/>
      <c r="T88" s="6">
        <v>120</v>
      </c>
      <c r="U88" s="2"/>
      <c r="V88" s="7">
        <f t="shared" si="41"/>
        <v>6.9652717355657803E-5</v>
      </c>
      <c r="W88" s="2"/>
      <c r="X88" s="6">
        <f t="shared" si="42"/>
        <v>-53.31</v>
      </c>
      <c r="Y88" s="2"/>
      <c r="Z88" s="7">
        <f t="shared" si="43"/>
        <v>-0.44425000000000003</v>
      </c>
    </row>
    <row r="89" spans="1:26" s="24" customFormat="1" hidden="1" outlineLevel="2" x14ac:dyDescent="0.25">
      <c r="A89" s="29"/>
      <c r="B89" s="11" t="str">
        <f>CONCATENATE("          ", "6375", " - ", "OUTSIDE REPAIRS &amp; MAINTENANCE")</f>
        <v xml:space="preserve">          6375 - OUTSIDE REPAIRS &amp; MAINTENANCE</v>
      </c>
      <c r="C89" s="11"/>
      <c r="D89" s="6">
        <v>25.11</v>
      </c>
      <c r="E89" s="2"/>
      <c r="F89" s="7">
        <f t="shared" si="36"/>
        <v>1.3286365247313175E-4</v>
      </c>
      <c r="G89" s="2"/>
      <c r="H89" s="6">
        <v>100</v>
      </c>
      <c r="I89" s="2"/>
      <c r="J89" s="7">
        <f t="shared" si="37"/>
        <v>1.464045244854247E-4</v>
      </c>
      <c r="K89" s="2"/>
      <c r="L89" s="6">
        <f t="shared" si="38"/>
        <v>-74.89</v>
      </c>
      <c r="M89" s="2"/>
      <c r="N89" s="7">
        <f t="shared" si="39"/>
        <v>-0.74890000000000001</v>
      </c>
      <c r="O89" s="11"/>
      <c r="P89" s="6">
        <v>25.11</v>
      </c>
      <c r="Q89" s="2"/>
      <c r="R89" s="7">
        <f t="shared" si="40"/>
        <v>2.4056530835567334E-5</v>
      </c>
      <c r="S89" s="2"/>
      <c r="T89" s="6">
        <v>300</v>
      </c>
      <c r="U89" s="2"/>
      <c r="V89" s="7">
        <f t="shared" si="41"/>
        <v>1.7413179338914451E-4</v>
      </c>
      <c r="W89" s="2"/>
      <c r="X89" s="6">
        <f t="shared" si="42"/>
        <v>-274.89</v>
      </c>
      <c r="Y89" s="2"/>
      <c r="Z89" s="7">
        <f t="shared" si="43"/>
        <v>-0.9163</v>
      </c>
    </row>
    <row r="90" spans="1:26" s="28" customFormat="1" outlineLevel="1" collapsed="1" x14ac:dyDescent="0.25">
      <c r="A90" s="27"/>
      <c r="B90" s="14" t="str">
        <f>CONCATENATE("     ","Subscriptions &amp; Dues                              ")</f>
        <v xml:space="preserve">     Subscriptions &amp; Dues                              </v>
      </c>
      <c r="C90" s="14"/>
      <c r="D90" s="1">
        <f>SUM(OSRRefD22_10x_0)</f>
        <v>73.040000000000006</v>
      </c>
      <c r="E90" s="1"/>
      <c r="F90" s="5">
        <f t="shared" ref="F90:F95" si="44">IF(D$12=0,0,D90/D$12)</f>
        <v>3.8647396163431083E-4</v>
      </c>
      <c r="G90" s="1"/>
      <c r="H90" s="1">
        <f>SUM(OSRRefH22_10x_0)</f>
        <v>300</v>
      </c>
      <c r="I90" s="1"/>
      <c r="J90" s="5">
        <f t="shared" ref="J90:J95" si="45">IF(H$12=0,0,H90/H$12)</f>
        <v>4.392135734562741E-4</v>
      </c>
      <c r="K90" s="1"/>
      <c r="L90" s="1">
        <f t="shared" ref="L90:L95" si="46">+D90-H90</f>
        <v>-226.95999999999998</v>
      </c>
      <c r="M90" s="1"/>
      <c r="N90" s="5">
        <f t="shared" ref="N90:N95" si="47">IF(H90=0,0,L90/H90)</f>
        <v>-0.75653333333333328</v>
      </c>
      <c r="O90" s="14"/>
      <c r="P90" s="1">
        <f>SUM(OSRRefP22_10x_0)</f>
        <v>633.04</v>
      </c>
      <c r="Q90" s="1"/>
      <c r="R90" s="5">
        <f t="shared" ref="R90:R95" si="48">IF(P$12=0,0,P90/P$12)</f>
        <v>6.0648133333920929E-4</v>
      </c>
      <c r="S90" s="1"/>
      <c r="T90" s="1">
        <f>SUM(OSRRefT22_10x_0)</f>
        <v>900</v>
      </c>
      <c r="U90" s="1"/>
      <c r="V90" s="5">
        <f t="shared" ref="V90:V95" si="49">IF(T$12=0,0,T90/T$12)</f>
        <v>5.2239538016743349E-4</v>
      </c>
      <c r="W90" s="1"/>
      <c r="X90" s="1">
        <f t="shared" ref="X90:X95" si="50">+P90-T90</f>
        <v>-266.96000000000004</v>
      </c>
      <c r="Y90" s="1"/>
      <c r="Z90" s="5">
        <f t="shared" ref="Z90:Z95" si="51">IF(T90=0,0,X90/T90)</f>
        <v>-0.29662222222222229</v>
      </c>
    </row>
    <row r="91" spans="1:26" s="24" customFormat="1" hidden="1" outlineLevel="2" x14ac:dyDescent="0.25">
      <c r="A91" s="29"/>
      <c r="B91" s="11" t="str">
        <f>CONCATENATE("          ", "6258", " - ", "MEMBERSHIP DUES")</f>
        <v xml:space="preserve">          6258 - MEMBERSHIP DUES</v>
      </c>
      <c r="C91" s="11"/>
      <c r="D91" s="6">
        <v>73.040000000000006</v>
      </c>
      <c r="E91" s="2"/>
      <c r="F91" s="7">
        <f t="shared" si="44"/>
        <v>3.8647396163431083E-4</v>
      </c>
      <c r="G91" s="2"/>
      <c r="H91" s="6">
        <v>300</v>
      </c>
      <c r="I91" s="2"/>
      <c r="J91" s="7">
        <f t="shared" si="45"/>
        <v>4.392135734562741E-4</v>
      </c>
      <c r="K91" s="2"/>
      <c r="L91" s="6">
        <f t="shared" si="46"/>
        <v>-226.95999999999998</v>
      </c>
      <c r="M91" s="2"/>
      <c r="N91" s="7">
        <f t="shared" si="47"/>
        <v>-0.75653333333333328</v>
      </c>
      <c r="O91" s="11"/>
      <c r="P91" s="6">
        <v>633.04</v>
      </c>
      <c r="Q91" s="2"/>
      <c r="R91" s="7">
        <f t="shared" si="48"/>
        <v>6.0648133333920929E-4</v>
      </c>
      <c r="S91" s="2"/>
      <c r="T91" s="6">
        <v>900</v>
      </c>
      <c r="U91" s="2"/>
      <c r="V91" s="7">
        <f t="shared" si="49"/>
        <v>5.2239538016743349E-4</v>
      </c>
      <c r="W91" s="2"/>
      <c r="X91" s="6">
        <f t="shared" si="50"/>
        <v>-266.96000000000004</v>
      </c>
      <c r="Y91" s="2"/>
      <c r="Z91" s="7">
        <f t="shared" si="51"/>
        <v>-0.29662222222222229</v>
      </c>
    </row>
    <row r="92" spans="1:26" s="28" customFormat="1" outlineLevel="1" collapsed="1" x14ac:dyDescent="0.25">
      <c r="A92" s="27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SUM(OSRRefD22_11x_0)</f>
        <v>98.81</v>
      </c>
      <c r="E92" s="1"/>
      <c r="F92" s="5">
        <f t="shared" si="44"/>
        <v>5.2282984870052364E-4</v>
      </c>
      <c r="G92" s="1"/>
      <c r="H92" s="1">
        <f>SUM(OSRRefH22_11x_0)</f>
        <v>1400</v>
      </c>
      <c r="I92" s="1"/>
      <c r="J92" s="5">
        <f t="shared" si="45"/>
        <v>2.0496633427959459E-3</v>
      </c>
      <c r="K92" s="1"/>
      <c r="L92" s="1">
        <f t="shared" si="46"/>
        <v>-1301.19</v>
      </c>
      <c r="M92" s="1"/>
      <c r="N92" s="5">
        <f t="shared" si="47"/>
        <v>-0.92942142857142862</v>
      </c>
      <c r="O92" s="14"/>
      <c r="P92" s="1">
        <f>SUM(OSRRefP22_11x_0)</f>
        <v>1088.97</v>
      </c>
      <c r="Q92" s="1"/>
      <c r="R92" s="5">
        <f t="shared" si="48"/>
        <v>1.043283169414885E-3</v>
      </c>
      <c r="S92" s="1"/>
      <c r="T92" s="1">
        <f>SUM(OSRRefT22_11x_0)</f>
        <v>4000</v>
      </c>
      <c r="U92" s="1"/>
      <c r="V92" s="5">
        <f t="shared" si="49"/>
        <v>2.3217572451885936E-3</v>
      </c>
      <c r="W92" s="1"/>
      <c r="X92" s="1">
        <f t="shared" si="50"/>
        <v>-2911.0299999999997</v>
      </c>
      <c r="Y92" s="1"/>
      <c r="Z92" s="5">
        <f t="shared" si="51"/>
        <v>-0.72775749999999995</v>
      </c>
    </row>
    <row r="93" spans="1:26" s="24" customFormat="1" hidden="1" outlineLevel="2" x14ac:dyDescent="0.25">
      <c r="A93" s="29"/>
      <c r="B93" s="11" t="str">
        <f>CONCATENATE("          ", "6241", " - ", "OFFICE EXPENSE")</f>
        <v xml:space="preserve">          6241 - OFFICE EXPENSE</v>
      </c>
      <c r="C93" s="11"/>
      <c r="D93" s="6">
        <v>98.81</v>
      </c>
      <c r="E93" s="2"/>
      <c r="F93" s="7">
        <f t="shared" si="44"/>
        <v>5.2282984870052364E-4</v>
      </c>
      <c r="G93" s="2"/>
      <c r="H93" s="6">
        <v>300</v>
      </c>
      <c r="I93" s="2"/>
      <c r="J93" s="7">
        <f t="shared" si="45"/>
        <v>4.392135734562741E-4</v>
      </c>
      <c r="K93" s="2"/>
      <c r="L93" s="6">
        <f t="shared" si="46"/>
        <v>-201.19</v>
      </c>
      <c r="M93" s="2"/>
      <c r="N93" s="7">
        <f t="shared" si="47"/>
        <v>-0.6706333333333333</v>
      </c>
      <c r="O93" s="11"/>
      <c r="P93" s="6">
        <v>455.87</v>
      </c>
      <c r="Q93" s="2"/>
      <c r="R93" s="7">
        <f t="shared" si="48"/>
        <v>4.3674435332576988E-4</v>
      </c>
      <c r="S93" s="2"/>
      <c r="T93" s="6">
        <v>1200</v>
      </c>
      <c r="U93" s="2"/>
      <c r="V93" s="7">
        <f t="shared" si="49"/>
        <v>6.9652717355657803E-4</v>
      </c>
      <c r="W93" s="2"/>
      <c r="X93" s="6">
        <f t="shared" si="50"/>
        <v>-744.13</v>
      </c>
      <c r="Y93" s="2"/>
      <c r="Z93" s="7">
        <f t="shared" si="51"/>
        <v>-0.62010833333333337</v>
      </c>
    </row>
    <row r="94" spans="1:26" s="24" customFormat="1" hidden="1" outlineLevel="2" x14ac:dyDescent="0.25">
      <c r="A94" s="29"/>
      <c r="B94" s="11" t="str">
        <f>CONCATENATE("          ", "6245", " - ", "PRINTING")</f>
        <v xml:space="preserve">          6245 - PRINTING</v>
      </c>
      <c r="C94" s="11"/>
      <c r="D94" s="6"/>
      <c r="E94" s="2"/>
      <c r="F94" s="7">
        <f t="shared" si="44"/>
        <v>0</v>
      </c>
      <c r="G94" s="2"/>
      <c r="H94" s="6">
        <v>100</v>
      </c>
      <c r="I94" s="2"/>
      <c r="J94" s="7">
        <f t="shared" si="45"/>
        <v>1.464045244854247E-4</v>
      </c>
      <c r="K94" s="2"/>
      <c r="L94" s="6">
        <f t="shared" si="46"/>
        <v>-100</v>
      </c>
      <c r="M94" s="2"/>
      <c r="N94" s="7">
        <f t="shared" si="47"/>
        <v>-1</v>
      </c>
      <c r="O94" s="11"/>
      <c r="P94" s="6"/>
      <c r="Q94" s="2"/>
      <c r="R94" s="7">
        <f t="shared" si="48"/>
        <v>0</v>
      </c>
      <c r="S94" s="2"/>
      <c r="T94" s="6">
        <v>600</v>
      </c>
      <c r="U94" s="2"/>
      <c r="V94" s="7">
        <f t="shared" si="49"/>
        <v>3.4826358677828901E-4</v>
      </c>
      <c r="W94" s="2"/>
      <c r="X94" s="6">
        <f t="shared" si="50"/>
        <v>-600</v>
      </c>
      <c r="Y94" s="2"/>
      <c r="Z94" s="7">
        <f t="shared" si="51"/>
        <v>-1</v>
      </c>
    </row>
    <row r="95" spans="1:26" s="24" customFormat="1" hidden="1" outlineLevel="2" x14ac:dyDescent="0.25">
      <c r="A95" s="29"/>
      <c r="B95" s="11" t="str">
        <f>CONCATENATE("          ", "6247", " - ", "STORE SUPPLIES")</f>
        <v xml:space="preserve">          6247 - STORE SUPPLIES</v>
      </c>
      <c r="C95" s="11"/>
      <c r="D95" s="6"/>
      <c r="E95" s="2"/>
      <c r="F95" s="7">
        <f t="shared" si="44"/>
        <v>0</v>
      </c>
      <c r="G95" s="2"/>
      <c r="H95" s="6">
        <v>1000</v>
      </c>
      <c r="I95" s="2"/>
      <c r="J95" s="7">
        <f t="shared" si="45"/>
        <v>1.4640452448542469E-3</v>
      </c>
      <c r="K95" s="2"/>
      <c r="L95" s="6">
        <f t="shared" si="46"/>
        <v>-1000</v>
      </c>
      <c r="M95" s="2"/>
      <c r="N95" s="7">
        <f t="shared" si="47"/>
        <v>-1</v>
      </c>
      <c r="O95" s="11"/>
      <c r="P95" s="6">
        <v>633.1</v>
      </c>
      <c r="Q95" s="2"/>
      <c r="R95" s="7">
        <f t="shared" si="48"/>
        <v>6.0653881608911512E-4</v>
      </c>
      <c r="S95" s="2"/>
      <c r="T95" s="6">
        <v>2200</v>
      </c>
      <c r="U95" s="2"/>
      <c r="V95" s="7">
        <f t="shared" si="49"/>
        <v>1.2769664848537264E-3</v>
      </c>
      <c r="W95" s="2"/>
      <c r="X95" s="6">
        <f t="shared" si="50"/>
        <v>-1566.9</v>
      </c>
      <c r="Y95" s="2"/>
      <c r="Z95" s="7">
        <f t="shared" si="51"/>
        <v>-0.71222727272727282</v>
      </c>
    </row>
    <row r="96" spans="1:26" s="28" customFormat="1" outlineLevel="1" collapsed="1" x14ac:dyDescent="0.25">
      <c r="A96" s="27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SUM(OSRRefD22_12x_0)</f>
        <v>2635</v>
      </c>
      <c r="E96" s="1"/>
      <c r="F96" s="5">
        <f t="shared" ref="F96:F98" si="52">IF(D$12=0,0,D96/D$12)</f>
        <v>1.3942482049649629E-2</v>
      </c>
      <c r="G96" s="1"/>
      <c r="H96" s="1">
        <f>SUM(OSRRefH22_12x_0)</f>
        <v>1700</v>
      </c>
      <c r="I96" s="1"/>
      <c r="J96" s="5">
        <f t="shared" ref="J96:J98" si="53">IF(H$12=0,0,H96/H$12)</f>
        <v>2.48887691625222E-3</v>
      </c>
      <c r="K96" s="1"/>
      <c r="L96" s="1">
        <f t="shared" ref="L96:L98" si="54">+D96-H96</f>
        <v>935</v>
      </c>
      <c r="M96" s="1"/>
      <c r="N96" s="5">
        <f t="shared" ref="N96:N98" si="55">IF(H96=0,0,L96/H96)</f>
        <v>0.55000000000000004</v>
      </c>
      <c r="O96" s="14"/>
      <c r="P96" s="1">
        <f>SUM(OSRRefP22_12x_0)</f>
        <v>3868.3</v>
      </c>
      <c r="Q96" s="1"/>
      <c r="R96" s="5">
        <f t="shared" ref="R96:R98" si="56">IF(P$12=0,0,P96/P$12)</f>
        <v>3.7060086910085674E-3</v>
      </c>
      <c r="S96" s="1"/>
      <c r="T96" s="1">
        <f>SUM(OSRRefT22_12x_0)</f>
        <v>3300</v>
      </c>
      <c r="U96" s="1"/>
      <c r="V96" s="5">
        <f t="shared" ref="V96:V98" si="57">IF(T$12=0,0,T96/T$12)</f>
        <v>1.9154497272805895E-3</v>
      </c>
      <c r="W96" s="1"/>
      <c r="X96" s="1">
        <f t="shared" ref="X96:X98" si="58">+P96-T96</f>
        <v>568.30000000000018</v>
      </c>
      <c r="Y96" s="1"/>
      <c r="Z96" s="5">
        <f t="shared" ref="Z96:Z98" si="59">IF(T96=0,0,X96/T96)</f>
        <v>0.17221212121212126</v>
      </c>
    </row>
    <row r="97" spans="1:26" s="24" customFormat="1" hidden="1" outlineLevel="2" x14ac:dyDescent="0.25">
      <c r="A97" s="29"/>
      <c r="B97" s="11" t="str">
        <f>CONCATENATE("          ", "6303", " - ", "DATA PHONE LINES")</f>
        <v xml:space="preserve">          6303 - DATA PHONE LINES</v>
      </c>
      <c r="C97" s="11"/>
      <c r="D97" s="6">
        <v>885</v>
      </c>
      <c r="E97" s="2"/>
      <c r="F97" s="7">
        <f t="shared" si="52"/>
        <v>4.6827691134496852E-3</v>
      </c>
      <c r="G97" s="2"/>
      <c r="H97" s="6">
        <v>300</v>
      </c>
      <c r="I97" s="2"/>
      <c r="J97" s="7">
        <f t="shared" si="53"/>
        <v>4.392135734562741E-4</v>
      </c>
      <c r="K97" s="2"/>
      <c r="L97" s="6">
        <f t="shared" si="54"/>
        <v>585</v>
      </c>
      <c r="M97" s="2"/>
      <c r="N97" s="7">
        <f t="shared" si="55"/>
        <v>1.95</v>
      </c>
      <c r="O97" s="11"/>
      <c r="P97" s="6">
        <v>1180</v>
      </c>
      <c r="Q97" s="2"/>
      <c r="R97" s="7">
        <f t="shared" si="56"/>
        <v>1.1304940814802651E-3</v>
      </c>
      <c r="S97" s="2"/>
      <c r="T97" s="6">
        <v>900</v>
      </c>
      <c r="U97" s="2"/>
      <c r="V97" s="7">
        <f t="shared" si="57"/>
        <v>5.2239538016743349E-4</v>
      </c>
      <c r="W97" s="2"/>
      <c r="X97" s="6">
        <f t="shared" si="58"/>
        <v>280</v>
      </c>
      <c r="Y97" s="2"/>
      <c r="Z97" s="7">
        <f t="shared" si="59"/>
        <v>0.31111111111111112</v>
      </c>
    </row>
    <row r="98" spans="1:26" s="24" customFormat="1" hidden="1" outlineLevel="2" x14ac:dyDescent="0.25">
      <c r="A98" s="29"/>
      <c r="B98" s="11" t="str">
        <f>CONCATENATE("          ", "6309", " - ", "TELEPHONE")</f>
        <v xml:space="preserve">          6309 - TELEPHONE</v>
      </c>
      <c r="C98" s="11"/>
      <c r="D98" s="6">
        <v>1750</v>
      </c>
      <c r="E98" s="2"/>
      <c r="F98" s="7">
        <f t="shared" si="52"/>
        <v>9.2597129361999438E-3</v>
      </c>
      <c r="G98" s="2"/>
      <c r="H98" s="6">
        <v>1400</v>
      </c>
      <c r="I98" s="2"/>
      <c r="J98" s="7">
        <f t="shared" si="53"/>
        <v>2.0496633427959459E-3</v>
      </c>
      <c r="K98" s="2"/>
      <c r="L98" s="6">
        <f t="shared" si="54"/>
        <v>350</v>
      </c>
      <c r="M98" s="2"/>
      <c r="N98" s="7">
        <f t="shared" si="55"/>
        <v>0.25</v>
      </c>
      <c r="O98" s="11"/>
      <c r="P98" s="6">
        <v>2688.3</v>
      </c>
      <c r="Q98" s="2"/>
      <c r="R98" s="7">
        <f t="shared" si="56"/>
        <v>2.5755146095283025E-3</v>
      </c>
      <c r="S98" s="2"/>
      <c r="T98" s="6">
        <v>2400</v>
      </c>
      <c r="U98" s="2"/>
      <c r="V98" s="7">
        <f t="shared" si="57"/>
        <v>1.3930543471131561E-3</v>
      </c>
      <c r="W98" s="2"/>
      <c r="X98" s="6">
        <f t="shared" si="58"/>
        <v>288.30000000000018</v>
      </c>
      <c r="Y98" s="2"/>
      <c r="Z98" s="7">
        <f t="shared" si="59"/>
        <v>0.12012500000000008</v>
      </c>
    </row>
    <row r="99" spans="1:26" s="28" customFormat="1" outlineLevel="1" collapsed="1" x14ac:dyDescent="0.25">
      <c r="A99" s="27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SUM(OSRRefD22_13x_0)</f>
        <v>0</v>
      </c>
      <c r="E99" s="1"/>
      <c r="F99" s="5">
        <f t="shared" ref="F99:F100" si="60">IF(D$12=0,0,D99/D$12)</f>
        <v>0</v>
      </c>
      <c r="G99" s="1"/>
      <c r="H99" s="1">
        <f>SUM(OSRRefH22_13x_0)</f>
        <v>0</v>
      </c>
      <c r="I99" s="1"/>
      <c r="J99" s="5">
        <f t="shared" ref="J99:J100" si="61">IF(H$12=0,0,H99/H$12)</f>
        <v>0</v>
      </c>
      <c r="K99" s="1"/>
      <c r="L99" s="1">
        <f t="shared" ref="L99:L100" si="62">+D99-H99</f>
        <v>0</v>
      </c>
      <c r="M99" s="1"/>
      <c r="N99" s="5">
        <f t="shared" ref="N99:N100" si="63">IF(H99=0,0,L99/H99)</f>
        <v>0</v>
      </c>
      <c r="O99" s="14"/>
      <c r="P99" s="1">
        <f>SUM(OSRRefP22_13x_0)</f>
        <v>0.16</v>
      </c>
      <c r="Q99" s="1"/>
      <c r="R99" s="5">
        <f t="shared" ref="R99:R100" si="64">IF(P$12=0,0,P99/P$12)</f>
        <v>1.5328733308206985E-7</v>
      </c>
      <c r="S99" s="1"/>
      <c r="T99" s="1">
        <f>SUM(OSRRefT22_13x_0)</f>
        <v>0</v>
      </c>
      <c r="U99" s="1"/>
      <c r="V99" s="5">
        <f t="shared" ref="V99:V100" si="65">IF(T$12=0,0,T99/T$12)</f>
        <v>0</v>
      </c>
      <c r="W99" s="1"/>
      <c r="X99" s="1">
        <f t="shared" ref="X99:X100" si="66">+P99-T99</f>
        <v>0.16</v>
      </c>
      <c r="Y99" s="1"/>
      <c r="Z99" s="5">
        <f t="shared" ref="Z99:Z100" si="67">IF(T99=0,0,X99/T99)</f>
        <v>0</v>
      </c>
    </row>
    <row r="100" spans="1:26" s="24" customFormat="1" hidden="1" outlineLevel="2" x14ac:dyDescent="0.25">
      <c r="A100" s="29"/>
      <c r="B100" s="11" t="str">
        <f>CONCATENATE("          ", "6292", " - ", "TRAVEL/CONFERENCE")</f>
        <v xml:space="preserve">          6292 - TRAVEL/CONFERENCE</v>
      </c>
      <c r="C100" s="11"/>
      <c r="D100" s="6"/>
      <c r="E100" s="2"/>
      <c r="F100" s="7">
        <f t="shared" si="60"/>
        <v>0</v>
      </c>
      <c r="G100" s="2"/>
      <c r="H100" s="6"/>
      <c r="I100" s="2"/>
      <c r="J100" s="7">
        <f t="shared" si="61"/>
        <v>0</v>
      </c>
      <c r="K100" s="2"/>
      <c r="L100" s="6">
        <f t="shared" si="62"/>
        <v>0</v>
      </c>
      <c r="M100" s="2"/>
      <c r="N100" s="7">
        <f t="shared" si="63"/>
        <v>0</v>
      </c>
      <c r="O100" s="11"/>
      <c r="P100" s="6">
        <v>0.16</v>
      </c>
      <c r="Q100" s="2"/>
      <c r="R100" s="7">
        <f t="shared" si="64"/>
        <v>1.5328733308206985E-7</v>
      </c>
      <c r="S100" s="2"/>
      <c r="T100" s="6"/>
      <c r="U100" s="2"/>
      <c r="V100" s="7">
        <f t="shared" si="65"/>
        <v>0</v>
      </c>
      <c r="W100" s="2"/>
      <c r="X100" s="6">
        <f t="shared" si="66"/>
        <v>0.16</v>
      </c>
      <c r="Y100" s="2"/>
      <c r="Z100" s="7">
        <f t="shared" si="67"/>
        <v>0</v>
      </c>
    </row>
    <row r="101" spans="1:26" s="61" customFormat="1" x14ac:dyDescent="0.25">
      <c r="A101" s="36"/>
      <c r="B101" s="36"/>
      <c r="C101" s="36"/>
      <c r="D101" s="1"/>
      <c r="E101" s="1"/>
      <c r="F101" s="5"/>
      <c r="G101" s="1"/>
      <c r="H101" s="1"/>
      <c r="I101" s="1"/>
      <c r="J101" s="5"/>
      <c r="K101" s="1"/>
      <c r="L101" s="1"/>
      <c r="M101" s="1"/>
      <c r="N101" s="5"/>
      <c r="O101" s="36"/>
      <c r="P101" s="1"/>
      <c r="Q101" s="1"/>
      <c r="R101" s="5"/>
      <c r="S101" s="1"/>
      <c r="T101" s="1"/>
      <c r="U101" s="1"/>
      <c r="V101" s="5"/>
      <c r="W101" s="1"/>
      <c r="X101" s="1"/>
      <c r="Y101" s="1"/>
      <c r="Z101" s="5"/>
    </row>
    <row r="102" spans="1:26" s="23" customFormat="1" collapsed="1" x14ac:dyDescent="0.25">
      <c r="A102" s="10"/>
      <c r="B102" s="25" t="s">
        <v>0</v>
      </c>
      <c r="C102" s="10"/>
      <c r="D102" s="4">
        <f>SUM(OSRRefD25x_0)</f>
        <v>156953.37</v>
      </c>
      <c r="E102" s="4"/>
      <c r="F102" s="12">
        <f t="shared" ref="F102:F105" si="68">IF(D$12=0,0,D102/D$12)</f>
        <v>0.83048180032524344</v>
      </c>
      <c r="G102" s="4"/>
      <c r="H102" s="4">
        <f>SUM(OSRRefH25x_0)</f>
        <v>95659</v>
      </c>
      <c r="I102" s="4"/>
      <c r="J102" s="12">
        <f t="shared" ref="J102:J105" si="69">IF(H$12=0,0,H102/H$12)</f>
        <v>0.14004910407751242</v>
      </c>
      <c r="K102" s="4"/>
      <c r="L102" s="4">
        <f t="shared" ref="L102:L105" si="70">+D102-H102</f>
        <v>61294.369999999995</v>
      </c>
      <c r="M102" s="4"/>
      <c r="N102" s="12">
        <f t="shared" ref="N102:N105" si="71">IF(H102=0,0,L102/H102)</f>
        <v>0.64075905037685943</v>
      </c>
      <c r="O102" s="10"/>
      <c r="P102" s="4">
        <f>SUM(OSRRefP25x_0)</f>
        <v>160900.78000000003</v>
      </c>
      <c r="Q102" s="4"/>
      <c r="R102" s="12">
        <f t="shared" ref="R102:R105" si="72">IF(P$12=0,0,P102/P$12)</f>
        <v>0.15415032160640529</v>
      </c>
      <c r="S102" s="4"/>
      <c r="T102" s="4">
        <f>SUM(OSRRefT25x_0)</f>
        <v>101359</v>
      </c>
      <c r="U102" s="4"/>
      <c r="V102" s="12">
        <f t="shared" ref="V102:V105" si="73">IF(T$12=0,0,T102/T$12)</f>
        <v>5.8832748153767662E-2</v>
      </c>
      <c r="W102" s="4"/>
      <c r="X102" s="4">
        <f t="shared" ref="X102:X105" si="74">+P102-T102</f>
        <v>59541.780000000028</v>
      </c>
      <c r="Y102" s="4"/>
      <c r="Z102" s="12">
        <f t="shared" ref="Z102:Z105" si="75">IF(T102=0,0,X102/T102)</f>
        <v>0.58743456427154994</v>
      </c>
    </row>
    <row r="103" spans="1:26" s="24" customFormat="1" hidden="1" outlineLevel="1" x14ac:dyDescent="0.25">
      <c r="A103" s="51"/>
      <c r="B103" s="11" t="str">
        <f>CONCATENATE("          ", "9150", " - ", "MISC. INCOME")</f>
        <v xml:space="preserve">          9150 - MISC. INCOME</v>
      </c>
      <c r="C103" s="11"/>
      <c r="D103" s="2">
        <f>--9125.43</f>
        <v>9125.43</v>
      </c>
      <c r="E103" s="2"/>
      <c r="F103" s="22">
        <f t="shared" si="68"/>
        <v>4.8285064125364027E-2</v>
      </c>
      <c r="G103" s="2"/>
      <c r="H103" s="2">
        <v>3600</v>
      </c>
      <c r="I103" s="2"/>
      <c r="J103" s="22">
        <f t="shared" si="69"/>
        <v>5.2705628814752889E-3</v>
      </c>
      <c r="K103" s="2"/>
      <c r="L103" s="2">
        <f t="shared" si="70"/>
        <v>5525.43</v>
      </c>
      <c r="M103" s="2"/>
      <c r="N103" s="22">
        <f t="shared" si="71"/>
        <v>1.5348416666666667</v>
      </c>
      <c r="O103" s="11"/>
      <c r="P103" s="2">
        <f>--11526.45</f>
        <v>11526.45</v>
      </c>
      <c r="Q103" s="2"/>
      <c r="R103" s="22">
        <f t="shared" si="72"/>
        <v>1.1042867377523901E-2</v>
      </c>
      <c r="S103" s="2"/>
      <c r="T103" s="2">
        <v>9100</v>
      </c>
      <c r="U103" s="2"/>
      <c r="V103" s="22">
        <f t="shared" si="73"/>
        <v>5.2819977328040502E-3</v>
      </c>
      <c r="W103" s="2"/>
      <c r="X103" s="2">
        <f t="shared" si="74"/>
        <v>2426.4500000000007</v>
      </c>
      <c r="Y103" s="2"/>
      <c r="Z103" s="22">
        <f t="shared" si="75"/>
        <v>0.26664285714285724</v>
      </c>
    </row>
    <row r="104" spans="1:26" s="24" customFormat="1" hidden="1" outlineLevel="1" x14ac:dyDescent="0.25">
      <c r="A104" s="51"/>
      <c r="B104" s="11" t="str">
        <f>CONCATENATE("          ", "9151", " - ", "MISC. INCOME")</f>
        <v xml:space="preserve">          9151 - MISC. INCOME</v>
      </c>
      <c r="C104" s="11"/>
      <c r="D104" s="2">
        <f>--147285.39</f>
        <v>147285.39000000001</v>
      </c>
      <c r="E104" s="2"/>
      <c r="F104" s="22">
        <f t="shared" si="68"/>
        <v>0.77932596062643078</v>
      </c>
      <c r="G104" s="2"/>
      <c r="H104" s="2">
        <v>92059</v>
      </c>
      <c r="I104" s="2"/>
      <c r="J104" s="22">
        <f t="shared" si="69"/>
        <v>0.13477854119603713</v>
      </c>
      <c r="K104" s="2"/>
      <c r="L104" s="2">
        <f t="shared" si="70"/>
        <v>55226.390000000014</v>
      </c>
      <c r="M104" s="2"/>
      <c r="N104" s="22">
        <f t="shared" si="71"/>
        <v>0.59990212798314135</v>
      </c>
      <c r="O104" s="11"/>
      <c r="P104" s="2">
        <f>--147285.39</f>
        <v>147285.39000000001</v>
      </c>
      <c r="Q104" s="2"/>
      <c r="R104" s="22">
        <f t="shared" si="72"/>
        <v>0.1411061539690785</v>
      </c>
      <c r="S104" s="2"/>
      <c r="T104" s="2">
        <v>92259</v>
      </c>
      <c r="U104" s="2"/>
      <c r="V104" s="22">
        <f t="shared" si="73"/>
        <v>5.3550750420963612E-2</v>
      </c>
      <c r="W104" s="2"/>
      <c r="X104" s="2">
        <f t="shared" si="74"/>
        <v>55026.390000000014</v>
      </c>
      <c r="Y104" s="2"/>
      <c r="Z104" s="22">
        <f t="shared" si="75"/>
        <v>0.59643384385263243</v>
      </c>
    </row>
    <row r="105" spans="1:26" s="24" customFormat="1" hidden="1" outlineLevel="1" x14ac:dyDescent="0.25">
      <c r="A105" s="51"/>
      <c r="B105" s="11" t="str">
        <f>CONCATENATE("          ", "9152", " - ", "MISC. INCOME")</f>
        <v xml:space="preserve">          9152 - MISC. INCOME</v>
      </c>
      <c r="C105" s="11"/>
      <c r="D105" s="2">
        <f>--542.55</f>
        <v>542.54999999999995</v>
      </c>
      <c r="E105" s="2"/>
      <c r="F105" s="22">
        <f t="shared" si="68"/>
        <v>2.8707755734487307E-3</v>
      </c>
      <c r="G105" s="2"/>
      <c r="H105" s="2"/>
      <c r="I105" s="2"/>
      <c r="J105" s="22">
        <f t="shared" si="69"/>
        <v>0</v>
      </c>
      <c r="K105" s="2"/>
      <c r="L105" s="2">
        <f t="shared" si="70"/>
        <v>542.54999999999995</v>
      </c>
      <c r="M105" s="2"/>
      <c r="N105" s="22">
        <f t="shared" si="71"/>
        <v>0</v>
      </c>
      <c r="O105" s="11"/>
      <c r="P105" s="2">
        <f>--2088.94</f>
        <v>2088.94</v>
      </c>
      <c r="Q105" s="2"/>
      <c r="R105" s="22">
        <f t="shared" si="72"/>
        <v>2.0013002598028686E-3</v>
      </c>
      <c r="S105" s="2"/>
      <c r="T105" s="2"/>
      <c r="U105" s="2"/>
      <c r="V105" s="22">
        <f t="shared" si="73"/>
        <v>0</v>
      </c>
      <c r="W105" s="2"/>
      <c r="X105" s="2">
        <f t="shared" si="74"/>
        <v>2088.94</v>
      </c>
      <c r="Y105" s="2"/>
      <c r="Z105" s="22">
        <f t="shared" si="75"/>
        <v>0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6" t="s">
        <v>3</v>
      </c>
      <c r="C107" s="26"/>
      <c r="D107" s="20">
        <f>+D47-D49+D102</f>
        <v>175534.75000000006</v>
      </c>
      <c r="E107" s="13"/>
      <c r="F107" s="21">
        <f>IF(D$12=0,0,D107/D$12)</f>
        <v>0.92880079733007059</v>
      </c>
      <c r="G107" s="13"/>
      <c r="H107" s="20">
        <f>+H47-H49+H102</f>
        <v>224677.59425113848</v>
      </c>
      <c r="I107" s="13"/>
      <c r="J107" s="21">
        <f>IF(H$12=0,0,H107/H$12)</f>
        <v>0.32893816348867116</v>
      </c>
      <c r="K107" s="16"/>
      <c r="L107" s="20">
        <f>+D107-H107</f>
        <v>-49142.84425113842</v>
      </c>
      <c r="M107" s="16"/>
      <c r="N107" s="21">
        <f>IF(H107=0,0,L107/H107)</f>
        <v>-0.21872605684128829</v>
      </c>
      <c r="O107" s="25"/>
      <c r="P107" s="20">
        <f>+P47-P49+P102</f>
        <v>338292.17000000051</v>
      </c>
      <c r="Q107" s="13"/>
      <c r="R107" s="21">
        <f>IF(P$12=0,0,P107/P$12)</f>
        <v>0.3240994033865392</v>
      </c>
      <c r="S107" s="13"/>
      <c r="T107" s="20">
        <f>+T47-T49+T102</f>
        <v>397196.76158495003</v>
      </c>
      <c r="U107" s="13"/>
      <c r="V107" s="21">
        <f>IF(T$12=0,0,T107/T$12)</f>
        <v>0.23054861474382604</v>
      </c>
      <c r="W107" s="16"/>
      <c r="X107" s="20">
        <f>+P107-T107</f>
        <v>-58904.591584949521</v>
      </c>
      <c r="Y107" s="16"/>
      <c r="Z107" s="21">
        <f>IF(T107=0,0,X107/T107)</f>
        <v>-0.14830078510685785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2"/>
      <c r="B109" s="10" t="s">
        <v>14</v>
      </c>
      <c r="C109" s="10"/>
      <c r="D109" s="4">
        <v>49045.84</v>
      </c>
      <c r="E109" s="4"/>
      <c r="F109" s="12">
        <f>IF(D$12=0,0,D109/D$12)</f>
        <v>0.25951451377988149</v>
      </c>
      <c r="G109" s="4"/>
      <c r="H109" s="4">
        <v>79272</v>
      </c>
      <c r="I109" s="4"/>
      <c r="J109" s="12">
        <f>IF(H$12=0,0,H109/H$12)</f>
        <v>0.11605779465008587</v>
      </c>
      <c r="K109" s="4"/>
      <c r="L109" s="4">
        <f>+D109-H109</f>
        <v>-30226.160000000003</v>
      </c>
      <c r="M109" s="4"/>
      <c r="N109" s="12">
        <f>IF(H109=0,0,L109/H109)</f>
        <v>-0.3812968008880816</v>
      </c>
      <c r="O109" s="10"/>
      <c r="P109" s="4">
        <v>193367.57</v>
      </c>
      <c r="Q109" s="4"/>
      <c r="R109" s="12">
        <f>IF(P$12=0,0,P109/P$12)</f>
        <v>0.18525499443662785</v>
      </c>
      <c r="S109" s="4"/>
      <c r="T109" s="4">
        <v>249074</v>
      </c>
      <c r="U109" s="4"/>
      <c r="V109" s="12">
        <f>IF(T$12=0,0,T109/T$12)</f>
        <v>0.14457234102202593</v>
      </c>
      <c r="W109" s="4"/>
      <c r="X109" s="4">
        <f>+P109-T109</f>
        <v>-55706.429999999993</v>
      </c>
      <c r="Y109" s="4"/>
      <c r="Z109" s="12">
        <f>IF(T109=0,0,X109/T109)</f>
        <v>-0.22365413491572783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6" t="s">
        <v>4</v>
      </c>
      <c r="C111" s="26"/>
      <c r="D111" s="33">
        <f>+D107-D109</f>
        <v>126488.91000000006</v>
      </c>
      <c r="E111" s="13"/>
      <c r="F111" s="34">
        <f>IF(D$12=0,0,D111/D$12)</f>
        <v>0.66928628355018915</v>
      </c>
      <c r="G111" s="13"/>
      <c r="H111" s="33">
        <f>+H107-H109</f>
        <v>145405.59425113848</v>
      </c>
      <c r="I111" s="13"/>
      <c r="J111" s="34">
        <f>IF(H$12=0,0,H111/H$12)</f>
        <v>0.21288036883858533</v>
      </c>
      <c r="K111" s="16"/>
      <c r="L111" s="33">
        <f>D111-H111</f>
        <v>-18916.684251138417</v>
      </c>
      <c r="M111" s="16"/>
      <c r="N111" s="34">
        <f>IF(H111=0,0,L111/H111)</f>
        <v>-0.13009598666792907</v>
      </c>
      <c r="O111" s="25"/>
      <c r="P111" s="33">
        <f>+P107-P109</f>
        <v>144924.6000000005</v>
      </c>
      <c r="Q111" s="13"/>
      <c r="R111" s="34">
        <f>IF(P$12=0,0,P111/P$12)</f>
        <v>0.13884440894991135</v>
      </c>
      <c r="S111" s="13"/>
      <c r="T111" s="33">
        <f>+T107-T109</f>
        <v>148122.76158495003</v>
      </c>
      <c r="U111" s="13"/>
      <c r="V111" s="34">
        <f>IF(T$12=0,0,T111/T$12)</f>
        <v>8.5976273721800098E-2</v>
      </c>
      <c r="W111" s="16"/>
      <c r="X111" s="33">
        <f>P111-T111</f>
        <v>-3198.1615849495283</v>
      </c>
      <c r="Y111" s="16"/>
      <c r="Z111" s="34">
        <f>IF(T111=0,0,X111/T111)</f>
        <v>-2.1591290566881225E-2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5</v>
      </c>
      <c r="C114" s="26"/>
      <c r="D114" s="31">
        <f>SUM(D111:D113)</f>
        <v>126488.91000000006</v>
      </c>
      <c r="E114" s="13"/>
      <c r="F114" s="32">
        <f>IF(D$12=0,0,D114/D$12)</f>
        <v>0.66928628355018915</v>
      </c>
      <c r="G114" s="13"/>
      <c r="H114" s="31">
        <f>SUM(H111:H113)</f>
        <v>145405.59425113848</v>
      </c>
      <c r="I114" s="13"/>
      <c r="J114" s="32">
        <f>IF(H$12=0,0,H114/H$12)</f>
        <v>0.21288036883858533</v>
      </c>
      <c r="K114" s="16"/>
      <c r="L114" s="31">
        <f>+D114-H114</f>
        <v>-18916.684251138417</v>
      </c>
      <c r="M114" s="16"/>
      <c r="N114" s="32">
        <f>IF(H114=0,0,L114/H114)</f>
        <v>-0.13009598666792907</v>
      </c>
      <c r="O114" s="25"/>
      <c r="P114" s="31">
        <f>SUM(P111:P113)</f>
        <v>144924.6000000005</v>
      </c>
      <c r="Q114" s="13"/>
      <c r="R114" s="32">
        <f>IF(P$12=0,0,P114/P$12)</f>
        <v>0.13884440894991135</v>
      </c>
      <c r="S114" s="13"/>
      <c r="T114" s="31">
        <f>SUM(T111:T113)</f>
        <v>148122.76158495003</v>
      </c>
      <c r="U114" s="13"/>
      <c r="V114" s="32">
        <f>IF(T$12=0,0,T114/T$12)</f>
        <v>8.5976273721800098E-2</v>
      </c>
      <c r="W114" s="16"/>
      <c r="X114" s="31">
        <f>+P114-T114</f>
        <v>-3198.1615849495283</v>
      </c>
      <c r="Y114" s="16"/>
      <c r="Z114" s="32">
        <f>IF(T114=0,0,X114/T114)</f>
        <v>-2.1591290566881225E-2</v>
      </c>
    </row>
    <row r="115" spans="1:26" ht="15.75" thickTop="1" x14ac:dyDescent="0.25">
      <c r="A115" s="9"/>
      <c r="C115" s="9"/>
      <c r="D115" s="17"/>
      <c r="E115" s="17"/>
      <c r="G115" s="17"/>
      <c r="H115" s="17"/>
      <c r="I115" s="17"/>
      <c r="J115" s="43"/>
      <c r="K115" s="17"/>
      <c r="L115" s="17"/>
      <c r="M115" s="17"/>
      <c r="P115" s="17"/>
      <c r="Q115" s="17"/>
      <c r="R115" s="43"/>
      <c r="S115" s="17"/>
      <c r="T115" s="17"/>
      <c r="U115" s="17"/>
      <c r="V115" s="43"/>
      <c r="W115" s="17"/>
      <c r="X115" s="17"/>
    </row>
    <row r="116" spans="1:26" x14ac:dyDescent="0.25">
      <c r="A116" s="9"/>
      <c r="B116" s="55">
        <v>44123.571961608795</v>
      </c>
      <c r="D116" s="17"/>
      <c r="E116" s="17"/>
      <c r="G116" s="17"/>
      <c r="H116" s="17"/>
      <c r="I116" s="17"/>
      <c r="J116" s="43"/>
      <c r="K116" s="17"/>
      <c r="L116" s="17"/>
      <c r="M116" s="17"/>
      <c r="P116" s="17"/>
      <c r="Q116" s="17"/>
      <c r="R116" s="43"/>
      <c r="S116" s="17"/>
      <c r="T116" s="17"/>
      <c r="U116" s="17"/>
      <c r="V116" s="43"/>
      <c r="W116" s="17"/>
      <c r="X116" s="17"/>
    </row>
    <row r="117" spans="1:26" x14ac:dyDescent="0.25">
      <c r="A117" s="9"/>
      <c r="B117" s="53" t="s">
        <v>314</v>
      </c>
      <c r="D117" s="17"/>
      <c r="E117" s="17"/>
      <c r="G117" s="17"/>
      <c r="H117" s="17"/>
      <c r="I117" s="17"/>
      <c r="J117" s="43"/>
      <c r="K117" s="17"/>
      <c r="L117" s="17"/>
      <c r="M117" s="17"/>
      <c r="P117" s="17"/>
      <c r="Q117" s="17"/>
      <c r="R117" s="43"/>
      <c r="S117" s="17"/>
      <c r="T117" s="17"/>
      <c r="U117" s="17"/>
      <c r="V117" s="43"/>
      <c r="W117" s="17"/>
      <c r="X117" s="17"/>
    </row>
    <row r="118" spans="1:26" x14ac:dyDescent="0.25">
      <c r="A118" s="9"/>
      <c r="B118" s="62"/>
      <c r="D118" s="17"/>
      <c r="E118" s="17"/>
      <c r="G118" s="17"/>
      <c r="H118" s="17"/>
      <c r="I118" s="17"/>
      <c r="J118" s="43"/>
      <c r="K118" s="17"/>
      <c r="L118" s="17"/>
      <c r="M118" s="17"/>
      <c r="P118" s="17"/>
      <c r="Q118" s="17"/>
      <c r="R118" s="43"/>
      <c r="S118" s="17"/>
      <c r="T118" s="17"/>
      <c r="U118" s="17"/>
      <c r="V118" s="43"/>
      <c r="W118" s="17"/>
      <c r="X118" s="17"/>
    </row>
    <row r="119" spans="1:26" x14ac:dyDescent="0.25">
      <c r="D119" s="17"/>
      <c r="E119" s="17"/>
      <c r="G119" s="17"/>
      <c r="H119" s="17"/>
      <c r="I119" s="17"/>
      <c r="J119" s="43"/>
      <c r="K119" s="17"/>
      <c r="L119" s="17"/>
      <c r="M119" s="17"/>
      <c r="P119" s="17"/>
      <c r="Q119" s="17"/>
      <c r="R119" s="43"/>
      <c r="S119" s="17"/>
      <c r="T119" s="17"/>
      <c r="U119" s="17"/>
      <c r="V119" s="43"/>
      <c r="W119" s="17"/>
      <c r="X119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","324", " - ", "Textbook Rental")</f>
        <v>Department 324 - Textbook Rental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48384.93</v>
      </c>
      <c r="E12" s="4"/>
      <c r="F12" s="12"/>
      <c r="G12" s="4"/>
      <c r="H12" s="4">
        <f>SUM(OSRRefH13x_0)</f>
        <v>227329</v>
      </c>
      <c r="I12" s="4"/>
      <c r="J12" s="12"/>
      <c r="K12" s="4"/>
      <c r="L12" s="4">
        <f t="shared" ref="L12:L16" si="0">+D12-H12</f>
        <v>-178944.07</v>
      </c>
      <c r="M12" s="4"/>
      <c r="N12" s="12">
        <f t="shared" ref="N12:N16" si="1">IF(H12=0,0,L12/H12)</f>
        <v>-0.78715900742976042</v>
      </c>
      <c r="O12" s="10"/>
      <c r="P12" s="4">
        <f>SUM(OSRRefP13x_0)</f>
        <v>467731.39</v>
      </c>
      <c r="Q12" s="4"/>
      <c r="R12" s="12"/>
      <c r="S12" s="4"/>
      <c r="T12" s="4">
        <f>SUM(OSRRefT13x_0)</f>
        <v>801040</v>
      </c>
      <c r="U12" s="4"/>
      <c r="V12" s="12"/>
      <c r="W12" s="4"/>
      <c r="X12" s="4">
        <f t="shared" ref="X12:X16" si="2">+P12-T12</f>
        <v>-333308.61</v>
      </c>
      <c r="Y12" s="4"/>
      <c r="Z12" s="12">
        <f t="shared" ref="Z12:Z16" si="3">IF(T12=0,0,X12/T12)</f>
        <v>-0.41609483920902823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227329</v>
      </c>
      <c r="I13" s="2"/>
      <c r="J13" s="22"/>
      <c r="K13" s="2"/>
      <c r="L13" s="2">
        <f t="shared" si="0"/>
        <v>-227329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801040</v>
      </c>
      <c r="U13" s="2"/>
      <c r="V13" s="22"/>
      <c r="W13" s="2"/>
      <c r="X13" s="2">
        <f t="shared" si="2"/>
        <v>-801040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"4001", " - ", "TAXABLE SALES-NEW TEXT")</f>
        <v xml:space="preserve">          4001 - TAXABLE SALES-NEW TEXT</v>
      </c>
      <c r="C14" s="11"/>
      <c r="D14" s="2">
        <f>--23703.39</f>
        <v>23703.39</v>
      </c>
      <c r="E14" s="2"/>
      <c r="F14" s="22"/>
      <c r="G14" s="2"/>
      <c r="H14" s="2"/>
      <c r="I14" s="2"/>
      <c r="J14" s="22"/>
      <c r="K14" s="2"/>
      <c r="L14" s="2">
        <f t="shared" si="0"/>
        <v>23703.39</v>
      </c>
      <c r="M14" s="2"/>
      <c r="N14" s="22">
        <f t="shared" si="1"/>
        <v>0</v>
      </c>
      <c r="O14" s="11"/>
      <c r="P14" s="2">
        <f>--170954.66</f>
        <v>170954.66</v>
      </c>
      <c r="Q14" s="2"/>
      <c r="R14" s="22"/>
      <c r="S14" s="2"/>
      <c r="T14" s="2"/>
      <c r="U14" s="2"/>
      <c r="V14" s="22"/>
      <c r="W14" s="2"/>
      <c r="X14" s="2">
        <f t="shared" si="2"/>
        <v>170954.66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"4002", " - ", "TAXABLE SALES-USED TEXT")</f>
        <v xml:space="preserve">          4002 - TAXABLE SALES-USED TEXT</v>
      </c>
      <c r="C15" s="11"/>
      <c r="D15" s="2">
        <f>--13735.85</f>
        <v>13735.85</v>
      </c>
      <c r="E15" s="2"/>
      <c r="F15" s="22"/>
      <c r="G15" s="2"/>
      <c r="H15" s="2"/>
      <c r="I15" s="2"/>
      <c r="J15" s="22"/>
      <c r="K15" s="2"/>
      <c r="L15" s="2">
        <f t="shared" si="0"/>
        <v>13735.85</v>
      </c>
      <c r="M15" s="2"/>
      <c r="N15" s="22">
        <f t="shared" si="1"/>
        <v>0</v>
      </c>
      <c r="O15" s="11"/>
      <c r="P15" s="2">
        <f>--132432.71</f>
        <v>132432.71</v>
      </c>
      <c r="Q15" s="2"/>
      <c r="R15" s="22"/>
      <c r="S15" s="2"/>
      <c r="T15" s="2"/>
      <c r="U15" s="2"/>
      <c r="V15" s="22"/>
      <c r="W15" s="2"/>
      <c r="X15" s="2">
        <f t="shared" si="2"/>
        <v>132432.71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"4100", " - ", "NON-TAXABLE SALES")</f>
        <v xml:space="preserve">          4100 - NON-TAXABLE SALES</v>
      </c>
      <c r="C16" s="11"/>
      <c r="D16" s="2">
        <f>--10945.69</f>
        <v>10945.69</v>
      </c>
      <c r="E16" s="2"/>
      <c r="F16" s="22"/>
      <c r="G16" s="2"/>
      <c r="H16" s="2"/>
      <c r="I16" s="2"/>
      <c r="J16" s="22"/>
      <c r="K16" s="2"/>
      <c r="L16" s="2">
        <f t="shared" si="0"/>
        <v>10945.69</v>
      </c>
      <c r="M16" s="2"/>
      <c r="N16" s="22">
        <f t="shared" si="1"/>
        <v>0</v>
      </c>
      <c r="O16" s="11"/>
      <c r="P16" s="2">
        <f>--164344.02</f>
        <v>164344.01999999999</v>
      </c>
      <c r="Q16" s="2"/>
      <c r="R16" s="22"/>
      <c r="S16" s="2"/>
      <c r="T16" s="2"/>
      <c r="U16" s="2"/>
      <c r="V16" s="22"/>
      <c r="W16" s="2"/>
      <c r="X16" s="2">
        <f t="shared" si="2"/>
        <v>164344.01999999999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26803.5</v>
      </c>
      <c r="E18" s="4"/>
      <c r="F18" s="12">
        <f t="shared" ref="F18:F21" si="4">IF(D$12=0,0,D18/D$12)</f>
        <v>0.55396380649925503</v>
      </c>
      <c r="G18" s="4"/>
      <c r="H18" s="4">
        <f>SUM(OSRRefH16x_0)</f>
        <v>168876</v>
      </c>
      <c r="I18" s="4"/>
      <c r="J18" s="12">
        <f t="shared" ref="J18:J21" si="5">IF(H$12=0,0,H18/H$12)</f>
        <v>0.74287046527279843</v>
      </c>
      <c r="K18" s="4"/>
      <c r="L18" s="4">
        <f t="shared" ref="L18:L21" si="6">+D18-H18</f>
        <v>-142072.5</v>
      </c>
      <c r="M18" s="4"/>
      <c r="N18" s="12">
        <f t="shared" ref="N18:N21" si="7">IF(H18=0,0,L18/H18)</f>
        <v>-0.84128295317274215</v>
      </c>
      <c r="O18" s="10"/>
      <c r="P18" s="4">
        <f>SUM(OSRRefP16x_0)</f>
        <v>342526.83999999997</v>
      </c>
      <c r="Q18" s="4"/>
      <c r="R18" s="12">
        <f t="shared" ref="R18:R21" si="8">IF(P$12=0,0,P18/P$12)</f>
        <v>0.73231527180589684</v>
      </c>
      <c r="S18" s="4"/>
      <c r="T18" s="4">
        <f>SUM(OSRRefT16x_0)</f>
        <v>584241</v>
      </c>
      <c r="U18" s="4"/>
      <c r="V18" s="12">
        <f t="shared" ref="V18:V21" si="9">IF(T$12=0,0,T18/T$12)</f>
        <v>0.72935309098172374</v>
      </c>
      <c r="W18" s="4"/>
      <c r="X18" s="4">
        <f t="shared" ref="X18:X21" si="10">+P18-T18</f>
        <v>-241714.16000000003</v>
      </c>
      <c r="Y18" s="4"/>
      <c r="Z18" s="12">
        <f t="shared" ref="Z18:Z21" si="11">IF(T18=0,0,X18/T18)</f>
        <v>-0.4137233778526328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168876</v>
      </c>
      <c r="I19" s="2"/>
      <c r="J19" s="22">
        <f t="shared" si="5"/>
        <v>0.74287046527279843</v>
      </c>
      <c r="K19" s="2"/>
      <c r="L19" s="2">
        <f t="shared" si="6"/>
        <v>-168876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584241</v>
      </c>
      <c r="U19" s="2"/>
      <c r="V19" s="22">
        <f t="shared" si="9"/>
        <v>0.72935309098172374</v>
      </c>
      <c r="W19" s="2"/>
      <c r="X19" s="2">
        <f t="shared" si="10"/>
        <v>-584241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"5001", " - ", "PURCHASES @ COST-NEW TEXT")</f>
        <v xml:space="preserve">          5001 - PURCHASES @ COST-NEW TEXT</v>
      </c>
      <c r="C20" s="11"/>
      <c r="D20" s="2">
        <v>26803.5</v>
      </c>
      <c r="E20" s="2"/>
      <c r="F20" s="22">
        <f t="shared" si="4"/>
        <v>0.55396380649925503</v>
      </c>
      <c r="G20" s="2"/>
      <c r="H20" s="2"/>
      <c r="I20" s="2"/>
      <c r="J20" s="22">
        <f t="shared" si="5"/>
        <v>0</v>
      </c>
      <c r="K20" s="2"/>
      <c r="L20" s="2">
        <f t="shared" si="6"/>
        <v>26803.5</v>
      </c>
      <c r="M20" s="2"/>
      <c r="N20" s="22">
        <f t="shared" si="7"/>
        <v>0</v>
      </c>
      <c r="O20" s="11"/>
      <c r="P20" s="2">
        <v>203192.36</v>
      </c>
      <c r="Q20" s="2"/>
      <c r="R20" s="22">
        <f t="shared" si="8"/>
        <v>0.43442104666099057</v>
      </c>
      <c r="S20" s="2"/>
      <c r="T20" s="2"/>
      <c r="U20" s="2"/>
      <c r="V20" s="22">
        <f t="shared" si="9"/>
        <v>0</v>
      </c>
      <c r="W20" s="2"/>
      <c r="X20" s="2">
        <f t="shared" si="10"/>
        <v>203192.36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"5002", " - ", "PURCHASES @ COST-USED TEXT")</f>
        <v xml:space="preserve">          5002 - PURCHASES @ COST-USED TEXT</v>
      </c>
      <c r="C21" s="11"/>
      <c r="D21" s="2"/>
      <c r="E21" s="2"/>
      <c r="F21" s="22">
        <f t="shared" si="4"/>
        <v>0</v>
      </c>
      <c r="G21" s="2"/>
      <c r="H21" s="2"/>
      <c r="I21" s="2"/>
      <c r="J21" s="22">
        <f t="shared" si="5"/>
        <v>0</v>
      </c>
      <c r="K21" s="2"/>
      <c r="L21" s="2">
        <f t="shared" si="6"/>
        <v>0</v>
      </c>
      <c r="M21" s="2"/>
      <c r="N21" s="22">
        <f t="shared" si="7"/>
        <v>0</v>
      </c>
      <c r="O21" s="11"/>
      <c r="P21" s="2">
        <v>139334.47999999998</v>
      </c>
      <c r="Q21" s="2"/>
      <c r="R21" s="22">
        <f t="shared" si="8"/>
        <v>0.29789422514490632</v>
      </c>
      <c r="S21" s="2"/>
      <c r="T21" s="2"/>
      <c r="U21" s="2"/>
      <c r="V21" s="22">
        <f t="shared" si="9"/>
        <v>0</v>
      </c>
      <c r="W21" s="2"/>
      <c r="X21" s="2">
        <f t="shared" si="10"/>
        <v>139334.47999999998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0">
        <f>D12-D18</f>
        <v>21581.43</v>
      </c>
      <c r="E23" s="13"/>
      <c r="F23" s="21">
        <f>IF(D$12=0,0,D23/D$12)</f>
        <v>0.44603619350074497</v>
      </c>
      <c r="G23" s="13"/>
      <c r="H23" s="20">
        <f>H12-H18</f>
        <v>58453</v>
      </c>
      <c r="I23" s="13"/>
      <c r="J23" s="21">
        <f>IF(H$12=0,0,H23/H$12)</f>
        <v>0.25712953472720157</v>
      </c>
      <c r="K23" s="16"/>
      <c r="L23" s="20">
        <f>+D23-H23</f>
        <v>-36871.57</v>
      </c>
      <c r="M23" s="16"/>
      <c r="N23" s="21">
        <f>IF(H23=0,0,L23/H23)</f>
        <v>-0.63079003643953258</v>
      </c>
      <c r="O23" s="25"/>
      <c r="P23" s="20">
        <f>P12-P18</f>
        <v>125204.55000000005</v>
      </c>
      <c r="Q23" s="13"/>
      <c r="R23" s="21">
        <f>IF(P$12=0,0,P23/P$12)</f>
        <v>0.26768472819410311</v>
      </c>
      <c r="S23" s="13"/>
      <c r="T23" s="20">
        <f>T12-T18</f>
        <v>216799</v>
      </c>
      <c r="U23" s="13"/>
      <c r="V23" s="21">
        <f>IF(T$12=0,0,T23/T$12)</f>
        <v>0.27064690901827626</v>
      </c>
      <c r="W23" s="16"/>
      <c r="X23" s="20">
        <f>+P23-T23</f>
        <v>-91594.449999999953</v>
      </c>
      <c r="Y23" s="16"/>
      <c r="Z23" s="21">
        <f>IF(T23=0,0,X23/T23)</f>
        <v>-0.42248557419545274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19">
        <f>SUM(OSRRefD22x_0)</f>
        <v>0</v>
      </c>
      <c r="E25" s="19"/>
      <c r="F25" s="35">
        <f t="shared" ref="F25:F34" si="12">IF(D$12=0,0,D25/D$12)</f>
        <v>0</v>
      </c>
      <c r="G25" s="19"/>
      <c r="H25" s="19">
        <f>SUM(OSRRefH22x_0)</f>
        <v>0</v>
      </c>
      <c r="I25" s="19"/>
      <c r="J25" s="35">
        <f t="shared" ref="J25:J34" si="13">IF(H$12=0,0,H25/H$12)</f>
        <v>0</v>
      </c>
      <c r="K25" s="4"/>
      <c r="L25" s="19">
        <f t="shared" ref="L25:L34" si="14">+D25-H25</f>
        <v>0</v>
      </c>
      <c r="M25" s="4"/>
      <c r="N25" s="35">
        <f t="shared" ref="N25:N34" si="15">IF(H25=0,0,L25/H25)</f>
        <v>0</v>
      </c>
      <c r="O25" s="10"/>
      <c r="P25" s="19">
        <f>SUM(OSRRefP22x_0)</f>
        <v>0</v>
      </c>
      <c r="Q25" s="19"/>
      <c r="R25" s="35">
        <f t="shared" ref="R25:R34" si="16">IF(P$12=0,0,P25/P$12)</f>
        <v>0</v>
      </c>
      <c r="S25" s="19"/>
      <c r="T25" s="19">
        <f>SUM(OSRRefT22x_0)</f>
        <v>0</v>
      </c>
      <c r="U25" s="19"/>
      <c r="V25" s="35">
        <f t="shared" ref="V25:V34" si="17">IF(T$12=0,0,T25/T$12)</f>
        <v>0</v>
      </c>
      <c r="W25" s="4"/>
      <c r="X25" s="19">
        <f t="shared" ref="X25:X34" si="18">+P25-T25</f>
        <v>0</v>
      </c>
      <c r="Y25" s="4"/>
      <c r="Z25" s="35">
        <f t="shared" ref="Z25:Z34" si="19">IF(T25=0,0,X25/T25)</f>
        <v>0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0</v>
      </c>
      <c r="E26" s="1"/>
      <c r="F26" s="5">
        <f t="shared" si="12"/>
        <v>0</v>
      </c>
      <c r="G26" s="1"/>
      <c r="H26" s="1">
        <f>SUM(OSRRefH22_0x_0)</f>
        <v>0</v>
      </c>
      <c r="I26" s="1"/>
      <c r="J26" s="5">
        <f t="shared" si="13"/>
        <v>0</v>
      </c>
      <c r="K26" s="1"/>
      <c r="L26" s="1">
        <f t="shared" si="14"/>
        <v>0</v>
      </c>
      <c r="M26" s="1"/>
      <c r="N26" s="5">
        <f t="shared" si="15"/>
        <v>0</v>
      </c>
      <c r="O26" s="14"/>
      <c r="P26" s="1">
        <f>SUM(OSRRefP22_0x_0)</f>
        <v>0</v>
      </c>
      <c r="Q26" s="1"/>
      <c r="R26" s="5">
        <f t="shared" si="16"/>
        <v>0</v>
      </c>
      <c r="S26" s="1"/>
      <c r="T26" s="1">
        <f>SUM(OSRRefT22_0x_0)</f>
        <v>0</v>
      </c>
      <c r="U26" s="1"/>
      <c r="V26" s="5">
        <f t="shared" si="17"/>
        <v>0</v>
      </c>
      <c r="W26" s="1"/>
      <c r="X26" s="1">
        <f t="shared" si="18"/>
        <v>0</v>
      </c>
      <c r="Y26" s="1"/>
      <c r="Z26" s="5">
        <f t="shared" si="19"/>
        <v>0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6"/>
      <c r="E31" s="2"/>
      <c r="F31" s="7">
        <f t="shared" si="12"/>
        <v>0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0</v>
      </c>
      <c r="M31" s="2"/>
      <c r="N31" s="7">
        <f t="shared" si="15"/>
        <v>0</v>
      </c>
      <c r="O31" s="11"/>
      <c r="P31" s="6"/>
      <c r="Q31" s="2"/>
      <c r="R31" s="7">
        <f t="shared" si="16"/>
        <v>0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0</v>
      </c>
      <c r="Y31" s="2"/>
      <c r="Z31" s="7">
        <f t="shared" si="19"/>
        <v>0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8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45" si="20">IF(D$12=0,0,D35/D$12)</f>
        <v>0</v>
      </c>
      <c r="G35" s="1"/>
      <c r="H35" s="1">
        <f>SUM(OSRRefH22_1x_0)</f>
        <v>0</v>
      </c>
      <c r="I35" s="1"/>
      <c r="J35" s="5">
        <f t="shared" ref="J35:J45" si="21">IF(H$12=0,0,H35/H$12)</f>
        <v>0</v>
      </c>
      <c r="K35" s="1"/>
      <c r="L35" s="1">
        <f t="shared" ref="L35:L45" si="22">+D35-H35</f>
        <v>0</v>
      </c>
      <c r="M35" s="1"/>
      <c r="N35" s="5">
        <f t="shared" ref="N35:N45" si="23">IF(H35=0,0,L35/H35)</f>
        <v>0</v>
      </c>
      <c r="O35" s="14"/>
      <c r="P35" s="1">
        <f>SUM(OSRRefP22_1x_0)</f>
        <v>0</v>
      </c>
      <c r="Q35" s="1"/>
      <c r="R35" s="5">
        <f t="shared" ref="R35:R45" si="24">IF(P$12=0,0,P35/P$12)</f>
        <v>0</v>
      </c>
      <c r="S35" s="1"/>
      <c r="T35" s="1">
        <f>SUM(OSRRefT22_1x_0)</f>
        <v>0</v>
      </c>
      <c r="U35" s="1"/>
      <c r="V35" s="5">
        <f t="shared" ref="V35:V45" si="25">IF(T$12=0,0,T35/T$12)</f>
        <v>0</v>
      </c>
      <c r="W35" s="1"/>
      <c r="X35" s="1">
        <f t="shared" ref="X35:X45" si="26">+P35-T35</f>
        <v>0</v>
      </c>
      <c r="Y35" s="1"/>
      <c r="Z35" s="5">
        <f t="shared" ref="Z35:Z45" si="27">IF(T35=0,0,X35/T35)</f>
        <v>0</v>
      </c>
    </row>
    <row r="36" spans="1:26" s="24" customFormat="1" hidden="1" outlineLevel="2" x14ac:dyDescent="0.25">
      <c r="A36" s="29"/>
      <c r="B36" s="11" t="str">
        <f>CONCATENATE("          ", "6001", " - ", "ADMINISTRATIVE SALARIES")</f>
        <v xml:space="preserve">          6001 - ADMINISTRATIVE SALARIES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9"/>
      <c r="B37" s="11" t="str">
        <f>CONCATENATE("          ", "6002", " - ", "STAFF SALARIES")</f>
        <v xml:space="preserve">          6002 - STAFF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9"/>
      <c r="B38" s="11" t="str">
        <f>CONCATENATE("          ", "6003", " - ", "STAFF HOURLY-9 MONTH")</f>
        <v xml:space="preserve">          6003 - STAFF HOURLY-9 MONTH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9"/>
      <c r="B44" s="11" t="str">
        <f>CONCATENATE("          ", "6009", " - ", "TEMPORARY-SEASONAL")</f>
        <v xml:space="preserve">          6009 - TEMPORARY-SEASONAL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4" customFormat="1" hidden="1" outlineLevel="2" x14ac:dyDescent="0.25">
      <c r="A45" s="29"/>
      <c r="B45" s="11" t="str">
        <f>CONCATENATE("          ", "6010", " - ", "GRATUITY")</f>
        <v xml:space="preserve">          6010 - GRATUITY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61" customFormat="1" x14ac:dyDescent="0.25">
      <c r="A46" s="36"/>
      <c r="B46" s="36"/>
      <c r="C46" s="36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5" t="s">
        <v>0</v>
      </c>
      <c r="C47" s="10"/>
      <c r="D47" s="4">
        <f>SUM(0)</f>
        <v>0</v>
      </c>
      <c r="E47" s="4"/>
      <c r="F47" s="12">
        <f>IF(D$12=0,0,D47/D$12)</f>
        <v>0</v>
      </c>
      <c r="G47" s="4"/>
      <c r="H47" s="4">
        <f>SUM(0)</f>
        <v>0</v>
      </c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>
        <f>SUM(0)</f>
        <v>0</v>
      </c>
      <c r="Q47" s="4"/>
      <c r="R47" s="12">
        <f>IF(P$12=0,0,P47/P$12)</f>
        <v>0</v>
      </c>
      <c r="S47" s="4"/>
      <c r="T47" s="4">
        <f>SUM(0)</f>
        <v>0</v>
      </c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6" t="s">
        <v>3</v>
      </c>
      <c r="C49" s="26"/>
      <c r="D49" s="20">
        <f>+D23-D25+D47</f>
        <v>21581.43</v>
      </c>
      <c r="E49" s="13"/>
      <c r="F49" s="21">
        <f>IF(D$12=0,0,D49/D$12)</f>
        <v>0.44603619350074497</v>
      </c>
      <c r="G49" s="13"/>
      <c r="H49" s="20">
        <f>+H23-H25+H47</f>
        <v>58453</v>
      </c>
      <c r="I49" s="13"/>
      <c r="J49" s="21">
        <f>IF(H$12=0,0,H49/H$12)</f>
        <v>0.25712953472720157</v>
      </c>
      <c r="K49" s="16"/>
      <c r="L49" s="20">
        <f>+D49-H49</f>
        <v>-36871.57</v>
      </c>
      <c r="M49" s="16"/>
      <c r="N49" s="21">
        <f>IF(H49=0,0,L49/H49)</f>
        <v>-0.63079003643953258</v>
      </c>
      <c r="O49" s="25"/>
      <c r="P49" s="20">
        <f>+P23-P25+P47</f>
        <v>125204.55000000005</v>
      </c>
      <c r="Q49" s="13"/>
      <c r="R49" s="21">
        <f>IF(P$12=0,0,P49/P$12)</f>
        <v>0.26768472819410311</v>
      </c>
      <c r="S49" s="13"/>
      <c r="T49" s="20">
        <f>+T23-T25+T47</f>
        <v>216799</v>
      </c>
      <c r="U49" s="13"/>
      <c r="V49" s="21">
        <f>IF(T$12=0,0,T49/T$12)</f>
        <v>0.27064690901827626</v>
      </c>
      <c r="W49" s="16"/>
      <c r="X49" s="20">
        <f>+P49-T49</f>
        <v>-91594.449999999953</v>
      </c>
      <c r="Y49" s="16"/>
      <c r="Z49" s="21">
        <f>IF(T49=0,0,X49/T49)</f>
        <v>-0.42248557419545274</v>
      </c>
    </row>
    <row r="50" spans="1:26" x14ac:dyDescent="0.25">
      <c r="A50" s="9"/>
      <c r="B50" s="10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52"/>
      <c r="B51" s="10" t="s">
        <v>14</v>
      </c>
      <c r="C51" s="10"/>
      <c r="D51" s="4">
        <v>15848.489999999998</v>
      </c>
      <c r="E51" s="4"/>
      <c r="F51" s="12">
        <f>IF(D$12=0,0,D51/D$12)</f>
        <v>0.32755012769471814</v>
      </c>
      <c r="G51" s="4"/>
      <c r="H51" s="4">
        <v>22119</v>
      </c>
      <c r="I51" s="4"/>
      <c r="J51" s="12">
        <f>IF(H$12=0,0,H51/H$12)</f>
        <v>9.7299508641660329E-2</v>
      </c>
      <c r="K51" s="4"/>
      <c r="L51" s="4">
        <f>+D51-H51</f>
        <v>-6270.510000000002</v>
      </c>
      <c r="M51" s="4"/>
      <c r="N51" s="12">
        <f>IF(H51=0,0,L51/H51)</f>
        <v>-0.28348975993489767</v>
      </c>
      <c r="O51" s="10"/>
      <c r="P51" s="4">
        <v>86649.57</v>
      </c>
      <c r="Q51" s="4"/>
      <c r="R51" s="12">
        <f>IF(P$12=0,0,P51/P$12)</f>
        <v>0.18525498149696562</v>
      </c>
      <c r="S51" s="4"/>
      <c r="T51" s="4">
        <v>115808</v>
      </c>
      <c r="U51" s="4"/>
      <c r="V51" s="12">
        <f>IF(T$12=0,0,T51/T$12)</f>
        <v>0.14457205632677519</v>
      </c>
      <c r="W51" s="4"/>
      <c r="X51" s="4">
        <f>+P51-T51</f>
        <v>-29158.429999999993</v>
      </c>
      <c r="Y51" s="4"/>
      <c r="Z51" s="12">
        <f>IF(T51=0,0,X51/T51)</f>
        <v>-0.25178251934235973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6" t="s">
        <v>4</v>
      </c>
      <c r="C53" s="26"/>
      <c r="D53" s="33">
        <f>+D49-D51</f>
        <v>5732.9400000000023</v>
      </c>
      <c r="E53" s="13"/>
      <c r="F53" s="34">
        <f>IF(D$12=0,0,D53/D$12)</f>
        <v>0.11848606580602684</v>
      </c>
      <c r="G53" s="13"/>
      <c r="H53" s="33">
        <f>+H49-H51</f>
        <v>36334</v>
      </c>
      <c r="I53" s="13"/>
      <c r="J53" s="34">
        <f>IF(H$12=0,0,H53/H$12)</f>
        <v>0.15983002608554123</v>
      </c>
      <c r="K53" s="16"/>
      <c r="L53" s="33">
        <f>D53-H53</f>
        <v>-30601.059999999998</v>
      </c>
      <c r="M53" s="16"/>
      <c r="N53" s="34">
        <f>IF(H53=0,0,L53/H53)</f>
        <v>-0.84221555567787743</v>
      </c>
      <c r="O53" s="25"/>
      <c r="P53" s="33">
        <f>+P49-P51</f>
        <v>38554.98000000004</v>
      </c>
      <c r="Q53" s="13"/>
      <c r="R53" s="34">
        <f>IF(P$12=0,0,P53/P$12)</f>
        <v>8.2429746697137513E-2</v>
      </c>
      <c r="S53" s="13"/>
      <c r="T53" s="33">
        <f>+T49-T51</f>
        <v>100991</v>
      </c>
      <c r="U53" s="13"/>
      <c r="V53" s="34">
        <f>IF(T$12=0,0,T53/T$12)</f>
        <v>0.12607485269150104</v>
      </c>
      <c r="W53" s="16"/>
      <c r="X53" s="33">
        <f>P53-T53</f>
        <v>-62436.01999999996</v>
      </c>
      <c r="Y53" s="16"/>
      <c r="Z53" s="34">
        <f>IF(T53=0,0,X53/T53)</f>
        <v>-0.61823350595597593</v>
      </c>
    </row>
    <row r="54" spans="1:26" ht="15.75" thickTop="1" x14ac:dyDescent="0.25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x14ac:dyDescent="0.25">
      <c r="A55" s="9"/>
      <c r="B55" s="9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.75" thickBot="1" x14ac:dyDescent="0.3">
      <c r="A56" s="10"/>
      <c r="B56" s="26" t="s">
        <v>5</v>
      </c>
      <c r="C56" s="26"/>
      <c r="D56" s="31">
        <f>SUM(D53:D55)</f>
        <v>5732.9400000000023</v>
      </c>
      <c r="E56" s="13"/>
      <c r="F56" s="32">
        <f>IF(D$12=0,0,D56/D$12)</f>
        <v>0.11848606580602684</v>
      </c>
      <c r="G56" s="13"/>
      <c r="H56" s="31">
        <f>SUM(H53:H55)</f>
        <v>36334</v>
      </c>
      <c r="I56" s="13"/>
      <c r="J56" s="32">
        <f>IF(H$12=0,0,H56/H$12)</f>
        <v>0.15983002608554123</v>
      </c>
      <c r="K56" s="16"/>
      <c r="L56" s="31">
        <f>+D56-H56</f>
        <v>-30601.059999999998</v>
      </c>
      <c r="M56" s="16"/>
      <c r="N56" s="32">
        <f>IF(H56=0,0,L56/H56)</f>
        <v>-0.84221555567787743</v>
      </c>
      <c r="O56" s="25"/>
      <c r="P56" s="31">
        <f>SUM(P53:P55)</f>
        <v>38554.98000000004</v>
      </c>
      <c r="Q56" s="13"/>
      <c r="R56" s="32">
        <f>IF(P$12=0,0,P56/P$12)</f>
        <v>8.2429746697137513E-2</v>
      </c>
      <c r="S56" s="13"/>
      <c r="T56" s="31">
        <f>SUM(T53:T55)</f>
        <v>100991</v>
      </c>
      <c r="U56" s="13"/>
      <c r="V56" s="32">
        <f>IF(T$12=0,0,T56/T$12)</f>
        <v>0.12607485269150104</v>
      </c>
      <c r="W56" s="16"/>
      <c r="X56" s="31">
        <f>+P56-T56</f>
        <v>-62436.01999999996</v>
      </c>
      <c r="Y56" s="16"/>
      <c r="Z56" s="32">
        <f>IF(T56=0,0,X56/T56)</f>
        <v>-0.61823350595597593</v>
      </c>
    </row>
    <row r="57" spans="1:26" ht="15.75" thickTop="1" x14ac:dyDescent="0.25">
      <c r="A57" s="9"/>
      <c r="C57" s="9"/>
      <c r="D57" s="17"/>
      <c r="E57" s="17"/>
      <c r="G57" s="17"/>
      <c r="H57" s="17"/>
      <c r="I57" s="17"/>
      <c r="J57" s="43"/>
      <c r="K57" s="17"/>
      <c r="L57" s="17"/>
      <c r="M57" s="17"/>
      <c r="P57" s="17"/>
      <c r="Q57" s="17"/>
      <c r="R57" s="43"/>
      <c r="S57" s="17"/>
      <c r="T57" s="17"/>
      <c r="U57" s="17"/>
      <c r="V57" s="43"/>
      <c r="W57" s="17"/>
      <c r="X57" s="17"/>
    </row>
    <row r="58" spans="1:26" x14ac:dyDescent="0.25">
      <c r="A58" s="9"/>
      <c r="B58" s="55">
        <v>44123.57216103009</v>
      </c>
      <c r="D58" s="17"/>
      <c r="E58" s="17"/>
      <c r="G58" s="17"/>
      <c r="H58" s="17"/>
      <c r="I58" s="17"/>
      <c r="J58" s="43"/>
      <c r="K58" s="17"/>
      <c r="L58" s="17"/>
      <c r="M58" s="17"/>
      <c r="P58" s="17"/>
      <c r="Q58" s="17"/>
      <c r="R58" s="43"/>
      <c r="S58" s="17"/>
      <c r="T58" s="17"/>
      <c r="U58" s="17"/>
      <c r="V58" s="43"/>
      <c r="W58" s="17"/>
      <c r="X58" s="17"/>
    </row>
    <row r="59" spans="1:26" x14ac:dyDescent="0.25">
      <c r="A59" s="9"/>
      <c r="B59" s="53" t="s">
        <v>314</v>
      </c>
      <c r="D59" s="17"/>
      <c r="E59" s="17"/>
      <c r="G59" s="17"/>
      <c r="H59" s="17"/>
      <c r="I59" s="17"/>
      <c r="J59" s="43"/>
      <c r="K59" s="17"/>
      <c r="L59" s="17"/>
      <c r="M59" s="17"/>
      <c r="P59" s="17"/>
      <c r="Q59" s="17"/>
      <c r="R59" s="43"/>
      <c r="S59" s="17"/>
      <c r="T59" s="17"/>
      <c r="U59" s="17"/>
      <c r="V59" s="43"/>
      <c r="W59" s="17"/>
      <c r="X59" s="17"/>
    </row>
    <row r="60" spans="1:26" x14ac:dyDescent="0.25">
      <c r="A60" s="9"/>
      <c r="B60" s="62"/>
      <c r="D60" s="17"/>
      <c r="E60" s="17"/>
      <c r="G60" s="17"/>
      <c r="H60" s="17"/>
      <c r="I60" s="17"/>
      <c r="J60" s="43"/>
      <c r="K60" s="17"/>
      <c r="L60" s="17"/>
      <c r="M60" s="17"/>
      <c r="P60" s="17"/>
      <c r="Q60" s="17"/>
      <c r="R60" s="43"/>
      <c r="S60" s="17"/>
      <c r="T60" s="17"/>
      <c r="U60" s="17"/>
      <c r="V60" s="43"/>
      <c r="W60" s="17"/>
      <c r="X60" s="17"/>
    </row>
    <row r="61" spans="1:26" x14ac:dyDescent="0.25">
      <c r="D61" s="17"/>
      <c r="E61" s="17"/>
      <c r="G61" s="17"/>
      <c r="H61" s="17"/>
      <c r="I61" s="17"/>
      <c r="J61" s="43"/>
      <c r="K61" s="17"/>
      <c r="L61" s="17"/>
      <c r="M61" s="17"/>
      <c r="P61" s="17"/>
      <c r="Q61" s="17"/>
      <c r="R61" s="43"/>
      <c r="S61" s="17"/>
      <c r="T61" s="17"/>
      <c r="U61" s="17"/>
      <c r="V61" s="43"/>
      <c r="W61" s="17"/>
      <c r="X61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6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304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113768.15999999999</v>
      </c>
      <c r="E12" s="4"/>
      <c r="F12" s="12"/>
      <c r="G12" s="4"/>
      <c r="H12" s="4">
        <f>SUM(OSRRefH13x_0)</f>
        <v>341981</v>
      </c>
      <c r="I12" s="4"/>
      <c r="J12" s="12"/>
      <c r="K12" s="4"/>
      <c r="L12" s="4">
        <f t="shared" ref="L12:L48" si="0">+D12-H12</f>
        <v>-228212.84000000003</v>
      </c>
      <c r="M12" s="4"/>
      <c r="N12" s="12">
        <f t="shared" ref="N12:N48" si="1">IF(H12=0,0,L12/H12)</f>
        <v>-0.66732607951903766</v>
      </c>
      <c r="O12" s="10"/>
      <c r="P12" s="4">
        <f>SUM(OSRRefP13x_0)</f>
        <v>599607.32000000007</v>
      </c>
      <c r="Q12" s="4"/>
      <c r="R12" s="12"/>
      <c r="S12" s="4"/>
      <c r="T12" s="4">
        <f>SUM(OSRRefT13x_0)</f>
        <v>947215.99999999988</v>
      </c>
      <c r="U12" s="4"/>
      <c r="V12" s="12"/>
      <c r="W12" s="4"/>
      <c r="X12" s="4">
        <f t="shared" ref="X12:X48" si="2">+P12-T12</f>
        <v>-347608.67999999982</v>
      </c>
      <c r="Y12" s="4"/>
      <c r="Z12" s="12">
        <f t="shared" ref="Z12:Z48" si="3">IF(T12=0,0,X12/T12)</f>
        <v>-0.36697931622776625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-7132.78</f>
        <v>-7132.78</v>
      </c>
      <c r="E13" s="2"/>
      <c r="F13" s="22"/>
      <c r="G13" s="2"/>
      <c r="H13" s="2">
        <v>341981</v>
      </c>
      <c r="I13" s="2"/>
      <c r="J13" s="22"/>
      <c r="K13" s="2"/>
      <c r="L13" s="2">
        <f t="shared" si="0"/>
        <v>-349113.78</v>
      </c>
      <c r="M13" s="2"/>
      <c r="N13" s="22">
        <f t="shared" si="1"/>
        <v>-1.0208572406069343</v>
      </c>
      <c r="O13" s="11"/>
      <c r="P13" s="2">
        <f>-29981.54</f>
        <v>-29981.54</v>
      </c>
      <c r="Q13" s="2"/>
      <c r="R13" s="22"/>
      <c r="S13" s="2"/>
      <c r="T13" s="2">
        <v>947215.99999999988</v>
      </c>
      <c r="U13" s="2"/>
      <c r="V13" s="22"/>
      <c r="W13" s="2"/>
      <c r="X13" s="2">
        <f t="shared" si="2"/>
        <v>-977197.53999999992</v>
      </c>
      <c r="Y13" s="2"/>
      <c r="Z13" s="22">
        <f t="shared" si="3"/>
        <v>-1.0316522736102431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--3.96</f>
        <v>3.96</v>
      </c>
      <c r="E14" s="2"/>
      <c r="F14" s="22"/>
      <c r="G14" s="2"/>
      <c r="H14" s="2"/>
      <c r="I14" s="2"/>
      <c r="J14" s="22"/>
      <c r="K14" s="2"/>
      <c r="L14" s="2">
        <f t="shared" si="0"/>
        <v>3.96</v>
      </c>
      <c r="M14" s="2"/>
      <c r="N14" s="22">
        <f t="shared" si="1"/>
        <v>0</v>
      </c>
      <c r="O14" s="11"/>
      <c r="P14" s="2">
        <f>--240.52</f>
        <v>240.52</v>
      </c>
      <c r="Q14" s="2"/>
      <c r="R14" s="22"/>
      <c r="S14" s="2"/>
      <c r="T14" s="2"/>
      <c r="U14" s="2"/>
      <c r="V14" s="22"/>
      <c r="W14" s="2"/>
      <c r="X14" s="2">
        <f t="shared" si="2"/>
        <v>240.52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--6172.1</f>
        <v>6172.1</v>
      </c>
      <c r="E15" s="2"/>
      <c r="F15" s="22"/>
      <c r="G15" s="2"/>
      <c r="H15" s="2"/>
      <c r="I15" s="2"/>
      <c r="J15" s="22"/>
      <c r="K15" s="2"/>
      <c r="L15" s="2">
        <f t="shared" si="0"/>
        <v>6172.1</v>
      </c>
      <c r="M15" s="2"/>
      <c r="N15" s="22">
        <f t="shared" si="1"/>
        <v>0</v>
      </c>
      <c r="O15" s="11"/>
      <c r="P15" s="2">
        <f>--24684.29</f>
        <v>24684.29</v>
      </c>
      <c r="Q15" s="2"/>
      <c r="R15" s="22"/>
      <c r="S15" s="2"/>
      <c r="T15" s="2"/>
      <c r="U15" s="2"/>
      <c r="V15" s="22"/>
      <c r="W15" s="2"/>
      <c r="X15" s="2">
        <f t="shared" si="2"/>
        <v>24684.29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--19.85</f>
        <v>19.850000000000001</v>
      </c>
      <c r="Q16" s="2"/>
      <c r="R16" s="22"/>
      <c r="S16" s="2"/>
      <c r="T16" s="2"/>
      <c r="U16" s="2"/>
      <c r="V16" s="22"/>
      <c r="W16" s="2"/>
      <c r="X16" s="2">
        <f t="shared" si="2"/>
        <v>19.850000000000001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--441.57</f>
        <v>441.57</v>
      </c>
      <c r="E17" s="2"/>
      <c r="F17" s="22"/>
      <c r="G17" s="2"/>
      <c r="H17" s="2"/>
      <c r="I17" s="2"/>
      <c r="J17" s="22"/>
      <c r="K17" s="2"/>
      <c r="L17" s="2">
        <f t="shared" si="0"/>
        <v>441.57</v>
      </c>
      <c r="M17" s="2"/>
      <c r="N17" s="22">
        <f t="shared" si="1"/>
        <v>0</v>
      </c>
      <c r="O17" s="11"/>
      <c r="P17" s="2">
        <f>--868.79</f>
        <v>868.79</v>
      </c>
      <c r="Q17" s="2"/>
      <c r="R17" s="22"/>
      <c r="S17" s="2"/>
      <c r="T17" s="2"/>
      <c r="U17" s="2"/>
      <c r="V17" s="22"/>
      <c r="W17" s="2"/>
      <c r="X17" s="2">
        <f t="shared" si="2"/>
        <v>868.79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--78841.84</f>
        <v>78841.84</v>
      </c>
      <c r="E19" s="2"/>
      <c r="F19" s="22"/>
      <c r="G19" s="2"/>
      <c r="H19" s="2"/>
      <c r="I19" s="2"/>
      <c r="J19" s="22"/>
      <c r="K19" s="2"/>
      <c r="L19" s="2">
        <f t="shared" si="0"/>
        <v>78841.84</v>
      </c>
      <c r="M19" s="2"/>
      <c r="N19" s="22">
        <f t="shared" si="1"/>
        <v>0</v>
      </c>
      <c r="O19" s="11"/>
      <c r="P19" s="2">
        <f>--328420.19</f>
        <v>328420.19</v>
      </c>
      <c r="Q19" s="2"/>
      <c r="R19" s="22"/>
      <c r="S19" s="2"/>
      <c r="T19" s="2"/>
      <c r="U19" s="2"/>
      <c r="V19" s="22"/>
      <c r="W19" s="2"/>
      <c r="X19" s="2">
        <f t="shared" si="2"/>
        <v>328420.19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--18938.34</f>
        <v>18938.34</v>
      </c>
      <c r="E20" s="2"/>
      <c r="F20" s="22"/>
      <c r="G20" s="2"/>
      <c r="H20" s="2"/>
      <c r="I20" s="2"/>
      <c r="J20" s="22"/>
      <c r="K20" s="2"/>
      <c r="L20" s="2">
        <f t="shared" si="0"/>
        <v>18938.34</v>
      </c>
      <c r="M20" s="2"/>
      <c r="N20" s="22">
        <f t="shared" si="1"/>
        <v>0</v>
      </c>
      <c r="O20" s="11"/>
      <c r="P20" s="2">
        <f>--78811.85</f>
        <v>78811.850000000006</v>
      </c>
      <c r="Q20" s="2"/>
      <c r="R20" s="22"/>
      <c r="S20" s="2"/>
      <c r="T20" s="2"/>
      <c r="U20" s="2"/>
      <c r="V20" s="22"/>
      <c r="W20" s="2"/>
      <c r="X20" s="2">
        <f t="shared" si="2"/>
        <v>78811.850000000006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--7527.61</f>
        <v>7527.61</v>
      </c>
      <c r="E21" s="2"/>
      <c r="F21" s="22"/>
      <c r="G21" s="2"/>
      <c r="H21" s="2"/>
      <c r="I21" s="2"/>
      <c r="J21" s="22"/>
      <c r="K21" s="2"/>
      <c r="L21" s="2">
        <f t="shared" si="0"/>
        <v>7527.61</v>
      </c>
      <c r="M21" s="2"/>
      <c r="N21" s="22">
        <f t="shared" si="1"/>
        <v>0</v>
      </c>
      <c r="O21" s="11"/>
      <c r="P21" s="2">
        <f>--38495.78</f>
        <v>38495.78</v>
      </c>
      <c r="Q21" s="2"/>
      <c r="R21" s="22"/>
      <c r="S21" s="2"/>
      <c r="T21" s="2"/>
      <c r="U21" s="2"/>
      <c r="V21" s="22"/>
      <c r="W21" s="2"/>
      <c r="X21" s="2">
        <f t="shared" si="2"/>
        <v>38495.78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--2802.54</f>
        <v>2802.54</v>
      </c>
      <c r="E22" s="2"/>
      <c r="F22" s="22"/>
      <c r="G22" s="2"/>
      <c r="H22" s="2"/>
      <c r="I22" s="2"/>
      <c r="J22" s="22"/>
      <c r="K22" s="2"/>
      <c r="L22" s="2">
        <f t="shared" si="0"/>
        <v>2802.54</v>
      </c>
      <c r="M22" s="2"/>
      <c r="N22" s="22">
        <f t="shared" si="1"/>
        <v>0</v>
      </c>
      <c r="O22" s="11"/>
      <c r="P22" s="2">
        <f>--9783.18</f>
        <v>9783.18</v>
      </c>
      <c r="Q22" s="2"/>
      <c r="R22" s="22"/>
      <c r="S22" s="2"/>
      <c r="T22" s="2"/>
      <c r="U22" s="2"/>
      <c r="V22" s="22"/>
      <c r="W22" s="2"/>
      <c r="X22" s="2">
        <f t="shared" si="2"/>
        <v>9783.18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--2962.32</f>
        <v>2962.32</v>
      </c>
      <c r="E23" s="2"/>
      <c r="F23" s="22"/>
      <c r="G23" s="2"/>
      <c r="H23" s="2"/>
      <c r="I23" s="2"/>
      <c r="J23" s="22"/>
      <c r="K23" s="2"/>
      <c r="L23" s="2">
        <f t="shared" si="0"/>
        <v>2962.32</v>
      </c>
      <c r="M23" s="2"/>
      <c r="N23" s="22">
        <f t="shared" si="1"/>
        <v>0</v>
      </c>
      <c r="O23" s="11"/>
      <c r="P23" s="2">
        <f>--11331.52</f>
        <v>11331.52</v>
      </c>
      <c r="Q23" s="2"/>
      <c r="R23" s="22"/>
      <c r="S23" s="2"/>
      <c r="T23" s="2"/>
      <c r="U23" s="2"/>
      <c r="V23" s="22"/>
      <c r="W23" s="2"/>
      <c r="X23" s="2">
        <f t="shared" si="2"/>
        <v>11331.52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--2575.36</f>
        <v>2575.36</v>
      </c>
      <c r="E24" s="2"/>
      <c r="F24" s="22"/>
      <c r="G24" s="2"/>
      <c r="H24" s="2"/>
      <c r="I24" s="2"/>
      <c r="J24" s="22"/>
      <c r="K24" s="2"/>
      <c r="L24" s="2">
        <f t="shared" si="0"/>
        <v>2575.36</v>
      </c>
      <c r="M24" s="2"/>
      <c r="N24" s="22">
        <f t="shared" si="1"/>
        <v>0</v>
      </c>
      <c r="O24" s="11"/>
      <c r="P24" s="2">
        <f>--92006.44</f>
        <v>92006.44</v>
      </c>
      <c r="Q24" s="2"/>
      <c r="R24" s="22"/>
      <c r="S24" s="2"/>
      <c r="T24" s="2"/>
      <c r="U24" s="2"/>
      <c r="V24" s="22"/>
      <c r="W24" s="2"/>
      <c r="X24" s="2">
        <f t="shared" si="2"/>
        <v>92006.44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--810.33</f>
        <v>810.33</v>
      </c>
      <c r="E26" s="2"/>
      <c r="F26" s="22"/>
      <c r="G26" s="2"/>
      <c r="H26" s="2"/>
      <c r="I26" s="2"/>
      <c r="J26" s="22"/>
      <c r="K26" s="2"/>
      <c r="L26" s="2">
        <f t="shared" si="0"/>
        <v>810.33</v>
      </c>
      <c r="M26" s="2"/>
      <c r="N26" s="22">
        <f t="shared" si="1"/>
        <v>0</v>
      </c>
      <c r="O26" s="11"/>
      <c r="P26" s="2">
        <f>--2670.74</f>
        <v>2670.74</v>
      </c>
      <c r="Q26" s="2"/>
      <c r="R26" s="22"/>
      <c r="S26" s="2"/>
      <c r="T26" s="2"/>
      <c r="U26" s="2"/>
      <c r="V26" s="22"/>
      <c r="W26" s="2"/>
      <c r="X26" s="2">
        <f t="shared" si="2"/>
        <v>2670.74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"4131", " - ", "NON-TAXABLE SALES-FOOD")</f>
        <v xml:space="preserve">          4131 - NON-TAXABLE SALES-FOOD</v>
      </c>
      <c r="C27" s="11"/>
      <c r="D27" s="2">
        <f>--923.18</f>
        <v>923.18</v>
      </c>
      <c r="E27" s="2"/>
      <c r="F27" s="22"/>
      <c r="G27" s="2"/>
      <c r="H27" s="2"/>
      <c r="I27" s="2"/>
      <c r="J27" s="22"/>
      <c r="K27" s="2"/>
      <c r="L27" s="2">
        <f t="shared" si="0"/>
        <v>923.18</v>
      </c>
      <c r="M27" s="2"/>
      <c r="N27" s="22">
        <f t="shared" si="1"/>
        <v>0</v>
      </c>
      <c r="O27" s="11"/>
      <c r="P27" s="2">
        <f>--2171.26</f>
        <v>2171.2600000000002</v>
      </c>
      <c r="Q27" s="2"/>
      <c r="R27" s="22"/>
      <c r="S27" s="2"/>
      <c r="T27" s="2"/>
      <c r="U27" s="2"/>
      <c r="V27" s="22"/>
      <c r="W27" s="2"/>
      <c r="X27" s="2">
        <f t="shared" si="2"/>
        <v>2171.2600000000002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"4132", " - ", "NON-TAXABLE SALES-JUICE")</f>
        <v xml:space="preserve">          4132 - NON-TAXABLE SALES-JUICE</v>
      </c>
      <c r="C28" s="11"/>
      <c r="D28" s="2">
        <f t="shared" ref="D28:D31" si="4">0</f>
        <v>0</v>
      </c>
      <c r="E28" s="2"/>
      <c r="F28" s="22"/>
      <c r="G28" s="2"/>
      <c r="H28" s="2"/>
      <c r="I28" s="2"/>
      <c r="J28" s="22"/>
      <c r="K28" s="2"/>
      <c r="L28" s="2">
        <f t="shared" si="0"/>
        <v>0</v>
      </c>
      <c r="M28" s="2"/>
      <c r="N28" s="22">
        <f t="shared" si="1"/>
        <v>0</v>
      </c>
      <c r="O28" s="11"/>
      <c r="P28" s="2">
        <f>--22.49</f>
        <v>22.49</v>
      </c>
      <c r="Q28" s="2"/>
      <c r="R28" s="22"/>
      <c r="S28" s="2"/>
      <c r="T28" s="2"/>
      <c r="U28" s="2"/>
      <c r="V28" s="22"/>
      <c r="W28" s="2"/>
      <c r="X28" s="2">
        <f t="shared" si="2"/>
        <v>22.49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"4133", " - ", "NON-TAXABLE SALES-CANDY")</f>
        <v xml:space="preserve">          4133 - NON-TAXABLE SALES-CANDY</v>
      </c>
      <c r="C29" s="11"/>
      <c r="D29" s="2">
        <f t="shared" si="4"/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--80.71</f>
        <v>80.709999999999994</v>
      </c>
      <c r="Q29" s="2"/>
      <c r="R29" s="22"/>
      <c r="S29" s="2"/>
      <c r="T29" s="2"/>
      <c r="U29" s="2"/>
      <c r="V29" s="22"/>
      <c r="W29" s="2"/>
      <c r="X29" s="2">
        <f t="shared" si="2"/>
        <v>80.709999999999994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"4134", " - ", "NON-TAXABLE SALES-SODA")</f>
        <v xml:space="preserve">          4134 - NON-TAXABLE SALES-SODA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--45.53</f>
        <v>45.53</v>
      </c>
      <c r="Q30" s="2"/>
      <c r="R30" s="22"/>
      <c r="S30" s="2"/>
      <c r="T30" s="2"/>
      <c r="U30" s="2"/>
      <c r="V30" s="22"/>
      <c r="W30" s="2"/>
      <c r="X30" s="2">
        <f t="shared" si="2"/>
        <v>45.53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"4137", " - ", "NON-TAXABLE SALES-WATER")</f>
        <v xml:space="preserve">          4137 - NON-TAXABLE SALES-WATER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--68.25</f>
        <v>68.25</v>
      </c>
      <c r="Q31" s="2"/>
      <c r="R31" s="22"/>
      <c r="S31" s="2"/>
      <c r="T31" s="2"/>
      <c r="U31" s="2"/>
      <c r="V31" s="22"/>
      <c r="W31" s="2"/>
      <c r="X31" s="2">
        <f t="shared" si="2"/>
        <v>68.25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"4140", " - ", "NON-TAXABLE SALES-LOGO CLOTHIN")</f>
        <v xml:space="preserve">          4140 - NON-TAXABLE SALES-LOGO CLOTHIN</v>
      </c>
      <c r="C32" s="11"/>
      <c r="D32" s="2">
        <f>--3339.7</f>
        <v>3339.7</v>
      </c>
      <c r="E32" s="2"/>
      <c r="F32" s="22"/>
      <c r="G32" s="2"/>
      <c r="H32" s="2"/>
      <c r="I32" s="2"/>
      <c r="J32" s="22"/>
      <c r="K32" s="2"/>
      <c r="L32" s="2">
        <f t="shared" si="0"/>
        <v>3339.7</v>
      </c>
      <c r="M32" s="2"/>
      <c r="N32" s="22">
        <f t="shared" si="1"/>
        <v>0</v>
      </c>
      <c r="O32" s="11"/>
      <c r="P32" s="2">
        <f>--17452.44</f>
        <v>17452.439999999999</v>
      </c>
      <c r="Q32" s="2"/>
      <c r="R32" s="22"/>
      <c r="S32" s="2"/>
      <c r="T32" s="2"/>
      <c r="U32" s="2"/>
      <c r="V32" s="22"/>
      <c r="W32" s="2"/>
      <c r="X32" s="2">
        <f t="shared" si="2"/>
        <v>17452.439999999999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"4141", " - ", "NON-TAXABLE SALES-LOGO GIFTS")</f>
        <v xml:space="preserve">          4141 - NON-TAXABLE SALES-LOGO GIFTS</v>
      </c>
      <c r="C33" s="11"/>
      <c r="D33" s="2">
        <f>--555.74</f>
        <v>555.74</v>
      </c>
      <c r="E33" s="2"/>
      <c r="F33" s="22"/>
      <c r="G33" s="2"/>
      <c r="H33" s="2"/>
      <c r="I33" s="2"/>
      <c r="J33" s="22"/>
      <c r="K33" s="2"/>
      <c r="L33" s="2">
        <f t="shared" si="0"/>
        <v>555.74</v>
      </c>
      <c r="M33" s="2"/>
      <c r="N33" s="22">
        <f t="shared" si="1"/>
        <v>0</v>
      </c>
      <c r="O33" s="11"/>
      <c r="P33" s="2">
        <f>--2487.49</f>
        <v>2487.4899999999998</v>
      </c>
      <c r="Q33" s="2"/>
      <c r="R33" s="22"/>
      <c r="S33" s="2"/>
      <c r="T33" s="2"/>
      <c r="U33" s="2"/>
      <c r="V33" s="22"/>
      <c r="W33" s="2"/>
      <c r="X33" s="2">
        <f t="shared" si="2"/>
        <v>2487.4899999999998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"4142", " - ", "NON-TAXABLE SALES-EVERYDAY GIF")</f>
        <v xml:space="preserve">          4142 - NON-TAXABLE SALES-EVERYDAY GIF</v>
      </c>
      <c r="C34" s="11"/>
      <c r="D34" s="2">
        <f>--30.16</f>
        <v>30.16</v>
      </c>
      <c r="E34" s="2"/>
      <c r="F34" s="22"/>
      <c r="G34" s="2"/>
      <c r="H34" s="2"/>
      <c r="I34" s="2"/>
      <c r="J34" s="22"/>
      <c r="K34" s="2"/>
      <c r="L34" s="2">
        <f t="shared" si="0"/>
        <v>30.16</v>
      </c>
      <c r="M34" s="2"/>
      <c r="N34" s="22">
        <f t="shared" si="1"/>
        <v>0</v>
      </c>
      <c r="O34" s="11"/>
      <c r="P34" s="2">
        <f>--1003.75</f>
        <v>1003.75</v>
      </c>
      <c r="Q34" s="2"/>
      <c r="R34" s="22"/>
      <c r="S34" s="2"/>
      <c r="T34" s="2"/>
      <c r="U34" s="2"/>
      <c r="V34" s="22"/>
      <c r="W34" s="2"/>
      <c r="X34" s="2">
        <f t="shared" si="2"/>
        <v>1003.75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"4143", " - ", "NON-TAXABLE SALES-CARDS")</f>
        <v xml:space="preserve">          4143 - NON-TAXABLE SALES-CARDS</v>
      </c>
      <c r="C35" s="11"/>
      <c r="D35" s="2">
        <f>0</f>
        <v>0</v>
      </c>
      <c r="E35" s="2"/>
      <c r="F35" s="22"/>
      <c r="G35" s="2"/>
      <c r="H35" s="2"/>
      <c r="I35" s="2"/>
      <c r="J35" s="22"/>
      <c r="K35" s="2"/>
      <c r="L35" s="2">
        <f t="shared" si="0"/>
        <v>0</v>
      </c>
      <c r="M35" s="2"/>
      <c r="N35" s="22">
        <f t="shared" si="1"/>
        <v>0</v>
      </c>
      <c r="O35" s="11"/>
      <c r="P35" s="2">
        <f>--19.98</f>
        <v>19.98</v>
      </c>
      <c r="Q35" s="2"/>
      <c r="R35" s="22"/>
      <c r="S35" s="2"/>
      <c r="T35" s="2"/>
      <c r="U35" s="2"/>
      <c r="V35" s="22"/>
      <c r="W35" s="2"/>
      <c r="X35" s="2">
        <f t="shared" si="2"/>
        <v>19.98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"4144", " - ", "NON-TAXABLE SALES-ACCESSORIES")</f>
        <v xml:space="preserve">          4144 - NON-TAXABLE SALES-ACCESSORIES</v>
      </c>
      <c r="C36" s="11"/>
      <c r="D36" s="2">
        <f>--59.95</f>
        <v>59.95</v>
      </c>
      <c r="E36" s="2"/>
      <c r="F36" s="22"/>
      <c r="G36" s="2"/>
      <c r="H36" s="2"/>
      <c r="I36" s="2"/>
      <c r="J36" s="22"/>
      <c r="K36" s="2"/>
      <c r="L36" s="2">
        <f t="shared" si="0"/>
        <v>59.95</v>
      </c>
      <c r="M36" s="2"/>
      <c r="N36" s="22">
        <f t="shared" si="1"/>
        <v>0</v>
      </c>
      <c r="O36" s="11"/>
      <c r="P36" s="2">
        <f>--215.75</f>
        <v>215.75</v>
      </c>
      <c r="Q36" s="2"/>
      <c r="R36" s="22"/>
      <c r="S36" s="2"/>
      <c r="T36" s="2"/>
      <c r="U36" s="2"/>
      <c r="V36" s="22"/>
      <c r="W36" s="2"/>
      <c r="X36" s="2">
        <f t="shared" si="2"/>
        <v>215.75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"4145", " - ", "NON-TAXABLE SALES-SPECIAL ORDE")</f>
        <v xml:space="preserve">          4145 - NON-TAXABLE SALES-SPECIAL ORDE</v>
      </c>
      <c r="C37" s="11"/>
      <c r="D37" s="2">
        <f>0</f>
        <v>0</v>
      </c>
      <c r="E37" s="2"/>
      <c r="F37" s="22"/>
      <c r="G37" s="2"/>
      <c r="H37" s="2"/>
      <c r="I37" s="2"/>
      <c r="J37" s="22"/>
      <c r="K37" s="2"/>
      <c r="L37" s="2">
        <f t="shared" si="0"/>
        <v>0</v>
      </c>
      <c r="M37" s="2"/>
      <c r="N37" s="22">
        <f t="shared" si="1"/>
        <v>0</v>
      </c>
      <c r="O37" s="11"/>
      <c r="P37" s="2">
        <f>--35846</f>
        <v>35846</v>
      </c>
      <c r="Q37" s="2"/>
      <c r="R37" s="22"/>
      <c r="S37" s="2"/>
      <c r="T37" s="2"/>
      <c r="U37" s="2"/>
      <c r="V37" s="22"/>
      <c r="W37" s="2"/>
      <c r="X37" s="2">
        <f t="shared" si="2"/>
        <v>35846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>-22.49</f>
        <v>-22.49</v>
      </c>
      <c r="E38" s="2"/>
      <c r="F38" s="22"/>
      <c r="G38" s="2"/>
      <c r="H38" s="2"/>
      <c r="I38" s="2"/>
      <c r="J38" s="22"/>
      <c r="K38" s="2"/>
      <c r="L38" s="2">
        <f t="shared" si="0"/>
        <v>-22.49</v>
      </c>
      <c r="M38" s="2"/>
      <c r="N38" s="22">
        <f t="shared" si="1"/>
        <v>0</v>
      </c>
      <c r="O38" s="11"/>
      <c r="P38" s="2">
        <f>-28.87</f>
        <v>-28.87</v>
      </c>
      <c r="Q38" s="2"/>
      <c r="R38" s="22"/>
      <c r="S38" s="2"/>
      <c r="T38" s="2"/>
      <c r="U38" s="2"/>
      <c r="V38" s="22"/>
      <c r="W38" s="2"/>
      <c r="X38" s="2">
        <f t="shared" si="2"/>
        <v>-28.87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>-132.71</f>
        <v>-132.71</v>
      </c>
      <c r="E39" s="2"/>
      <c r="F39" s="22"/>
      <c r="G39" s="2"/>
      <c r="H39" s="2"/>
      <c r="I39" s="2"/>
      <c r="J39" s="22"/>
      <c r="K39" s="2"/>
      <c r="L39" s="2">
        <f t="shared" si="0"/>
        <v>-132.71</v>
      </c>
      <c r="M39" s="2"/>
      <c r="N39" s="22">
        <f t="shared" si="1"/>
        <v>0</v>
      </c>
      <c r="O39" s="11"/>
      <c r="P39" s="2">
        <f>-408.7</f>
        <v>-408.7</v>
      </c>
      <c r="Q39" s="2"/>
      <c r="R39" s="22"/>
      <c r="S39" s="2"/>
      <c r="T39" s="2"/>
      <c r="U39" s="2"/>
      <c r="V39" s="22"/>
      <c r="W39" s="2"/>
      <c r="X39" s="2">
        <f t="shared" si="2"/>
        <v>-408.7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"4240", " - ", "SALES RETURN TAXABLE-LOGO CLOT")</f>
        <v xml:space="preserve">          4240 - SALES RETURN TAXABLE-LOGO CLOT</v>
      </c>
      <c r="C40" s="11"/>
      <c r="D40" s="2">
        <f>-3453.14</f>
        <v>-3453.14</v>
      </c>
      <c r="E40" s="2"/>
      <c r="F40" s="22"/>
      <c r="G40" s="2"/>
      <c r="H40" s="2"/>
      <c r="I40" s="2"/>
      <c r="J40" s="22"/>
      <c r="K40" s="2"/>
      <c r="L40" s="2">
        <f t="shared" si="0"/>
        <v>-3453.14</v>
      </c>
      <c r="M40" s="2"/>
      <c r="N40" s="22">
        <f t="shared" si="1"/>
        <v>0</v>
      </c>
      <c r="O40" s="11"/>
      <c r="P40" s="2">
        <f>-11609.96</f>
        <v>-11609.96</v>
      </c>
      <c r="Q40" s="2"/>
      <c r="R40" s="22"/>
      <c r="S40" s="2"/>
      <c r="T40" s="2"/>
      <c r="U40" s="2"/>
      <c r="V40" s="22"/>
      <c r="W40" s="2"/>
      <c r="X40" s="2">
        <f t="shared" si="2"/>
        <v>-11609.96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"4241", " - ", "SALES RETURN TAXABLE-LOGO GIFT")</f>
        <v xml:space="preserve">          4241 - SALES RETURN TAXABLE-LOGO GIFT</v>
      </c>
      <c r="C41" s="11"/>
      <c r="D41" s="2">
        <f>-754.62</f>
        <v>-754.62</v>
      </c>
      <c r="E41" s="2"/>
      <c r="F41" s="22"/>
      <c r="G41" s="2"/>
      <c r="H41" s="2"/>
      <c r="I41" s="2"/>
      <c r="J41" s="22"/>
      <c r="K41" s="2"/>
      <c r="L41" s="2">
        <f t="shared" si="0"/>
        <v>-754.62</v>
      </c>
      <c r="M41" s="2"/>
      <c r="N41" s="22">
        <f t="shared" si="1"/>
        <v>0</v>
      </c>
      <c r="O41" s="11"/>
      <c r="P41" s="2">
        <f>-1561.36</f>
        <v>-1561.36</v>
      </c>
      <c r="Q41" s="2"/>
      <c r="R41" s="22"/>
      <c r="S41" s="2"/>
      <c r="T41" s="2"/>
      <c r="U41" s="2"/>
      <c r="V41" s="22"/>
      <c r="W41" s="2"/>
      <c r="X41" s="2">
        <f t="shared" si="2"/>
        <v>-1561.36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"4242", " - ", "SALES RETURN TAXABLE-EVERYDAY")</f>
        <v xml:space="preserve">          4242 - SALES RETURN TAXABLE-EVERYDAY</v>
      </c>
      <c r="C42" s="11"/>
      <c r="D42" s="2">
        <f>-405.07</f>
        <v>-405.07</v>
      </c>
      <c r="E42" s="2"/>
      <c r="F42" s="22"/>
      <c r="G42" s="2"/>
      <c r="H42" s="2"/>
      <c r="I42" s="2"/>
      <c r="J42" s="22"/>
      <c r="K42" s="2"/>
      <c r="L42" s="2">
        <f t="shared" si="0"/>
        <v>-405.07</v>
      </c>
      <c r="M42" s="2"/>
      <c r="N42" s="22">
        <f t="shared" si="1"/>
        <v>0</v>
      </c>
      <c r="O42" s="11"/>
      <c r="P42" s="2">
        <f>-1054.56</f>
        <v>-1054.56</v>
      </c>
      <c r="Q42" s="2"/>
      <c r="R42" s="22"/>
      <c r="S42" s="2"/>
      <c r="T42" s="2"/>
      <c r="U42" s="2"/>
      <c r="V42" s="22"/>
      <c r="W42" s="2"/>
      <c r="X42" s="2">
        <f t="shared" si="2"/>
        <v>-1054.56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"4243", " - ", "SALES RETURN TAXABLE-CARDS")</f>
        <v xml:space="preserve">          4243 - SALES RETURN TAXABLE-CARDS</v>
      </c>
      <c r="C43" s="11"/>
      <c r="D43" s="2">
        <f>-59.94</f>
        <v>-59.94</v>
      </c>
      <c r="E43" s="2"/>
      <c r="F43" s="22"/>
      <c r="G43" s="2"/>
      <c r="H43" s="2"/>
      <c r="I43" s="2"/>
      <c r="J43" s="22"/>
      <c r="K43" s="2"/>
      <c r="L43" s="2">
        <f t="shared" si="0"/>
        <v>-59.94</v>
      </c>
      <c r="M43" s="2"/>
      <c r="N43" s="22">
        <f t="shared" si="1"/>
        <v>0</v>
      </c>
      <c r="O43" s="11"/>
      <c r="P43" s="2">
        <f>-153.37</f>
        <v>-153.37</v>
      </c>
      <c r="Q43" s="2"/>
      <c r="R43" s="22"/>
      <c r="S43" s="2"/>
      <c r="T43" s="2"/>
      <c r="U43" s="2"/>
      <c r="V43" s="22"/>
      <c r="W43" s="2"/>
      <c r="X43" s="2">
        <f t="shared" si="2"/>
        <v>-153.37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"4244", " - ", "SALES RETURN TAXABLE-ACCESSORI")</f>
        <v xml:space="preserve">          4244 - SALES RETURN TAXABLE-ACCESSORI</v>
      </c>
      <c r="C44" s="11"/>
      <c r="D44" s="2">
        <f>-60</f>
        <v>-60</v>
      </c>
      <c r="E44" s="2"/>
      <c r="F44" s="22"/>
      <c r="G44" s="2"/>
      <c r="H44" s="2"/>
      <c r="I44" s="2"/>
      <c r="J44" s="22"/>
      <c r="K44" s="2"/>
      <c r="L44" s="2">
        <f t="shared" si="0"/>
        <v>-60</v>
      </c>
      <c r="M44" s="2"/>
      <c r="N44" s="22">
        <f t="shared" si="1"/>
        <v>0</v>
      </c>
      <c r="O44" s="11"/>
      <c r="P44" s="2">
        <f>-410.99</f>
        <v>-410.99</v>
      </c>
      <c r="Q44" s="2"/>
      <c r="R44" s="22"/>
      <c r="S44" s="2"/>
      <c r="T44" s="2"/>
      <c r="U44" s="2"/>
      <c r="V44" s="22"/>
      <c r="W44" s="2"/>
      <c r="X44" s="2">
        <f t="shared" si="2"/>
        <v>-410.99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"4245", " - ", "SALES RETURN TAXABLE-SPECIAL O")</f>
        <v xml:space="preserve">          4245 - SALES RETURN TAXABLE-SPECIAL O</v>
      </c>
      <c r="C45" s="11"/>
      <c r="D45" s="2">
        <f>-3.99</f>
        <v>-3.99</v>
      </c>
      <c r="E45" s="2"/>
      <c r="F45" s="22"/>
      <c r="G45" s="2"/>
      <c r="H45" s="2"/>
      <c r="I45" s="2"/>
      <c r="J45" s="22"/>
      <c r="K45" s="2"/>
      <c r="L45" s="2">
        <f t="shared" si="0"/>
        <v>-3.99</v>
      </c>
      <c r="M45" s="2"/>
      <c r="N45" s="22">
        <f t="shared" si="1"/>
        <v>0</v>
      </c>
      <c r="O45" s="11"/>
      <c r="P45" s="2">
        <f>-1182.95</f>
        <v>-1182.95</v>
      </c>
      <c r="Q45" s="2"/>
      <c r="R45" s="22"/>
      <c r="S45" s="2"/>
      <c r="T45" s="2"/>
      <c r="U45" s="2"/>
      <c r="V45" s="22"/>
      <c r="W45" s="2"/>
      <c r="X45" s="2">
        <f t="shared" si="2"/>
        <v>-1182.95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"4340", " - ", "SALES RETURN NON TAXABLE-LOGO")</f>
        <v xml:space="preserve">          4340 - SALES RETURN NON TAXABLE-LOGO</v>
      </c>
      <c r="C46" s="11"/>
      <c r="D46" s="2">
        <f>-36.9</f>
        <v>-36.9</v>
      </c>
      <c r="E46" s="2"/>
      <c r="F46" s="22"/>
      <c r="G46" s="2"/>
      <c r="H46" s="2"/>
      <c r="I46" s="2"/>
      <c r="J46" s="22"/>
      <c r="K46" s="2"/>
      <c r="L46" s="2">
        <f t="shared" si="0"/>
        <v>-36.9</v>
      </c>
      <c r="M46" s="2"/>
      <c r="N46" s="22">
        <f t="shared" si="1"/>
        <v>0</v>
      </c>
      <c r="O46" s="11"/>
      <c r="P46" s="2">
        <f>-541.04</f>
        <v>-541.04</v>
      </c>
      <c r="Q46" s="2"/>
      <c r="R46" s="22"/>
      <c r="S46" s="2"/>
      <c r="T46" s="2"/>
      <c r="U46" s="2"/>
      <c r="V46" s="22"/>
      <c r="W46" s="2"/>
      <c r="X46" s="2">
        <f t="shared" si="2"/>
        <v>-541.04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"4341", " - ", "SALES RETURN NON TAXABLE-LOGO")</f>
        <v xml:space="preserve">          4341 - SALES RETURN NON TAXABLE-LOGO</v>
      </c>
      <c r="C47" s="11"/>
      <c r="D47" s="2">
        <f>-129.95</f>
        <v>-129.94999999999999</v>
      </c>
      <c r="E47" s="2"/>
      <c r="F47" s="22"/>
      <c r="G47" s="2"/>
      <c r="H47" s="2"/>
      <c r="I47" s="2"/>
      <c r="J47" s="22"/>
      <c r="K47" s="2"/>
      <c r="L47" s="2">
        <f t="shared" si="0"/>
        <v>-129.94999999999999</v>
      </c>
      <c r="M47" s="2"/>
      <c r="N47" s="22">
        <f t="shared" si="1"/>
        <v>0</v>
      </c>
      <c r="O47" s="11"/>
      <c r="P47" s="2">
        <f>-146.9</f>
        <v>-146.9</v>
      </c>
      <c r="Q47" s="2"/>
      <c r="R47" s="22"/>
      <c r="S47" s="2"/>
      <c r="T47" s="2"/>
      <c r="U47" s="2"/>
      <c r="V47" s="22"/>
      <c r="W47" s="2"/>
      <c r="X47" s="2">
        <f t="shared" si="2"/>
        <v>-146.9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"4342", " - ", "SALES RETURN NON TAXABLE-EVERY")</f>
        <v xml:space="preserve">          4342 - SALES RETURN NON TAXABLE-EVERY</v>
      </c>
      <c r="C48" s="11"/>
      <c r="D48" s="2">
        <f>-24.95</f>
        <v>-24.95</v>
      </c>
      <c r="E48" s="2"/>
      <c r="F48" s="22"/>
      <c r="G48" s="2"/>
      <c r="H48" s="2"/>
      <c r="I48" s="2"/>
      <c r="J48" s="22"/>
      <c r="K48" s="2"/>
      <c r="L48" s="2">
        <f t="shared" si="0"/>
        <v>-24.95</v>
      </c>
      <c r="M48" s="2"/>
      <c r="N48" s="22">
        <f t="shared" si="1"/>
        <v>0</v>
      </c>
      <c r="O48" s="11"/>
      <c r="P48" s="2">
        <f>-118.7</f>
        <v>-118.7</v>
      </c>
      <c r="Q48" s="2"/>
      <c r="R48" s="22"/>
      <c r="S48" s="2"/>
      <c r="T48" s="2"/>
      <c r="U48" s="2"/>
      <c r="V48" s="22"/>
      <c r="W48" s="2"/>
      <c r="X48" s="2">
        <f t="shared" si="2"/>
        <v>-118.7</v>
      </c>
      <c r="Y48" s="2"/>
      <c r="Z48" s="22">
        <f t="shared" si="3"/>
        <v>0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collapsed="1" x14ac:dyDescent="0.25">
      <c r="A50" s="10"/>
      <c r="B50" s="25" t="s">
        <v>8</v>
      </c>
      <c r="C50" s="10"/>
      <c r="D50" s="4">
        <f>SUM(OSRRefD16x_0)</f>
        <v>68684.60000000002</v>
      </c>
      <c r="E50" s="4"/>
      <c r="F50" s="12">
        <f t="shared" ref="F50:F66" si="5">IF(D$12=0,0,D50/D$12)</f>
        <v>0.60372427575518517</v>
      </c>
      <c r="G50" s="4"/>
      <c r="H50" s="4">
        <f>SUM(OSRRefH16x_0)</f>
        <v>157161</v>
      </c>
      <c r="I50" s="4"/>
      <c r="J50" s="12">
        <f t="shared" ref="J50:J66" si="6">IF(H$12=0,0,H50/H$12)</f>
        <v>0.45956061886479072</v>
      </c>
      <c r="K50" s="4"/>
      <c r="L50" s="4">
        <f t="shared" ref="L50:L66" si="7">+D50-H50</f>
        <v>-88476.39999999998</v>
      </c>
      <c r="M50" s="4"/>
      <c r="N50" s="12">
        <f t="shared" ref="N50:N66" si="8">IF(H50=0,0,L50/H50)</f>
        <v>-0.56296663930618907</v>
      </c>
      <c r="O50" s="10"/>
      <c r="P50" s="4">
        <f>SUM(OSRRefP16x_0)</f>
        <v>359280.54000000004</v>
      </c>
      <c r="Q50" s="4"/>
      <c r="R50" s="12">
        <f t="shared" ref="R50:R66" si="9">IF(P$12=0,0,P50/P$12)</f>
        <v>0.59919305187935334</v>
      </c>
      <c r="S50" s="4"/>
      <c r="T50" s="4">
        <f>SUM(OSRRefT16x_0)</f>
        <v>433347</v>
      </c>
      <c r="U50" s="4"/>
      <c r="V50" s="12">
        <f t="shared" ref="V50:V66" si="10">IF(T$12=0,0,T50/T$12)</f>
        <v>0.45749543926622865</v>
      </c>
      <c r="W50" s="4"/>
      <c r="X50" s="4">
        <f t="shared" ref="X50:X66" si="11">+P50-T50</f>
        <v>-74066.459999999963</v>
      </c>
      <c r="Y50" s="4"/>
      <c r="Z50" s="12">
        <f t="shared" ref="Z50:Z66" si="12">IF(T50=0,0,X50/T50)</f>
        <v>-0.17091720953416076</v>
      </c>
    </row>
    <row r="51" spans="1:26" s="24" customFormat="1" hidden="1" outlineLevel="1" x14ac:dyDescent="0.25">
      <c r="A51" s="51"/>
      <c r="B51" s="11" t="str">
        <f>CONCATENATE("          ", "5000", " - ", "PURCHASES @ COST")</f>
        <v xml:space="preserve">          5000 - PURCHASES @ COST</v>
      </c>
      <c r="C51" s="11"/>
      <c r="D51" s="2"/>
      <c r="E51" s="2"/>
      <c r="F51" s="22">
        <f t="shared" si="5"/>
        <v>0</v>
      </c>
      <c r="G51" s="2"/>
      <c r="H51" s="2">
        <v>157161</v>
      </c>
      <c r="I51" s="2"/>
      <c r="J51" s="22">
        <f t="shared" si="6"/>
        <v>0.45956061886479072</v>
      </c>
      <c r="K51" s="2"/>
      <c r="L51" s="2">
        <f t="shared" si="7"/>
        <v>-157161</v>
      </c>
      <c r="M51" s="2"/>
      <c r="N51" s="22">
        <f t="shared" si="8"/>
        <v>-1</v>
      </c>
      <c r="O51" s="11"/>
      <c r="P51" s="2"/>
      <c r="Q51" s="2"/>
      <c r="R51" s="22">
        <f t="shared" si="9"/>
        <v>0</v>
      </c>
      <c r="S51" s="2"/>
      <c r="T51" s="2">
        <v>433347</v>
      </c>
      <c r="U51" s="2"/>
      <c r="V51" s="22">
        <f t="shared" si="10"/>
        <v>0.45749543926622865</v>
      </c>
      <c r="W51" s="2"/>
      <c r="X51" s="2">
        <f t="shared" si="11"/>
        <v>-433347</v>
      </c>
      <c r="Y51" s="2"/>
      <c r="Z51" s="22">
        <f t="shared" si="12"/>
        <v>-1</v>
      </c>
    </row>
    <row r="52" spans="1:26" s="24" customFormat="1" hidden="1" outlineLevel="1" x14ac:dyDescent="0.25">
      <c r="A52" s="51"/>
      <c r="B52" s="11" t="str">
        <f>CONCATENATE("          ", "5027", " - ", "PURCHASES @ COST-SCHOOL SUPPLI")</f>
        <v xml:space="preserve">          5027 - PURCHASES @ COST-SCHOOL SUPPLI</v>
      </c>
      <c r="C52" s="11"/>
      <c r="D52" s="2"/>
      <c r="E52" s="2"/>
      <c r="F52" s="22">
        <f t="shared" si="5"/>
        <v>0</v>
      </c>
      <c r="G52" s="2"/>
      <c r="H52" s="2"/>
      <c r="I52" s="2"/>
      <c r="J52" s="22">
        <f t="shared" si="6"/>
        <v>0</v>
      </c>
      <c r="K52" s="2"/>
      <c r="L52" s="2">
        <f t="shared" si="7"/>
        <v>0</v>
      </c>
      <c r="M52" s="2"/>
      <c r="N52" s="22">
        <f t="shared" si="8"/>
        <v>0</v>
      </c>
      <c r="O52" s="11"/>
      <c r="P52" s="2">
        <v>8503.4</v>
      </c>
      <c r="Q52" s="2"/>
      <c r="R52" s="22">
        <f t="shared" si="9"/>
        <v>1.4181614727451958E-2</v>
      </c>
      <c r="S52" s="2"/>
      <c r="T52" s="2"/>
      <c r="U52" s="2"/>
      <c r="V52" s="22">
        <f t="shared" si="10"/>
        <v>0</v>
      </c>
      <c r="W52" s="2"/>
      <c r="X52" s="2">
        <f t="shared" si="11"/>
        <v>8503.4</v>
      </c>
      <c r="Y52" s="2"/>
      <c r="Z52" s="22">
        <f t="shared" si="12"/>
        <v>0</v>
      </c>
    </row>
    <row r="53" spans="1:26" s="24" customFormat="1" hidden="1" outlineLevel="1" x14ac:dyDescent="0.25">
      <c r="A53" s="51"/>
      <c r="B53" s="11" t="str">
        <f>CONCATENATE("          ", "5028", " - ", "PURCHASES @ COST-ART/TECH")</f>
        <v xml:space="preserve">          5028 - PURCHASES @ COST-ART/TECH</v>
      </c>
      <c r="C53" s="11"/>
      <c r="D53" s="2">
        <v>-83.4</v>
      </c>
      <c r="E53" s="2"/>
      <c r="F53" s="22">
        <f t="shared" si="5"/>
        <v>-7.3306977980482427E-4</v>
      </c>
      <c r="G53" s="2"/>
      <c r="H53" s="2"/>
      <c r="I53" s="2"/>
      <c r="J53" s="22">
        <f t="shared" si="6"/>
        <v>0</v>
      </c>
      <c r="K53" s="2"/>
      <c r="L53" s="2">
        <f t="shared" si="7"/>
        <v>-83.4</v>
      </c>
      <c r="M53" s="2"/>
      <c r="N53" s="22">
        <f t="shared" si="8"/>
        <v>0</v>
      </c>
      <c r="O53" s="11"/>
      <c r="P53" s="2">
        <v>-83.4</v>
      </c>
      <c r="Q53" s="2"/>
      <c r="R53" s="22">
        <f t="shared" si="9"/>
        <v>-1.390910304430573E-4</v>
      </c>
      <c r="S53" s="2"/>
      <c r="T53" s="2"/>
      <c r="U53" s="2"/>
      <c r="V53" s="22">
        <f t="shared" si="10"/>
        <v>0</v>
      </c>
      <c r="W53" s="2"/>
      <c r="X53" s="2">
        <f t="shared" si="11"/>
        <v>-83.4</v>
      </c>
      <c r="Y53" s="2"/>
      <c r="Z53" s="22">
        <f t="shared" si="12"/>
        <v>0</v>
      </c>
    </row>
    <row r="54" spans="1:26" s="24" customFormat="1" hidden="1" outlineLevel="1" x14ac:dyDescent="0.25">
      <c r="A54" s="51"/>
      <c r="B54" s="11" t="str">
        <f>CONCATENATE("          ", "5031", " - ", "PURCHASES @ COST-FOOD")</f>
        <v xml:space="preserve">          5031 - PURCHASES @ COST-FOOD</v>
      </c>
      <c r="C54" s="11"/>
      <c r="D54" s="2">
        <v>1183.51</v>
      </c>
      <c r="E54" s="2"/>
      <c r="F54" s="22">
        <f t="shared" si="5"/>
        <v>1.0402822722983303E-2</v>
      </c>
      <c r="G54" s="2"/>
      <c r="H54" s="2"/>
      <c r="I54" s="2"/>
      <c r="J54" s="22">
        <f t="shared" si="6"/>
        <v>0</v>
      </c>
      <c r="K54" s="2"/>
      <c r="L54" s="2">
        <f t="shared" si="7"/>
        <v>1183.51</v>
      </c>
      <c r="M54" s="2"/>
      <c r="N54" s="22">
        <f t="shared" si="8"/>
        <v>0</v>
      </c>
      <c r="O54" s="11"/>
      <c r="P54" s="2">
        <v>1183.51</v>
      </c>
      <c r="Q54" s="2"/>
      <c r="R54" s="22">
        <f t="shared" si="9"/>
        <v>1.9738084585091452E-3</v>
      </c>
      <c r="S54" s="2"/>
      <c r="T54" s="2"/>
      <c r="U54" s="2"/>
      <c r="V54" s="22">
        <f t="shared" si="10"/>
        <v>0</v>
      </c>
      <c r="W54" s="2"/>
      <c r="X54" s="2">
        <f t="shared" si="11"/>
        <v>1183.51</v>
      </c>
      <c r="Y54" s="2"/>
      <c r="Z54" s="22">
        <f t="shared" si="12"/>
        <v>0</v>
      </c>
    </row>
    <row r="55" spans="1:26" s="24" customFormat="1" hidden="1" outlineLevel="1" x14ac:dyDescent="0.25">
      <c r="A55" s="51"/>
      <c r="B55" s="11" t="str">
        <f>CONCATENATE("          ", "5040", " - ", "PURCHASES @ COST-LOGO CLOTHING")</f>
        <v xml:space="preserve">          5040 - PURCHASES @ COST-LOGO CLOTHING</v>
      </c>
      <c r="C55" s="11"/>
      <c r="D55" s="2">
        <v>4398.1499999999996</v>
      </c>
      <c r="E55" s="2"/>
      <c r="F55" s="22">
        <f t="shared" si="5"/>
        <v>3.8658883118088579E-2</v>
      </c>
      <c r="G55" s="2"/>
      <c r="H55" s="2"/>
      <c r="I55" s="2"/>
      <c r="J55" s="22">
        <f t="shared" si="6"/>
        <v>0</v>
      </c>
      <c r="K55" s="2"/>
      <c r="L55" s="2">
        <f t="shared" si="7"/>
        <v>4398.1499999999996</v>
      </c>
      <c r="M55" s="2"/>
      <c r="N55" s="22">
        <f t="shared" si="8"/>
        <v>0</v>
      </c>
      <c r="O55" s="11"/>
      <c r="P55" s="2">
        <v>13750.05</v>
      </c>
      <c r="Q55" s="2"/>
      <c r="R55" s="22">
        <f t="shared" si="9"/>
        <v>2.2931758071265705E-2</v>
      </c>
      <c r="S55" s="2"/>
      <c r="T55" s="2"/>
      <c r="U55" s="2"/>
      <c r="V55" s="22">
        <f t="shared" si="10"/>
        <v>0</v>
      </c>
      <c r="W55" s="2"/>
      <c r="X55" s="2">
        <f t="shared" si="11"/>
        <v>13750.05</v>
      </c>
      <c r="Y55" s="2"/>
      <c r="Z55" s="22">
        <f t="shared" si="12"/>
        <v>0</v>
      </c>
    </row>
    <row r="56" spans="1:26" s="24" customFormat="1" hidden="1" outlineLevel="1" x14ac:dyDescent="0.25">
      <c r="A56" s="51"/>
      <c r="B56" s="11" t="str">
        <f>CONCATENATE("          ", "5041", " - ", "PURCHASES @ COST-LOGO GIFTS")</f>
        <v xml:space="preserve">          5041 - PURCHASES @ COST-LOGO GIFTS</v>
      </c>
      <c r="C56" s="11"/>
      <c r="D56" s="2">
        <v>868</v>
      </c>
      <c r="E56" s="2"/>
      <c r="F56" s="22">
        <f t="shared" si="5"/>
        <v>7.6295511854986503E-3</v>
      </c>
      <c r="G56" s="2"/>
      <c r="H56" s="2"/>
      <c r="I56" s="2"/>
      <c r="J56" s="22">
        <f t="shared" si="6"/>
        <v>0</v>
      </c>
      <c r="K56" s="2"/>
      <c r="L56" s="2">
        <f t="shared" si="7"/>
        <v>868</v>
      </c>
      <c r="M56" s="2"/>
      <c r="N56" s="22">
        <f t="shared" si="8"/>
        <v>0</v>
      </c>
      <c r="O56" s="11"/>
      <c r="P56" s="2">
        <v>1997.54</v>
      </c>
      <c r="Q56" s="2"/>
      <c r="R56" s="22">
        <f t="shared" si="9"/>
        <v>3.3314136325086887E-3</v>
      </c>
      <c r="S56" s="2"/>
      <c r="T56" s="2"/>
      <c r="U56" s="2"/>
      <c r="V56" s="22">
        <f t="shared" si="10"/>
        <v>0</v>
      </c>
      <c r="W56" s="2"/>
      <c r="X56" s="2">
        <f t="shared" si="11"/>
        <v>1997.54</v>
      </c>
      <c r="Y56" s="2"/>
      <c r="Z56" s="22">
        <f t="shared" si="12"/>
        <v>0</v>
      </c>
    </row>
    <row r="57" spans="1:26" s="24" customFormat="1" hidden="1" outlineLevel="1" x14ac:dyDescent="0.25">
      <c r="A57" s="51"/>
      <c r="B57" s="11" t="str">
        <f>CONCATENATE("          ", "5042", " - ", "PURCHASES @ COST-EVERYDAY GIFT")</f>
        <v xml:space="preserve">          5042 - PURCHASES @ COST-EVERYDAY GIFT</v>
      </c>
      <c r="C57" s="11"/>
      <c r="D57" s="2">
        <v>522</v>
      </c>
      <c r="E57" s="2"/>
      <c r="F57" s="22">
        <f t="shared" si="5"/>
        <v>4.5882784779150863E-3</v>
      </c>
      <c r="G57" s="2"/>
      <c r="H57" s="2"/>
      <c r="I57" s="2"/>
      <c r="J57" s="22">
        <f t="shared" si="6"/>
        <v>0</v>
      </c>
      <c r="K57" s="2"/>
      <c r="L57" s="2">
        <f t="shared" si="7"/>
        <v>522</v>
      </c>
      <c r="M57" s="2"/>
      <c r="N57" s="22">
        <f t="shared" si="8"/>
        <v>0</v>
      </c>
      <c r="O57" s="11"/>
      <c r="P57" s="2">
        <v>1491.15</v>
      </c>
      <c r="Q57" s="2"/>
      <c r="R57" s="22">
        <f t="shared" si="9"/>
        <v>2.4868775784791953E-3</v>
      </c>
      <c r="S57" s="2"/>
      <c r="T57" s="2"/>
      <c r="U57" s="2"/>
      <c r="V57" s="22">
        <f t="shared" si="10"/>
        <v>0</v>
      </c>
      <c r="W57" s="2"/>
      <c r="X57" s="2">
        <f t="shared" si="11"/>
        <v>1491.15</v>
      </c>
      <c r="Y57" s="2"/>
      <c r="Z57" s="22">
        <f t="shared" si="12"/>
        <v>0</v>
      </c>
    </row>
    <row r="58" spans="1:26" s="24" customFormat="1" hidden="1" outlineLevel="1" x14ac:dyDescent="0.25">
      <c r="A58" s="51"/>
      <c r="B58" s="11" t="str">
        <f>CONCATENATE("          ", "5043", " - ", "PURCHASES @ COST-CARDS")</f>
        <v xml:space="preserve">          5043 - PURCHASES @ COST-CARDS</v>
      </c>
      <c r="C58" s="11"/>
      <c r="D58" s="2">
        <v>1401</v>
      </c>
      <c r="E58" s="2"/>
      <c r="F58" s="22">
        <f t="shared" si="5"/>
        <v>1.2314517524059456E-2</v>
      </c>
      <c r="G58" s="2"/>
      <c r="H58" s="2"/>
      <c r="I58" s="2"/>
      <c r="J58" s="22">
        <f t="shared" si="6"/>
        <v>0</v>
      </c>
      <c r="K58" s="2"/>
      <c r="L58" s="2">
        <f t="shared" si="7"/>
        <v>1401</v>
      </c>
      <c r="M58" s="2"/>
      <c r="N58" s="22">
        <f t="shared" si="8"/>
        <v>0</v>
      </c>
      <c r="O58" s="11"/>
      <c r="P58" s="2">
        <v>3116.25</v>
      </c>
      <c r="Q58" s="2"/>
      <c r="R58" s="22">
        <f t="shared" si="9"/>
        <v>5.1971513623282643E-3</v>
      </c>
      <c r="S58" s="2"/>
      <c r="T58" s="2"/>
      <c r="U58" s="2"/>
      <c r="V58" s="22">
        <f t="shared" si="10"/>
        <v>0</v>
      </c>
      <c r="W58" s="2"/>
      <c r="X58" s="2">
        <f t="shared" si="11"/>
        <v>3116.25</v>
      </c>
      <c r="Y58" s="2"/>
      <c r="Z58" s="22">
        <f t="shared" si="12"/>
        <v>0</v>
      </c>
    </row>
    <row r="59" spans="1:26" s="24" customFormat="1" hidden="1" outlineLevel="1" x14ac:dyDescent="0.25">
      <c r="A59" s="51"/>
      <c r="B59" s="11" t="str">
        <f>CONCATENATE("          ", "5045", " - ", "PURCHASES @ COST-SPECIAL ORDER")</f>
        <v xml:space="preserve">          5045 - PURCHASES @ COST-SPECIAL ORDER</v>
      </c>
      <c r="C59" s="11"/>
      <c r="D59" s="2">
        <v>52784.12</v>
      </c>
      <c r="E59" s="2"/>
      <c r="F59" s="22">
        <f t="shared" si="5"/>
        <v>0.46396214898790672</v>
      </c>
      <c r="G59" s="2"/>
      <c r="H59" s="2"/>
      <c r="I59" s="2"/>
      <c r="J59" s="22">
        <f t="shared" si="6"/>
        <v>0</v>
      </c>
      <c r="K59" s="2"/>
      <c r="L59" s="2">
        <f t="shared" si="7"/>
        <v>52784.12</v>
      </c>
      <c r="M59" s="2"/>
      <c r="N59" s="22">
        <f t="shared" si="8"/>
        <v>0</v>
      </c>
      <c r="O59" s="11"/>
      <c r="P59" s="2">
        <v>61174.290000000008</v>
      </c>
      <c r="Q59" s="2"/>
      <c r="R59" s="22">
        <f t="shared" si="9"/>
        <v>0.10202392125566447</v>
      </c>
      <c r="S59" s="2"/>
      <c r="T59" s="2"/>
      <c r="U59" s="2"/>
      <c r="V59" s="22">
        <f t="shared" si="10"/>
        <v>0</v>
      </c>
      <c r="W59" s="2"/>
      <c r="X59" s="2">
        <f t="shared" si="11"/>
        <v>61174.290000000008</v>
      </c>
      <c r="Y59" s="2"/>
      <c r="Z59" s="22">
        <f t="shared" si="12"/>
        <v>0</v>
      </c>
    </row>
    <row r="60" spans="1:26" s="24" customFormat="1" hidden="1" outlineLevel="1" x14ac:dyDescent="0.25">
      <c r="A60" s="51"/>
      <c r="B60" s="11" t="str">
        <f>CONCATENATE("          ", "5200", " - ", "PURCHASES OFFSET")</f>
        <v xml:space="preserve">          5200 - PURCHASES OFFSET</v>
      </c>
      <c r="C60" s="11"/>
      <c r="D60" s="2">
        <v>-61907.239999999991</v>
      </c>
      <c r="E60" s="2"/>
      <c r="F60" s="22">
        <f t="shared" si="5"/>
        <v>-0.54415259946192329</v>
      </c>
      <c r="G60" s="2"/>
      <c r="H60" s="2"/>
      <c r="I60" s="2"/>
      <c r="J60" s="22">
        <f t="shared" si="6"/>
        <v>0</v>
      </c>
      <c r="K60" s="2"/>
      <c r="L60" s="2">
        <f t="shared" si="7"/>
        <v>-61907.239999999991</v>
      </c>
      <c r="M60" s="2"/>
      <c r="N60" s="22">
        <f t="shared" si="8"/>
        <v>0</v>
      </c>
      <c r="O60" s="11"/>
      <c r="P60" s="2">
        <v>-93556.88</v>
      </c>
      <c r="Q60" s="2"/>
      <c r="R60" s="22">
        <f t="shared" si="9"/>
        <v>-0.15603024993090478</v>
      </c>
      <c r="S60" s="2"/>
      <c r="T60" s="2"/>
      <c r="U60" s="2"/>
      <c r="V60" s="22">
        <f t="shared" si="10"/>
        <v>0</v>
      </c>
      <c r="W60" s="2"/>
      <c r="X60" s="2">
        <f t="shared" si="11"/>
        <v>-93556.88</v>
      </c>
      <c r="Y60" s="2"/>
      <c r="Z60" s="22">
        <f t="shared" si="12"/>
        <v>0</v>
      </c>
    </row>
    <row r="61" spans="1:26" s="24" customFormat="1" hidden="1" outlineLevel="1" x14ac:dyDescent="0.25">
      <c r="A61" s="51"/>
      <c r="B61" s="11" t="str">
        <f>CONCATENATE("          ", "5300", " - ", "COG$ OFFSET")</f>
        <v xml:space="preserve">          5300 - COG$ OFFSET</v>
      </c>
      <c r="C61" s="11"/>
      <c r="D61" s="2">
        <v>68768</v>
      </c>
      <c r="E61" s="2"/>
      <c r="F61" s="22">
        <f t="shared" si="5"/>
        <v>0.60445734553498986</v>
      </c>
      <c r="G61" s="2"/>
      <c r="H61" s="2"/>
      <c r="I61" s="2"/>
      <c r="J61" s="22">
        <f t="shared" si="6"/>
        <v>0</v>
      </c>
      <c r="K61" s="2"/>
      <c r="L61" s="2">
        <f t="shared" si="7"/>
        <v>68768</v>
      </c>
      <c r="M61" s="2"/>
      <c r="N61" s="22">
        <f t="shared" si="8"/>
        <v>0</v>
      </c>
      <c r="O61" s="11"/>
      <c r="P61" s="2">
        <v>358364</v>
      </c>
      <c r="Q61" s="2"/>
      <c r="R61" s="22">
        <f t="shared" si="9"/>
        <v>0.59766448481649614</v>
      </c>
      <c r="S61" s="2"/>
      <c r="T61" s="2"/>
      <c r="U61" s="2"/>
      <c r="V61" s="22">
        <f t="shared" si="10"/>
        <v>0</v>
      </c>
      <c r="W61" s="2"/>
      <c r="X61" s="2">
        <f t="shared" si="11"/>
        <v>358364</v>
      </c>
      <c r="Y61" s="2"/>
      <c r="Z61" s="22">
        <f t="shared" si="12"/>
        <v>0</v>
      </c>
    </row>
    <row r="62" spans="1:26" s="24" customFormat="1" hidden="1" outlineLevel="1" x14ac:dyDescent="0.25">
      <c r="A62" s="51"/>
      <c r="B62" s="11" t="str">
        <f>CONCATENATE("          ", "5540", " - ", "FREIGHT-IN-LOGO CLOTHING")</f>
        <v xml:space="preserve">          5540 - FREIGHT-IN-LOGO CLOTHING</v>
      </c>
      <c r="C62" s="11"/>
      <c r="D62" s="2">
        <v>234.23</v>
      </c>
      <c r="E62" s="2"/>
      <c r="F62" s="22">
        <f t="shared" si="5"/>
        <v>2.0588361453679131E-3</v>
      </c>
      <c r="G62" s="2"/>
      <c r="H62" s="2"/>
      <c r="I62" s="2"/>
      <c r="J62" s="22">
        <f t="shared" si="6"/>
        <v>0</v>
      </c>
      <c r="K62" s="2"/>
      <c r="L62" s="2">
        <f t="shared" si="7"/>
        <v>234.23</v>
      </c>
      <c r="M62" s="2"/>
      <c r="N62" s="22">
        <f t="shared" si="8"/>
        <v>0</v>
      </c>
      <c r="O62" s="11"/>
      <c r="P62" s="2">
        <v>2165.7600000000002</v>
      </c>
      <c r="Q62" s="2"/>
      <c r="R62" s="22">
        <f t="shared" si="9"/>
        <v>3.6119639099802849E-3</v>
      </c>
      <c r="S62" s="2"/>
      <c r="T62" s="2"/>
      <c r="U62" s="2"/>
      <c r="V62" s="22">
        <f t="shared" si="10"/>
        <v>0</v>
      </c>
      <c r="W62" s="2"/>
      <c r="X62" s="2">
        <f t="shared" si="11"/>
        <v>2165.7600000000002</v>
      </c>
      <c r="Y62" s="2"/>
      <c r="Z62" s="22">
        <f t="shared" si="12"/>
        <v>0</v>
      </c>
    </row>
    <row r="63" spans="1:26" s="24" customFormat="1" hidden="1" outlineLevel="1" x14ac:dyDescent="0.25">
      <c r="A63" s="51"/>
      <c r="B63" s="11" t="str">
        <f>CONCATENATE("          ", "5541", " - ", "FREIGHT-IN-LOGO GIFTS")</f>
        <v xml:space="preserve">          5541 - FREIGHT-IN-LOGO GIFTS</v>
      </c>
      <c r="C63" s="11"/>
      <c r="D63" s="2">
        <v>154.41</v>
      </c>
      <c r="E63" s="2"/>
      <c r="F63" s="22">
        <f t="shared" si="5"/>
        <v>1.3572338693005144E-3</v>
      </c>
      <c r="G63" s="2"/>
      <c r="H63" s="2"/>
      <c r="I63" s="2"/>
      <c r="J63" s="22">
        <f t="shared" si="6"/>
        <v>0</v>
      </c>
      <c r="K63" s="2"/>
      <c r="L63" s="2">
        <f t="shared" si="7"/>
        <v>154.41</v>
      </c>
      <c r="M63" s="2"/>
      <c r="N63" s="22">
        <f t="shared" si="8"/>
        <v>0</v>
      </c>
      <c r="O63" s="11"/>
      <c r="P63" s="2">
        <v>361.11</v>
      </c>
      <c r="Q63" s="2"/>
      <c r="R63" s="22">
        <f t="shared" si="9"/>
        <v>6.0224414872053257E-4</v>
      </c>
      <c r="S63" s="2"/>
      <c r="T63" s="2"/>
      <c r="U63" s="2"/>
      <c r="V63" s="22">
        <f t="shared" si="10"/>
        <v>0</v>
      </c>
      <c r="W63" s="2"/>
      <c r="X63" s="2">
        <f t="shared" si="11"/>
        <v>361.11</v>
      </c>
      <c r="Y63" s="2"/>
      <c r="Z63" s="22">
        <f t="shared" si="12"/>
        <v>0</v>
      </c>
    </row>
    <row r="64" spans="1:26" s="24" customFormat="1" hidden="1" outlineLevel="1" x14ac:dyDescent="0.25">
      <c r="A64" s="51"/>
      <c r="B64" s="11" t="str">
        <f>CONCATENATE("          ", "5542", " - ", "FREIGHT-IN-EVERYDAY GIFTS")</f>
        <v xml:space="preserve">          5542 - FREIGHT-IN-EVERYDAY GIFTS</v>
      </c>
      <c r="C64" s="11"/>
      <c r="D64" s="2">
        <v>65.44</v>
      </c>
      <c r="E64" s="2"/>
      <c r="F64" s="22">
        <f t="shared" si="5"/>
        <v>5.7520487278690281E-4</v>
      </c>
      <c r="G64" s="2"/>
      <c r="H64" s="2"/>
      <c r="I64" s="2"/>
      <c r="J64" s="22">
        <f t="shared" si="6"/>
        <v>0</v>
      </c>
      <c r="K64" s="2"/>
      <c r="L64" s="2">
        <f t="shared" si="7"/>
        <v>65.44</v>
      </c>
      <c r="M64" s="2"/>
      <c r="N64" s="22">
        <f t="shared" si="8"/>
        <v>0</v>
      </c>
      <c r="O64" s="11"/>
      <c r="P64" s="2">
        <v>71.38</v>
      </c>
      <c r="Q64" s="2"/>
      <c r="R64" s="22">
        <f t="shared" si="9"/>
        <v>1.1904457737440562E-4</v>
      </c>
      <c r="S64" s="2"/>
      <c r="T64" s="2"/>
      <c r="U64" s="2"/>
      <c r="V64" s="22">
        <f t="shared" si="10"/>
        <v>0</v>
      </c>
      <c r="W64" s="2"/>
      <c r="X64" s="2">
        <f t="shared" si="11"/>
        <v>71.38</v>
      </c>
      <c r="Y64" s="2"/>
      <c r="Z64" s="22">
        <f t="shared" si="12"/>
        <v>0</v>
      </c>
    </row>
    <row r="65" spans="1:26" s="24" customFormat="1" hidden="1" outlineLevel="1" x14ac:dyDescent="0.25">
      <c r="A65" s="51"/>
      <c r="B65" s="11" t="str">
        <f>CONCATENATE("          ", "5543", " - ", "FREIGHT-IN-CARDS")</f>
        <v xml:space="preserve">          5543 - FREIGHT-IN-CARDS</v>
      </c>
      <c r="C65" s="11"/>
      <c r="D65" s="2">
        <v>81.77</v>
      </c>
      <c r="E65" s="2"/>
      <c r="F65" s="22">
        <f t="shared" si="5"/>
        <v>7.1874239681823102E-4</v>
      </c>
      <c r="G65" s="2"/>
      <c r="H65" s="2"/>
      <c r="I65" s="2"/>
      <c r="J65" s="22">
        <f t="shared" si="6"/>
        <v>0</v>
      </c>
      <c r="K65" s="2"/>
      <c r="L65" s="2">
        <f t="shared" si="7"/>
        <v>81.77</v>
      </c>
      <c r="M65" s="2"/>
      <c r="N65" s="22">
        <f t="shared" si="8"/>
        <v>0</v>
      </c>
      <c r="O65" s="11"/>
      <c r="P65" s="2">
        <v>81.77</v>
      </c>
      <c r="Q65" s="2"/>
      <c r="R65" s="22">
        <f t="shared" si="9"/>
        <v>1.3637258464423014E-4</v>
      </c>
      <c r="S65" s="2"/>
      <c r="T65" s="2"/>
      <c r="U65" s="2"/>
      <c r="V65" s="22">
        <f t="shared" si="10"/>
        <v>0</v>
      </c>
      <c r="W65" s="2"/>
      <c r="X65" s="2">
        <f t="shared" si="11"/>
        <v>81.77</v>
      </c>
      <c r="Y65" s="2"/>
      <c r="Z65" s="22">
        <f t="shared" si="12"/>
        <v>0</v>
      </c>
    </row>
    <row r="66" spans="1:26" s="24" customFormat="1" hidden="1" outlineLevel="1" x14ac:dyDescent="0.25">
      <c r="A66" s="51"/>
      <c r="B66" s="11" t="str">
        <f>CONCATENATE("          ", "5545", " - ", "FREIGHT-IN-SPECIAL ORDERS")</f>
        <v xml:space="preserve">          5545 - FREIGHT-IN-SPECIAL ORDERS</v>
      </c>
      <c r="C66" s="11"/>
      <c r="D66" s="2">
        <v>214.61</v>
      </c>
      <c r="E66" s="2"/>
      <c r="F66" s="22">
        <f t="shared" si="5"/>
        <v>1.8863801611980016E-3</v>
      </c>
      <c r="G66" s="2"/>
      <c r="H66" s="2"/>
      <c r="I66" s="2"/>
      <c r="J66" s="22">
        <f t="shared" si="6"/>
        <v>0</v>
      </c>
      <c r="K66" s="2"/>
      <c r="L66" s="2">
        <f t="shared" si="7"/>
        <v>214.61</v>
      </c>
      <c r="M66" s="2"/>
      <c r="N66" s="22">
        <f t="shared" si="8"/>
        <v>0</v>
      </c>
      <c r="O66" s="11"/>
      <c r="P66" s="2">
        <v>660.61</v>
      </c>
      <c r="Q66" s="2"/>
      <c r="R66" s="22">
        <f t="shared" si="9"/>
        <v>1.1017377172780345E-3</v>
      </c>
      <c r="S66" s="2"/>
      <c r="T66" s="2"/>
      <c r="U66" s="2"/>
      <c r="V66" s="22">
        <f t="shared" si="10"/>
        <v>0</v>
      </c>
      <c r="W66" s="2"/>
      <c r="X66" s="2">
        <f t="shared" si="11"/>
        <v>660.61</v>
      </c>
      <c r="Y66" s="2"/>
      <c r="Z66" s="22">
        <f t="shared" si="12"/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6" t="s">
        <v>6</v>
      </c>
      <c r="C68" s="26"/>
      <c r="D68" s="20">
        <f>D12-D50</f>
        <v>45083.559999999969</v>
      </c>
      <c r="E68" s="13"/>
      <c r="F68" s="21">
        <f>IF(D$12=0,0,D68/D$12)</f>
        <v>0.39627572424481483</v>
      </c>
      <c r="G68" s="13"/>
      <c r="H68" s="20">
        <f>H12-H50</f>
        <v>184820</v>
      </c>
      <c r="I68" s="13"/>
      <c r="J68" s="21">
        <f>IF(H$12=0,0,H68/H$12)</f>
        <v>0.54043938113520928</v>
      </c>
      <c r="K68" s="16"/>
      <c r="L68" s="20">
        <f>+D68-H68</f>
        <v>-139736.44000000003</v>
      </c>
      <c r="M68" s="16"/>
      <c r="N68" s="21">
        <f>IF(H68=0,0,L68/H68)</f>
        <v>-0.75606774158640855</v>
      </c>
      <c r="O68" s="25"/>
      <c r="P68" s="20">
        <f>P12-P50</f>
        <v>240326.78000000003</v>
      </c>
      <c r="Q68" s="13"/>
      <c r="R68" s="21">
        <f>IF(P$12=0,0,P68/P$12)</f>
        <v>0.40080694812064671</v>
      </c>
      <c r="S68" s="13"/>
      <c r="T68" s="20">
        <f>T12-T50</f>
        <v>513868.99999999988</v>
      </c>
      <c r="U68" s="13"/>
      <c r="V68" s="21">
        <f>IF(T$12=0,0,T68/T$12)</f>
        <v>0.54250456073377129</v>
      </c>
      <c r="W68" s="16"/>
      <c r="X68" s="20">
        <f>+P68-T68</f>
        <v>-273542.21999999986</v>
      </c>
      <c r="Y68" s="16"/>
      <c r="Z68" s="21">
        <f>IF(T68=0,0,X68/T68)</f>
        <v>-0.5323189762371342</v>
      </c>
    </row>
    <row r="69" spans="1:26" x14ac:dyDescent="0.25">
      <c r="A69" s="9"/>
      <c r="B69" s="10"/>
      <c r="C69" s="9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5" t="s">
        <v>9</v>
      </c>
      <c r="C70" s="10"/>
      <c r="D70" s="19">
        <f>SUM(OSRRefD22x_0)</f>
        <v>68755.759999999995</v>
      </c>
      <c r="E70" s="19"/>
      <c r="F70" s="35">
        <f t="shared" ref="F70:F80" si="13">IF(D$12=0,0,D70/D$12)</f>
        <v>0.60434975831550763</v>
      </c>
      <c r="G70" s="19"/>
      <c r="H70" s="19">
        <f>SUM(OSRRefH22x_0)</f>
        <v>123336.71662692305</v>
      </c>
      <c r="I70" s="19"/>
      <c r="J70" s="35">
        <f t="shared" ref="J70:J80" si="14">IF(H$12=0,0,H70/H$12)</f>
        <v>0.36065371066498736</v>
      </c>
      <c r="K70" s="4"/>
      <c r="L70" s="19">
        <f t="shared" ref="L70:L80" si="15">+D70-H70</f>
        <v>-54580.956626923056</v>
      </c>
      <c r="M70" s="4"/>
      <c r="N70" s="35">
        <f t="shared" ref="N70:N80" si="16">IF(H70=0,0,L70/H70)</f>
        <v>-0.44253615727442375</v>
      </c>
      <c r="O70" s="10"/>
      <c r="P70" s="19">
        <f>SUM(OSRRefP22x_0)</f>
        <v>210001.81000000003</v>
      </c>
      <c r="Q70" s="19"/>
      <c r="R70" s="35">
        <f t="shared" ref="R70:R80" si="17">IF(P$12=0,0,P70/P$12)</f>
        <v>0.35023223198809517</v>
      </c>
      <c r="S70" s="19"/>
      <c r="T70" s="19">
        <f>SUM(OSRRefT22x_0)</f>
        <v>376948.62639499997</v>
      </c>
      <c r="U70" s="19"/>
      <c r="V70" s="35">
        <f t="shared" ref="V70:V80" si="18">IF(T$12=0,0,T70/T$12)</f>
        <v>0.39795424316628941</v>
      </c>
      <c r="W70" s="4"/>
      <c r="X70" s="19">
        <f t="shared" ref="X70:X80" si="19">+P70-T70</f>
        <v>-166946.81639499994</v>
      </c>
      <c r="Y70" s="4"/>
      <c r="Z70" s="35">
        <f t="shared" ref="Z70:Z80" si="20">IF(T70=0,0,X70/T70)</f>
        <v>-0.44289010412803143</v>
      </c>
    </row>
    <row r="71" spans="1:26" s="28" customFormat="1" outlineLevel="1" collapsed="1" x14ac:dyDescent="0.25">
      <c r="A71" s="27"/>
      <c r="B71" s="14" t="str">
        <f>CONCATENATE("     ","*Benefits                                         ")</f>
        <v xml:space="preserve">     *Benefits                                         </v>
      </c>
      <c r="C71" s="14"/>
      <c r="D71" s="1">
        <f>SUM(OSRRefD22_0x_0)</f>
        <v>19144.490000000005</v>
      </c>
      <c r="E71" s="1"/>
      <c r="F71" s="5">
        <f t="shared" si="13"/>
        <v>0.1682763437503077</v>
      </c>
      <c r="G71" s="1"/>
      <c r="H71" s="1">
        <f>SUM(OSRRefH22_0x_0)</f>
        <v>13842.755088461536</v>
      </c>
      <c r="I71" s="1"/>
      <c r="J71" s="5">
        <f t="shared" si="14"/>
        <v>4.0478140857128135E-2</v>
      </c>
      <c r="K71" s="1"/>
      <c r="L71" s="1">
        <f t="shared" si="15"/>
        <v>5301.7349115384695</v>
      </c>
      <c r="M71" s="1"/>
      <c r="N71" s="5">
        <f t="shared" si="16"/>
        <v>0.38299708964421886</v>
      </c>
      <c r="O71" s="14"/>
      <c r="P71" s="1">
        <f>SUM(OSRRefP22_0x_0)</f>
        <v>48209.210000000006</v>
      </c>
      <c r="Q71" s="1"/>
      <c r="R71" s="5">
        <f t="shared" si="17"/>
        <v>8.0401303306303865E-2</v>
      </c>
      <c r="S71" s="1"/>
      <c r="T71" s="1">
        <f>SUM(OSRRefT22_0x_0)</f>
        <v>48969.876394999985</v>
      </c>
      <c r="U71" s="1"/>
      <c r="V71" s="5">
        <f t="shared" si="18"/>
        <v>5.169874283690308E-2</v>
      </c>
      <c r="W71" s="1"/>
      <c r="X71" s="1">
        <f t="shared" si="19"/>
        <v>-760.66639499997837</v>
      </c>
      <c r="Y71" s="1"/>
      <c r="Z71" s="5">
        <f t="shared" si="20"/>
        <v>-1.5533353379622689E-2</v>
      </c>
    </row>
    <row r="72" spans="1:26" s="24" customFormat="1" hidden="1" outlineLevel="2" x14ac:dyDescent="0.25">
      <c r="A72" s="29"/>
      <c r="B72" s="11" t="str">
        <f>CONCATENATE("          ", "6111", " - ", "F.I.C.A.")</f>
        <v xml:space="preserve">          6111 - F.I.C.A.</v>
      </c>
      <c r="C72" s="11"/>
      <c r="D72" s="6">
        <v>5873.67</v>
      </c>
      <c r="E72" s="2"/>
      <c r="F72" s="7">
        <f t="shared" si="13"/>
        <v>5.1628416948995226E-2</v>
      </c>
      <c r="G72" s="2"/>
      <c r="H72" s="6">
        <v>1741.3518461538481</v>
      </c>
      <c r="I72" s="2"/>
      <c r="J72" s="7">
        <f t="shared" si="14"/>
        <v>5.0919549511635092E-3</v>
      </c>
      <c r="K72" s="2"/>
      <c r="L72" s="6">
        <f t="shared" si="15"/>
        <v>4132.3181538461522</v>
      </c>
      <c r="M72" s="2"/>
      <c r="N72" s="7">
        <f t="shared" si="16"/>
        <v>2.3730518120006994</v>
      </c>
      <c r="O72" s="11"/>
      <c r="P72" s="6">
        <v>10828.47</v>
      </c>
      <c r="Q72" s="2"/>
      <c r="R72" s="7">
        <f t="shared" si="17"/>
        <v>1.8059269189709022E-2</v>
      </c>
      <c r="S72" s="2"/>
      <c r="T72" s="6">
        <v>11814.816195000001</v>
      </c>
      <c r="U72" s="2"/>
      <c r="V72" s="7">
        <f t="shared" si="18"/>
        <v>1.2473201672057907E-2</v>
      </c>
      <c r="W72" s="2"/>
      <c r="X72" s="6">
        <f t="shared" si="19"/>
        <v>-986.3461950000019</v>
      </c>
      <c r="Y72" s="2"/>
      <c r="Z72" s="7">
        <f t="shared" si="20"/>
        <v>-8.3483837473275382E-2</v>
      </c>
    </row>
    <row r="73" spans="1:26" s="24" customFormat="1" hidden="1" outlineLevel="2" x14ac:dyDescent="0.25">
      <c r="A73" s="29"/>
      <c r="B73" s="11" t="str">
        <f>CONCATENATE("          ", "6112", " - ", "COMPENSATION INSURANCE")</f>
        <v xml:space="preserve">          6112 - COMPENSATION INSURANCE</v>
      </c>
      <c r="C73" s="11"/>
      <c r="D73" s="6">
        <v>2711.85</v>
      </c>
      <c r="E73" s="2"/>
      <c r="F73" s="7">
        <f t="shared" si="13"/>
        <v>2.3836634081099671E-2</v>
      </c>
      <c r="G73" s="2"/>
      <c r="H73" s="6">
        <v>1246.0554038461519</v>
      </c>
      <c r="I73" s="2"/>
      <c r="J73" s="7">
        <f t="shared" si="14"/>
        <v>3.6436392777556411E-3</v>
      </c>
      <c r="K73" s="2"/>
      <c r="L73" s="6">
        <f t="shared" si="15"/>
        <v>1465.794596153848</v>
      </c>
      <c r="M73" s="2"/>
      <c r="N73" s="7">
        <f t="shared" si="16"/>
        <v>1.1763478506890108</v>
      </c>
      <c r="O73" s="11"/>
      <c r="P73" s="6">
        <v>4286.2299999999996</v>
      </c>
      <c r="Q73" s="2"/>
      <c r="R73" s="7">
        <f t="shared" si="17"/>
        <v>7.1483950529489856E-3</v>
      </c>
      <c r="S73" s="2"/>
      <c r="T73" s="6">
        <v>3681.166999999999</v>
      </c>
      <c r="U73" s="2"/>
      <c r="V73" s="7">
        <f t="shared" si="18"/>
        <v>3.8863015405145177E-3</v>
      </c>
      <c r="W73" s="2"/>
      <c r="X73" s="6">
        <f t="shared" si="19"/>
        <v>605.06300000000056</v>
      </c>
      <c r="Y73" s="2"/>
      <c r="Z73" s="7">
        <f t="shared" si="20"/>
        <v>0.16436716943295449</v>
      </c>
    </row>
    <row r="74" spans="1:26" s="24" customFormat="1" hidden="1" outlineLevel="2" x14ac:dyDescent="0.25">
      <c r="A74" s="29"/>
      <c r="B74" s="11" t="str">
        <f>CONCATENATE("          ", "6113", " - ", "GROUP INSURANCE")</f>
        <v xml:space="preserve">          6113 - GROUP INSURANCE</v>
      </c>
      <c r="C74" s="11"/>
      <c r="D74" s="6">
        <v>5541.11</v>
      </c>
      <c r="E74" s="2"/>
      <c r="F74" s="7">
        <f t="shared" si="13"/>
        <v>4.8705279227509703E-2</v>
      </c>
      <c r="G74" s="2"/>
      <c r="H74" s="6">
        <v>5958.8461538461497</v>
      </c>
      <c r="I74" s="2"/>
      <c r="J74" s="7">
        <f t="shared" si="14"/>
        <v>1.7424494793120523E-2</v>
      </c>
      <c r="K74" s="2"/>
      <c r="L74" s="6">
        <f t="shared" si="15"/>
        <v>-417.73615384615005</v>
      </c>
      <c r="M74" s="2"/>
      <c r="N74" s="7">
        <f t="shared" si="16"/>
        <v>-7.0103530626734065E-2</v>
      </c>
      <c r="O74" s="11"/>
      <c r="P74" s="6">
        <v>16757.04</v>
      </c>
      <c r="Q74" s="2"/>
      <c r="R74" s="7">
        <f t="shared" si="17"/>
        <v>2.7946690177164613E-2</v>
      </c>
      <c r="S74" s="2"/>
      <c r="T74" s="6">
        <v>18029.999999999989</v>
      </c>
      <c r="U74" s="2"/>
      <c r="V74" s="7">
        <f t="shared" si="18"/>
        <v>1.9034729143088791E-2</v>
      </c>
      <c r="W74" s="2"/>
      <c r="X74" s="6">
        <f t="shared" si="19"/>
        <v>-1272.9599999999882</v>
      </c>
      <c r="Y74" s="2"/>
      <c r="Z74" s="7">
        <f t="shared" si="20"/>
        <v>-7.0602329450914533E-2</v>
      </c>
    </row>
    <row r="75" spans="1:26" s="24" customFormat="1" hidden="1" outlineLevel="2" x14ac:dyDescent="0.25">
      <c r="A75" s="29"/>
      <c r="B75" s="11" t="str">
        <f>CONCATENATE("          ", "6114", " - ", "STATE UNEMPLOYMENT INSURANCE")</f>
        <v xml:space="preserve">          6114 - STATE UNEMPLOYMENT INSURANCE</v>
      </c>
      <c r="C75" s="11"/>
      <c r="D75" s="6">
        <v>227.12</v>
      </c>
      <c r="E75" s="2"/>
      <c r="F75" s="7">
        <f t="shared" si="13"/>
        <v>1.996340628168725E-3</v>
      </c>
      <c r="G75" s="2"/>
      <c r="H75" s="6">
        <v>175.12129999999999</v>
      </c>
      <c r="I75" s="2"/>
      <c r="J75" s="7">
        <f t="shared" si="14"/>
        <v>5.1207903363052331E-4</v>
      </c>
      <c r="K75" s="2"/>
      <c r="L75" s="6">
        <f t="shared" si="15"/>
        <v>51.998700000000014</v>
      </c>
      <c r="M75" s="2"/>
      <c r="N75" s="7">
        <f t="shared" si="16"/>
        <v>0.29692961393045858</v>
      </c>
      <c r="O75" s="11"/>
      <c r="P75" s="6">
        <v>402.27</v>
      </c>
      <c r="Q75" s="2"/>
      <c r="R75" s="7">
        <f t="shared" si="17"/>
        <v>6.7088907453631476E-4</v>
      </c>
      <c r="S75" s="2"/>
      <c r="T75" s="6">
        <v>517.35320000000002</v>
      </c>
      <c r="U75" s="2"/>
      <c r="V75" s="7">
        <f t="shared" si="18"/>
        <v>5.4618291920744593E-4</v>
      </c>
      <c r="W75" s="2"/>
      <c r="X75" s="6">
        <f t="shared" si="19"/>
        <v>-115.08320000000003</v>
      </c>
      <c r="Y75" s="2"/>
      <c r="Z75" s="7">
        <f t="shared" si="20"/>
        <v>-0.22244609678648944</v>
      </c>
    </row>
    <row r="76" spans="1:26" s="24" customFormat="1" hidden="1" outlineLevel="2" x14ac:dyDescent="0.25">
      <c r="A76" s="29"/>
      <c r="B76" s="11" t="str">
        <f>CONCATENATE("          ", "6115", " - ", "P.E.R.S.")</f>
        <v xml:space="preserve">          6115 - P.E.R.S.</v>
      </c>
      <c r="C76" s="11"/>
      <c r="D76" s="6">
        <v>1664.19</v>
      </c>
      <c r="E76" s="2"/>
      <c r="F76" s="7">
        <f t="shared" si="13"/>
        <v>1.4627906437091012E-2</v>
      </c>
      <c r="G76" s="2"/>
      <c r="H76" s="6">
        <v>1342.790769230772</v>
      </c>
      <c r="I76" s="2"/>
      <c r="J76" s="7">
        <f t="shared" si="14"/>
        <v>3.92650693819473E-3</v>
      </c>
      <c r="K76" s="2"/>
      <c r="L76" s="6">
        <f t="shared" si="15"/>
        <v>321.3992307692281</v>
      </c>
      <c r="M76" s="2"/>
      <c r="N76" s="7">
        <f t="shared" si="16"/>
        <v>0.23935168317648187</v>
      </c>
      <c r="O76" s="11"/>
      <c r="P76" s="6">
        <v>6065.85</v>
      </c>
      <c r="Q76" s="2"/>
      <c r="R76" s="7">
        <f t="shared" si="17"/>
        <v>1.0116370827494234E-2</v>
      </c>
      <c r="S76" s="2"/>
      <c r="T76" s="6">
        <v>4364.0700000000006</v>
      </c>
      <c r="U76" s="2"/>
      <c r="V76" s="7">
        <f t="shared" si="18"/>
        <v>4.6072595902096258E-3</v>
      </c>
      <c r="W76" s="2"/>
      <c r="X76" s="6">
        <f t="shared" si="19"/>
        <v>1701.7799999999997</v>
      </c>
      <c r="Y76" s="2"/>
      <c r="Z76" s="7">
        <f t="shared" si="20"/>
        <v>0.38995249847046437</v>
      </c>
    </row>
    <row r="77" spans="1:26" s="24" customFormat="1" hidden="1" outlineLevel="2" x14ac:dyDescent="0.25">
      <c r="A77" s="29"/>
      <c r="B77" s="11" t="str">
        <f>CONCATENATE("          ", "6116", " - ", "EDUCATIONAL BENEFITS")</f>
        <v xml:space="preserve">          6116 - EDUCATIONAL BENEFITS</v>
      </c>
      <c r="C77" s="11"/>
      <c r="D77" s="6"/>
      <c r="E77" s="2"/>
      <c r="F77" s="7">
        <f t="shared" si="13"/>
        <v>0</v>
      </c>
      <c r="G77" s="2"/>
      <c r="H77" s="6">
        <v>0</v>
      </c>
      <c r="I77" s="2"/>
      <c r="J77" s="7">
        <f t="shared" si="14"/>
        <v>0</v>
      </c>
      <c r="K77" s="2"/>
      <c r="L77" s="6">
        <f t="shared" si="15"/>
        <v>0</v>
      </c>
      <c r="M77" s="2"/>
      <c r="N77" s="7">
        <f t="shared" si="16"/>
        <v>0</v>
      </c>
      <c r="O77" s="11"/>
      <c r="P77" s="6"/>
      <c r="Q77" s="2"/>
      <c r="R77" s="7">
        <f t="shared" si="17"/>
        <v>0</v>
      </c>
      <c r="S77" s="2"/>
      <c r="T77" s="6">
        <v>0</v>
      </c>
      <c r="U77" s="2"/>
      <c r="V77" s="7">
        <f t="shared" si="18"/>
        <v>0</v>
      </c>
      <c r="W77" s="2"/>
      <c r="X77" s="6">
        <f t="shared" si="19"/>
        <v>0</v>
      </c>
      <c r="Y77" s="2"/>
      <c r="Z77" s="7">
        <f t="shared" si="20"/>
        <v>0</v>
      </c>
    </row>
    <row r="78" spans="1:26" s="24" customFormat="1" hidden="1" outlineLevel="2" x14ac:dyDescent="0.25">
      <c r="A78" s="29"/>
      <c r="B78" s="11" t="str">
        <f>CONCATENATE("          ", "6118", " - ", "VACATION")</f>
        <v xml:space="preserve">          6118 - VACATION</v>
      </c>
      <c r="C78" s="11"/>
      <c r="D78" s="6">
        <v>1385.36</v>
      </c>
      <c r="E78" s="2"/>
      <c r="F78" s="7">
        <f t="shared" si="13"/>
        <v>1.2177044965832268E-2</v>
      </c>
      <c r="G78" s="2"/>
      <c r="H78" s="6">
        <v>972.69230769230808</v>
      </c>
      <c r="I78" s="2"/>
      <c r="J78" s="7">
        <f t="shared" si="14"/>
        <v>2.8442875706320178E-3</v>
      </c>
      <c r="K78" s="2"/>
      <c r="L78" s="6">
        <f t="shared" si="15"/>
        <v>412.66769230769182</v>
      </c>
      <c r="M78" s="2"/>
      <c r="N78" s="7">
        <f t="shared" si="16"/>
        <v>0.42425306445235206</v>
      </c>
      <c r="O78" s="11"/>
      <c r="P78" s="6">
        <v>4860.37</v>
      </c>
      <c r="Q78" s="2"/>
      <c r="R78" s="7">
        <f t="shared" si="17"/>
        <v>8.1059217222364793E-3</v>
      </c>
      <c r="S78" s="2"/>
      <c r="T78" s="6">
        <v>3161.2499999999973</v>
      </c>
      <c r="U78" s="2"/>
      <c r="V78" s="7">
        <f t="shared" si="18"/>
        <v>3.3374119525007998E-3</v>
      </c>
      <c r="W78" s="2"/>
      <c r="X78" s="6">
        <f t="shared" si="19"/>
        <v>1699.1200000000026</v>
      </c>
      <c r="Y78" s="2"/>
      <c r="Z78" s="7">
        <f t="shared" si="20"/>
        <v>0.53748359035191906</v>
      </c>
    </row>
    <row r="79" spans="1:26" s="24" customFormat="1" hidden="1" outlineLevel="2" x14ac:dyDescent="0.25">
      <c r="A79" s="29"/>
      <c r="B79" s="11" t="str">
        <f>CONCATENATE("          ", "6119", " - ", "SICK LEAVE")</f>
        <v xml:space="preserve">          6119 - SICK LEAVE</v>
      </c>
      <c r="C79" s="11"/>
      <c r="D79" s="6">
        <v>1223.8800000000001</v>
      </c>
      <c r="E79" s="2"/>
      <c r="F79" s="7">
        <f t="shared" si="13"/>
        <v>1.0757667171553097E-2</v>
      </c>
      <c r="G79" s="2"/>
      <c r="H79" s="6">
        <v>1530.897307692305</v>
      </c>
      <c r="I79" s="2"/>
      <c r="J79" s="7">
        <f t="shared" si="14"/>
        <v>4.4765566148186739E-3</v>
      </c>
      <c r="K79" s="2"/>
      <c r="L79" s="6">
        <f t="shared" si="15"/>
        <v>-307.01730769230494</v>
      </c>
      <c r="M79" s="2"/>
      <c r="N79" s="7">
        <f t="shared" si="16"/>
        <v>-0.20054729089249423</v>
      </c>
      <c r="O79" s="11"/>
      <c r="P79" s="6">
        <v>3544.23</v>
      </c>
      <c r="Q79" s="2"/>
      <c r="R79" s="7">
        <f t="shared" si="17"/>
        <v>5.9109184991270611E-3</v>
      </c>
      <c r="S79" s="2"/>
      <c r="T79" s="6">
        <v>4776.2199999999912</v>
      </c>
      <c r="U79" s="2"/>
      <c r="V79" s="7">
        <f t="shared" si="18"/>
        <v>5.0423768179591478E-3</v>
      </c>
      <c r="W79" s="2"/>
      <c r="X79" s="6">
        <f t="shared" si="19"/>
        <v>-1231.9899999999911</v>
      </c>
      <c r="Y79" s="2"/>
      <c r="Z79" s="7">
        <f t="shared" si="20"/>
        <v>-0.25794247333665399</v>
      </c>
    </row>
    <row r="80" spans="1:26" s="24" customFormat="1" hidden="1" outlineLevel="2" x14ac:dyDescent="0.25">
      <c r="A80" s="29"/>
      <c r="B80" s="11" t="str">
        <f>CONCATENATE("          ", "6156", " - ", "EMPLOYEE MEALS")</f>
        <v xml:space="preserve">          6156 - EMPLOYEE MEALS</v>
      </c>
      <c r="C80" s="11"/>
      <c r="D80" s="6">
        <v>517.30999999999995</v>
      </c>
      <c r="E80" s="2"/>
      <c r="F80" s="7">
        <f t="shared" si="13"/>
        <v>4.5470542900579568E-3</v>
      </c>
      <c r="G80" s="2"/>
      <c r="H80" s="6">
        <v>875</v>
      </c>
      <c r="I80" s="2"/>
      <c r="J80" s="7">
        <f t="shared" si="14"/>
        <v>2.5586216778125102E-3</v>
      </c>
      <c r="K80" s="2"/>
      <c r="L80" s="6">
        <f t="shared" si="15"/>
        <v>-357.69000000000005</v>
      </c>
      <c r="M80" s="2"/>
      <c r="N80" s="7">
        <f t="shared" si="16"/>
        <v>-0.4087885714285715</v>
      </c>
      <c r="O80" s="11"/>
      <c r="P80" s="6">
        <v>1464.75</v>
      </c>
      <c r="Q80" s="2"/>
      <c r="R80" s="7">
        <f t="shared" si="17"/>
        <v>2.4428487630871482E-3</v>
      </c>
      <c r="S80" s="2"/>
      <c r="T80" s="6">
        <v>2625</v>
      </c>
      <c r="U80" s="2"/>
      <c r="V80" s="7">
        <f t="shared" si="18"/>
        <v>2.7712792013648421E-3</v>
      </c>
      <c r="W80" s="2"/>
      <c r="X80" s="6">
        <f t="shared" si="19"/>
        <v>-1160.25</v>
      </c>
      <c r="Y80" s="2"/>
      <c r="Z80" s="7">
        <f t="shared" si="20"/>
        <v>-0.442</v>
      </c>
    </row>
    <row r="81" spans="1:26" s="28" customFormat="1" outlineLevel="1" collapsed="1" x14ac:dyDescent="0.25">
      <c r="A81" s="27"/>
      <c r="B81" s="14" t="str">
        <f>CONCATENATE("     ","*Payroll                                          ")</f>
        <v xml:space="preserve">     *Payroll                                          </v>
      </c>
      <c r="C81" s="14"/>
      <c r="D81" s="1">
        <f>SUM(OSRRefD22_1x_0)</f>
        <v>38040.07</v>
      </c>
      <c r="E81" s="1"/>
      <c r="F81" s="5">
        <f t="shared" ref="F81:F91" si="21">IF(D$12=0,0,D81/D$12)</f>
        <v>0.33436481701031295</v>
      </c>
      <c r="G81" s="1"/>
      <c r="H81" s="1">
        <f>SUM(OSRRefH22_1x_0)</f>
        <v>65309.961538461517</v>
      </c>
      <c r="I81" s="1"/>
      <c r="J81" s="5">
        <f t="shared" ref="J81:J91" si="22">IF(H$12=0,0,H81/H$12)</f>
        <v>0.19097540956503875</v>
      </c>
      <c r="K81" s="1"/>
      <c r="L81" s="1">
        <f t="shared" ref="L81:L91" si="23">+D81-H81</f>
        <v>-27269.891538461517</v>
      </c>
      <c r="M81" s="1"/>
      <c r="N81" s="5">
        <f t="shared" ref="N81:N91" si="24">IF(H81=0,0,L81/H81)</f>
        <v>-0.41754566831894513</v>
      </c>
      <c r="O81" s="14"/>
      <c r="P81" s="1">
        <f>SUM(OSRRefP22_1x_0)</f>
        <v>111648.26</v>
      </c>
      <c r="Q81" s="1"/>
      <c r="R81" s="5">
        <f t="shared" ref="R81:R91" si="25">IF(P$12=0,0,P81/P$12)</f>
        <v>0.18620229652966874</v>
      </c>
      <c r="S81" s="1"/>
      <c r="T81" s="1">
        <f>SUM(OSRRefT22_1x_0)</f>
        <v>192337.75</v>
      </c>
      <c r="U81" s="1"/>
      <c r="V81" s="5">
        <f t="shared" ref="V81:V91" si="26">IF(T$12=0,0,T81/T$12)</f>
        <v>0.20305584998564216</v>
      </c>
      <c r="W81" s="1"/>
      <c r="X81" s="1">
        <f t="shared" ref="X81:X91" si="27">+P81-T81</f>
        <v>-80689.490000000005</v>
      </c>
      <c r="Y81" s="1"/>
      <c r="Z81" s="5">
        <f t="shared" ref="Z81:Z91" si="28">IF(T81=0,0,X81/T81)</f>
        <v>-0.41951977705884574</v>
      </c>
    </row>
    <row r="82" spans="1:26" s="24" customFormat="1" hidden="1" outlineLevel="2" x14ac:dyDescent="0.25">
      <c r="A82" s="29"/>
      <c r="B82" s="11" t="str">
        <f>CONCATENATE("          ", "6001", " - ", "ADMINISTRATIVE SALARIES")</f>
        <v xml:space="preserve">          6001 - ADMINISTRATIVE SALARIES</v>
      </c>
      <c r="C82" s="11"/>
      <c r="D82" s="6"/>
      <c r="E82" s="2"/>
      <c r="F82" s="7">
        <f t="shared" si="21"/>
        <v>0</v>
      </c>
      <c r="G82" s="2"/>
      <c r="H82" s="6">
        <v>0</v>
      </c>
      <c r="I82" s="2"/>
      <c r="J82" s="7">
        <f t="shared" si="22"/>
        <v>0</v>
      </c>
      <c r="K82" s="2"/>
      <c r="L82" s="6">
        <f t="shared" si="23"/>
        <v>0</v>
      </c>
      <c r="M82" s="2"/>
      <c r="N82" s="7">
        <f t="shared" si="24"/>
        <v>0</v>
      </c>
      <c r="O82" s="11"/>
      <c r="P82" s="6"/>
      <c r="Q82" s="2"/>
      <c r="R82" s="7">
        <f t="shared" si="25"/>
        <v>0</v>
      </c>
      <c r="S82" s="2"/>
      <c r="T82" s="6">
        <v>0</v>
      </c>
      <c r="U82" s="2"/>
      <c r="V82" s="7">
        <f t="shared" si="26"/>
        <v>0</v>
      </c>
      <c r="W82" s="2"/>
      <c r="X82" s="6">
        <f t="shared" si="27"/>
        <v>0</v>
      </c>
      <c r="Y82" s="2"/>
      <c r="Z82" s="7">
        <f t="shared" si="28"/>
        <v>0</v>
      </c>
    </row>
    <row r="83" spans="1:26" s="24" customFormat="1" hidden="1" outlineLevel="2" x14ac:dyDescent="0.25">
      <c r="A83" s="29"/>
      <c r="B83" s="11" t="str">
        <f>CONCATENATE("          ", "6002", " - ", "STAFF SALARIES")</f>
        <v xml:space="preserve">          6002 - STAFF SALARIES</v>
      </c>
      <c r="C83" s="11"/>
      <c r="D83" s="6">
        <v>15514.48</v>
      </c>
      <c r="E83" s="2"/>
      <c r="F83" s="7">
        <f t="shared" si="21"/>
        <v>0.13636926183916484</v>
      </c>
      <c r="G83" s="2"/>
      <c r="H83" s="6">
        <v>14052.461538461519</v>
      </c>
      <c r="I83" s="2"/>
      <c r="J83" s="7">
        <f t="shared" si="22"/>
        <v>4.1091351678781918E-2</v>
      </c>
      <c r="K83" s="2"/>
      <c r="L83" s="6">
        <f t="shared" si="23"/>
        <v>1462.0184615384806</v>
      </c>
      <c r="M83" s="2"/>
      <c r="N83" s="7">
        <f t="shared" si="24"/>
        <v>0.10404002583724874</v>
      </c>
      <c r="O83" s="11"/>
      <c r="P83" s="6">
        <v>55687.82</v>
      </c>
      <c r="Q83" s="2"/>
      <c r="R83" s="7">
        <f t="shared" si="25"/>
        <v>9.2873816150209759E-2</v>
      </c>
      <c r="S83" s="2"/>
      <c r="T83" s="6">
        <v>45670.499999999993</v>
      </c>
      <c r="U83" s="2"/>
      <c r="V83" s="7">
        <f t="shared" si="26"/>
        <v>4.8215507339403052E-2</v>
      </c>
      <c r="W83" s="2"/>
      <c r="X83" s="6">
        <f t="shared" si="27"/>
        <v>10017.320000000007</v>
      </c>
      <c r="Y83" s="2"/>
      <c r="Z83" s="7">
        <f t="shared" si="28"/>
        <v>0.21933896059819816</v>
      </c>
    </row>
    <row r="84" spans="1:26" s="24" customFormat="1" hidden="1" outlineLevel="2" x14ac:dyDescent="0.25">
      <c r="A84" s="29"/>
      <c r="B84" s="11" t="str">
        <f>CONCATENATE("          ", "6003", " - ", "STAFF HOURLY-9 MONTH")</f>
        <v xml:space="preserve">          6003 - STAFF HOURLY-9 MONTH</v>
      </c>
      <c r="C84" s="11"/>
      <c r="D84" s="6"/>
      <c r="E84" s="2"/>
      <c r="F84" s="7">
        <f t="shared" si="21"/>
        <v>0</v>
      </c>
      <c r="G84" s="2"/>
      <c r="H84" s="6">
        <v>0</v>
      </c>
      <c r="I84" s="2"/>
      <c r="J84" s="7">
        <f t="shared" si="22"/>
        <v>0</v>
      </c>
      <c r="K84" s="2"/>
      <c r="L84" s="6">
        <f t="shared" si="23"/>
        <v>0</v>
      </c>
      <c r="M84" s="2"/>
      <c r="N84" s="7">
        <f t="shared" si="24"/>
        <v>0</v>
      </c>
      <c r="O84" s="11"/>
      <c r="P84" s="6"/>
      <c r="Q84" s="2"/>
      <c r="R84" s="7">
        <f t="shared" si="25"/>
        <v>0</v>
      </c>
      <c r="S84" s="2"/>
      <c r="T84" s="6">
        <v>0</v>
      </c>
      <c r="U84" s="2"/>
      <c r="V84" s="7">
        <f t="shared" si="26"/>
        <v>0</v>
      </c>
      <c r="W84" s="2"/>
      <c r="X84" s="6">
        <f t="shared" si="27"/>
        <v>0</v>
      </c>
      <c r="Y84" s="2"/>
      <c r="Z84" s="7">
        <f t="shared" si="28"/>
        <v>0</v>
      </c>
    </row>
    <row r="85" spans="1:26" s="24" customFormat="1" hidden="1" outlineLevel="2" x14ac:dyDescent="0.25">
      <c r="A85" s="29"/>
      <c r="B85" s="11" t="str">
        <f>CONCATENATE("          ", "6004", " - ", "STAFF HOURLY")</f>
        <v xml:space="preserve">          6004 - STAFF HOURLY</v>
      </c>
      <c r="C85" s="11"/>
      <c r="D85" s="6">
        <v>9483.5400000000009</v>
      </c>
      <c r="E85" s="2"/>
      <c r="F85" s="7">
        <f t="shared" si="21"/>
        <v>8.3358472177101239E-2</v>
      </c>
      <c r="G85" s="2"/>
      <c r="H85" s="6">
        <v>6657</v>
      </c>
      <c r="I85" s="2"/>
      <c r="J85" s="7">
        <f t="shared" si="22"/>
        <v>1.9465993724797577E-2</v>
      </c>
      <c r="K85" s="2"/>
      <c r="L85" s="6">
        <f t="shared" si="23"/>
        <v>2826.5400000000009</v>
      </c>
      <c r="M85" s="2"/>
      <c r="N85" s="7">
        <f t="shared" si="24"/>
        <v>0.42459666516448863</v>
      </c>
      <c r="O85" s="11"/>
      <c r="P85" s="6">
        <v>23434.489999999998</v>
      </c>
      <c r="Q85" s="2"/>
      <c r="R85" s="7">
        <f t="shared" si="25"/>
        <v>3.9083061894574597E-2</v>
      </c>
      <c r="S85" s="2"/>
      <c r="T85" s="6">
        <v>21635.25</v>
      </c>
      <c r="U85" s="2"/>
      <c r="V85" s="7">
        <f t="shared" si="26"/>
        <v>2.284088317764903E-2</v>
      </c>
      <c r="W85" s="2"/>
      <c r="X85" s="6">
        <f t="shared" si="27"/>
        <v>1799.239999999998</v>
      </c>
      <c r="Y85" s="2"/>
      <c r="Z85" s="7">
        <f t="shared" si="28"/>
        <v>8.316243167978174E-2</v>
      </c>
    </row>
    <row r="86" spans="1:26" s="24" customFormat="1" hidden="1" outlineLevel="2" x14ac:dyDescent="0.25">
      <c r="A86" s="29"/>
      <c r="B86" s="11" t="str">
        <f>CONCATENATE("          ", "6005", " - ", "TEMPORARY WAGES-HOURLY")</f>
        <v xml:space="preserve">          6005 - TEMPORARY WAGES-HOURLY</v>
      </c>
      <c r="C86" s="11"/>
      <c r="D86" s="6">
        <v>6615.24</v>
      </c>
      <c r="E86" s="2"/>
      <c r="F86" s="7">
        <f t="shared" si="21"/>
        <v>5.8146673023454019E-2</v>
      </c>
      <c r="G86" s="2"/>
      <c r="H86" s="6">
        <v>0</v>
      </c>
      <c r="I86" s="2"/>
      <c r="J86" s="7">
        <f t="shared" si="22"/>
        <v>0</v>
      </c>
      <c r="K86" s="2"/>
      <c r="L86" s="6">
        <f t="shared" si="23"/>
        <v>6615.24</v>
      </c>
      <c r="M86" s="2"/>
      <c r="N86" s="7">
        <f t="shared" si="24"/>
        <v>0</v>
      </c>
      <c r="O86" s="11"/>
      <c r="P86" s="6">
        <v>13038.95</v>
      </c>
      <c r="Q86" s="2"/>
      <c r="R86" s="7">
        <f t="shared" si="25"/>
        <v>2.1745815244550382E-2</v>
      </c>
      <c r="S86" s="2"/>
      <c r="T86" s="6">
        <v>0</v>
      </c>
      <c r="U86" s="2"/>
      <c r="V86" s="7">
        <f t="shared" si="26"/>
        <v>0</v>
      </c>
      <c r="W86" s="2"/>
      <c r="X86" s="6">
        <f t="shared" si="27"/>
        <v>13038.95</v>
      </c>
      <c r="Y86" s="2"/>
      <c r="Z86" s="7">
        <f t="shared" si="28"/>
        <v>0</v>
      </c>
    </row>
    <row r="87" spans="1:26" s="24" customFormat="1" hidden="1" outlineLevel="2" x14ac:dyDescent="0.25">
      <c r="A87" s="29"/>
      <c r="B87" s="11" t="str">
        <f>CONCATENATE("          ", "6006", " - ", "TEMPORARY PART TIME")</f>
        <v xml:space="preserve">          6006 - TEMPORARY PART TIME</v>
      </c>
      <c r="C87" s="11"/>
      <c r="D87" s="6"/>
      <c r="E87" s="2"/>
      <c r="F87" s="7">
        <f t="shared" si="21"/>
        <v>0</v>
      </c>
      <c r="G87" s="2"/>
      <c r="H87" s="6">
        <v>0</v>
      </c>
      <c r="I87" s="2"/>
      <c r="J87" s="7">
        <f t="shared" si="22"/>
        <v>0</v>
      </c>
      <c r="K87" s="2"/>
      <c r="L87" s="6">
        <f t="shared" si="23"/>
        <v>0</v>
      </c>
      <c r="M87" s="2"/>
      <c r="N87" s="7">
        <f t="shared" si="24"/>
        <v>0</v>
      </c>
      <c r="O87" s="11"/>
      <c r="P87" s="6"/>
      <c r="Q87" s="2"/>
      <c r="R87" s="7">
        <f t="shared" si="25"/>
        <v>0</v>
      </c>
      <c r="S87" s="2"/>
      <c r="T87" s="6">
        <v>0</v>
      </c>
      <c r="U87" s="2"/>
      <c r="V87" s="7">
        <f t="shared" si="26"/>
        <v>0</v>
      </c>
      <c r="W87" s="2"/>
      <c r="X87" s="6">
        <f t="shared" si="27"/>
        <v>0</v>
      </c>
      <c r="Y87" s="2"/>
      <c r="Z87" s="7">
        <f t="shared" si="28"/>
        <v>0</v>
      </c>
    </row>
    <row r="88" spans="1:26" s="24" customFormat="1" hidden="1" outlineLevel="2" x14ac:dyDescent="0.25">
      <c r="A88" s="29"/>
      <c r="B88" s="11" t="str">
        <f>CONCATENATE("          ", "6007", " - ", "STUDENT HOURLY")</f>
        <v xml:space="preserve">          6007 - STUDENT HOURLY</v>
      </c>
      <c r="C88" s="11"/>
      <c r="D88" s="6">
        <v>5371.14</v>
      </c>
      <c r="E88" s="2"/>
      <c r="F88" s="7">
        <f t="shared" si="21"/>
        <v>4.7211275984423068E-2</v>
      </c>
      <c r="G88" s="2"/>
      <c r="H88" s="6">
        <v>0</v>
      </c>
      <c r="I88" s="2"/>
      <c r="J88" s="7">
        <f t="shared" si="22"/>
        <v>0</v>
      </c>
      <c r="K88" s="2"/>
      <c r="L88" s="6">
        <f t="shared" si="23"/>
        <v>5371.14</v>
      </c>
      <c r="M88" s="2"/>
      <c r="N88" s="7">
        <f t="shared" si="24"/>
        <v>0</v>
      </c>
      <c r="O88" s="11"/>
      <c r="P88" s="6">
        <v>17998.3</v>
      </c>
      <c r="Q88" s="2"/>
      <c r="R88" s="7">
        <f t="shared" si="25"/>
        <v>3.0016811669343859E-2</v>
      </c>
      <c r="S88" s="2"/>
      <c r="T88" s="6">
        <v>80431.5</v>
      </c>
      <c r="U88" s="2"/>
      <c r="V88" s="7">
        <f t="shared" si="26"/>
        <v>8.4913578317933835E-2</v>
      </c>
      <c r="W88" s="2"/>
      <c r="X88" s="6">
        <f t="shared" si="27"/>
        <v>-62433.2</v>
      </c>
      <c r="Y88" s="2"/>
      <c r="Z88" s="7">
        <f t="shared" si="28"/>
        <v>-0.7762282190435339</v>
      </c>
    </row>
    <row r="89" spans="1:26" s="24" customFormat="1" hidden="1" outlineLevel="2" x14ac:dyDescent="0.25">
      <c r="A89" s="29"/>
      <c r="B89" s="11" t="str">
        <f>CONCATENATE("          ", "6008", " - ", "STUDENT HOURLY-FICA EXEMPT")</f>
        <v xml:space="preserve">          6008 - STUDENT HOURLY-FICA EXEMPT</v>
      </c>
      <c r="C89" s="11"/>
      <c r="D89" s="6">
        <v>1055.67</v>
      </c>
      <c r="E89" s="2"/>
      <c r="F89" s="7">
        <f t="shared" si="21"/>
        <v>9.2791339861697693E-3</v>
      </c>
      <c r="G89" s="2"/>
      <c r="H89" s="6">
        <v>44600.5</v>
      </c>
      <c r="I89" s="2"/>
      <c r="J89" s="7">
        <f t="shared" si="22"/>
        <v>0.13041806416145926</v>
      </c>
      <c r="K89" s="2"/>
      <c r="L89" s="6">
        <f t="shared" si="23"/>
        <v>-43544.83</v>
      </c>
      <c r="M89" s="2"/>
      <c r="N89" s="7">
        <f t="shared" si="24"/>
        <v>-0.97633053441104922</v>
      </c>
      <c r="O89" s="11"/>
      <c r="P89" s="6">
        <v>1488.7</v>
      </c>
      <c r="Q89" s="2"/>
      <c r="R89" s="7">
        <f t="shared" si="25"/>
        <v>2.4827915709901604E-3</v>
      </c>
      <c r="S89" s="2"/>
      <c r="T89" s="6">
        <v>44600.5</v>
      </c>
      <c r="U89" s="2"/>
      <c r="V89" s="7">
        <f t="shared" si="26"/>
        <v>4.7085881150656247E-2</v>
      </c>
      <c r="W89" s="2"/>
      <c r="X89" s="6">
        <f t="shared" si="27"/>
        <v>-43111.8</v>
      </c>
      <c r="Y89" s="2"/>
      <c r="Z89" s="7">
        <f t="shared" si="28"/>
        <v>-0.96662145043217007</v>
      </c>
    </row>
    <row r="90" spans="1:26" s="24" customFormat="1" hidden="1" outlineLevel="2" x14ac:dyDescent="0.25">
      <c r="A90" s="29"/>
      <c r="B90" s="11" t="str">
        <f>CONCATENATE("          ", "6009", " - ", "TEMPORARY-SEASONAL")</f>
        <v xml:space="preserve">          6009 - TEMPORARY-SEASONAL</v>
      </c>
      <c r="C90" s="11"/>
      <c r="D90" s="6"/>
      <c r="E90" s="2"/>
      <c r="F90" s="7">
        <f t="shared" si="21"/>
        <v>0</v>
      </c>
      <c r="G90" s="2"/>
      <c r="H90" s="6">
        <v>0</v>
      </c>
      <c r="I90" s="2"/>
      <c r="J90" s="7">
        <f t="shared" si="22"/>
        <v>0</v>
      </c>
      <c r="K90" s="2"/>
      <c r="L90" s="6">
        <f t="shared" si="23"/>
        <v>0</v>
      </c>
      <c r="M90" s="2"/>
      <c r="N90" s="7">
        <f t="shared" si="24"/>
        <v>0</v>
      </c>
      <c r="O90" s="11"/>
      <c r="P90" s="6"/>
      <c r="Q90" s="2"/>
      <c r="R90" s="7">
        <f t="shared" si="25"/>
        <v>0</v>
      </c>
      <c r="S90" s="2"/>
      <c r="T90" s="6">
        <v>0</v>
      </c>
      <c r="U90" s="2"/>
      <c r="V90" s="7">
        <f t="shared" si="26"/>
        <v>0</v>
      </c>
      <c r="W90" s="2"/>
      <c r="X90" s="6">
        <f t="shared" si="27"/>
        <v>0</v>
      </c>
      <c r="Y90" s="2"/>
      <c r="Z90" s="7">
        <f t="shared" si="28"/>
        <v>0</v>
      </c>
    </row>
    <row r="91" spans="1:26" s="24" customFormat="1" hidden="1" outlineLevel="2" x14ac:dyDescent="0.25">
      <c r="A91" s="29"/>
      <c r="B91" s="11" t="str">
        <f>CONCATENATE("          ", "6010", " - ", "GRATUITY")</f>
        <v xml:space="preserve">          6010 - GRATUITY</v>
      </c>
      <c r="C91" s="11"/>
      <c r="D91" s="6"/>
      <c r="E91" s="2"/>
      <c r="F91" s="7">
        <f t="shared" si="21"/>
        <v>0</v>
      </c>
      <c r="G91" s="2"/>
      <c r="H91" s="6">
        <v>0</v>
      </c>
      <c r="I91" s="2"/>
      <c r="J91" s="7">
        <f t="shared" si="22"/>
        <v>0</v>
      </c>
      <c r="K91" s="2"/>
      <c r="L91" s="6">
        <f t="shared" si="23"/>
        <v>0</v>
      </c>
      <c r="M91" s="2"/>
      <c r="N91" s="7">
        <f t="shared" si="24"/>
        <v>0</v>
      </c>
      <c r="O91" s="11"/>
      <c r="P91" s="6"/>
      <c r="Q91" s="2"/>
      <c r="R91" s="7">
        <f t="shared" si="25"/>
        <v>0</v>
      </c>
      <c r="S91" s="2"/>
      <c r="T91" s="6">
        <v>0</v>
      </c>
      <c r="U91" s="2"/>
      <c r="V91" s="7">
        <f t="shared" si="26"/>
        <v>0</v>
      </c>
      <c r="W91" s="2"/>
      <c r="X91" s="6">
        <f t="shared" si="27"/>
        <v>0</v>
      </c>
      <c r="Y91" s="2"/>
      <c r="Z91" s="7">
        <f t="shared" si="28"/>
        <v>0</v>
      </c>
    </row>
    <row r="92" spans="1:26" s="28" customFormat="1" outlineLevel="1" collapsed="1" x14ac:dyDescent="0.25">
      <c r="A92" s="27"/>
      <c r="B92" s="14" t="str">
        <f>CONCATENATE("     ","Advertising/Promo                                 ")</f>
        <v xml:space="preserve">     Advertising/Promo                                 </v>
      </c>
      <c r="C92" s="14"/>
      <c r="D92" s="1">
        <f>SUM(OSRRefD22_2x_0)</f>
        <v>391.39</v>
      </c>
      <c r="E92" s="1"/>
      <c r="F92" s="5">
        <f t="shared" ref="F92:F106" si="29">IF(D$12=0,0,D92/D$12)</f>
        <v>3.4402419798298576E-3</v>
      </c>
      <c r="G92" s="1"/>
      <c r="H92" s="1">
        <f>SUM(OSRRefH22_2x_0)</f>
        <v>630</v>
      </c>
      <c r="I92" s="1"/>
      <c r="J92" s="5">
        <f t="shared" ref="J92:J106" si="30">IF(H$12=0,0,H92/H$12)</f>
        <v>1.8422076080250073E-3</v>
      </c>
      <c r="K92" s="1"/>
      <c r="L92" s="1">
        <f t="shared" ref="L92:L106" si="31">+D92-H92</f>
        <v>-238.61</v>
      </c>
      <c r="M92" s="1"/>
      <c r="N92" s="5">
        <f t="shared" ref="N92:N106" si="32">IF(H92=0,0,L92/H92)</f>
        <v>-0.37874603174603177</v>
      </c>
      <c r="O92" s="14"/>
      <c r="P92" s="1">
        <f>SUM(OSRRefP22_2x_0)</f>
        <v>11033.71</v>
      </c>
      <c r="Q92" s="1"/>
      <c r="R92" s="5">
        <f t="shared" ref="R92:R106" si="33">IF(P$12=0,0,P92/P$12)</f>
        <v>1.8401559874219011E-2</v>
      </c>
      <c r="S92" s="1"/>
      <c r="T92" s="1">
        <f>SUM(OSRRefT22_2x_0)</f>
        <v>1890</v>
      </c>
      <c r="U92" s="1"/>
      <c r="V92" s="5">
        <f t="shared" ref="V92:V106" si="34">IF(T$12=0,0,T92/T$12)</f>
        <v>1.9953210249826865E-3</v>
      </c>
      <c r="W92" s="1"/>
      <c r="X92" s="1">
        <f t="shared" ref="X92:X106" si="35">+P92-T92</f>
        <v>9143.7099999999991</v>
      </c>
      <c r="Y92" s="1"/>
      <c r="Z92" s="5">
        <f t="shared" ref="Z92:Z106" si="36">IF(T92=0,0,X92/T92)</f>
        <v>4.8379417989417988</v>
      </c>
    </row>
    <row r="93" spans="1:26" s="24" customFormat="1" hidden="1" outlineLevel="2" x14ac:dyDescent="0.25">
      <c r="A93" s="29"/>
      <c r="B93" s="11" t="str">
        <f>CONCATENATE("          ", "6362", " - ", "ADVERTISING EXPENSE")</f>
        <v xml:space="preserve">          6362 - ADVERTISING EXPENSE</v>
      </c>
      <c r="C93" s="11"/>
      <c r="D93" s="6">
        <v>391.39</v>
      </c>
      <c r="E93" s="2"/>
      <c r="F93" s="7">
        <f t="shared" si="29"/>
        <v>3.4402419798298576E-3</v>
      </c>
      <c r="G93" s="2"/>
      <c r="H93" s="6">
        <v>630</v>
      </c>
      <c r="I93" s="2"/>
      <c r="J93" s="7">
        <f t="shared" si="30"/>
        <v>1.8422076080250073E-3</v>
      </c>
      <c r="K93" s="2"/>
      <c r="L93" s="6">
        <f t="shared" si="31"/>
        <v>-238.61</v>
      </c>
      <c r="M93" s="2"/>
      <c r="N93" s="7">
        <f t="shared" si="32"/>
        <v>-0.37874603174603177</v>
      </c>
      <c r="O93" s="11"/>
      <c r="P93" s="6">
        <v>11033.71</v>
      </c>
      <c r="Q93" s="2"/>
      <c r="R93" s="7">
        <f t="shared" si="33"/>
        <v>1.8401559874219011E-2</v>
      </c>
      <c r="S93" s="2"/>
      <c r="T93" s="6">
        <v>1890</v>
      </c>
      <c r="U93" s="2"/>
      <c r="V93" s="7">
        <f t="shared" si="34"/>
        <v>1.9953210249826865E-3</v>
      </c>
      <c r="W93" s="2"/>
      <c r="X93" s="6">
        <f t="shared" si="35"/>
        <v>9143.7099999999991</v>
      </c>
      <c r="Y93" s="2"/>
      <c r="Z93" s="7">
        <f t="shared" si="36"/>
        <v>4.8379417989417988</v>
      </c>
    </row>
    <row r="94" spans="1:26" s="28" customFormat="1" outlineLevel="1" collapsed="1" x14ac:dyDescent="0.25">
      <c r="A94" s="27"/>
      <c r="B94" s="14" t="str">
        <f>CONCATENATE("     ","Bad Debts/Over/Short                              ")</f>
        <v xml:space="preserve">     Bad Debts/Over/Short                              </v>
      </c>
      <c r="C94" s="14"/>
      <c r="D94" s="1">
        <f>SUM(OSRRefD22_3x_0)</f>
        <v>-2.96</v>
      </c>
      <c r="E94" s="1"/>
      <c r="F94" s="5">
        <f t="shared" si="29"/>
        <v>-2.6017824319211985E-5</v>
      </c>
      <c r="G94" s="1"/>
      <c r="H94" s="1">
        <f>SUM(OSRRefH22_3x_0)</f>
        <v>10</v>
      </c>
      <c r="I94" s="1"/>
      <c r="J94" s="5">
        <f t="shared" si="30"/>
        <v>2.9241390603571545E-5</v>
      </c>
      <c r="K94" s="1"/>
      <c r="L94" s="1">
        <f t="shared" si="31"/>
        <v>-12.96</v>
      </c>
      <c r="M94" s="1"/>
      <c r="N94" s="5">
        <f t="shared" si="32"/>
        <v>-1.296</v>
      </c>
      <c r="O94" s="14"/>
      <c r="P94" s="1">
        <f>SUM(OSRRefP22_3x_0)</f>
        <v>0.7</v>
      </c>
      <c r="Q94" s="1"/>
      <c r="R94" s="5">
        <f t="shared" si="33"/>
        <v>1.167430711152759E-6</v>
      </c>
      <c r="S94" s="1"/>
      <c r="T94" s="1">
        <f>SUM(OSRRefT22_3x_0)</f>
        <v>30</v>
      </c>
      <c r="U94" s="1"/>
      <c r="V94" s="5">
        <f t="shared" si="34"/>
        <v>3.1671762301312482E-5</v>
      </c>
      <c r="W94" s="1"/>
      <c r="X94" s="1">
        <f t="shared" si="35"/>
        <v>-29.3</v>
      </c>
      <c r="Y94" s="1"/>
      <c r="Z94" s="5">
        <f t="shared" si="36"/>
        <v>-0.97666666666666668</v>
      </c>
    </row>
    <row r="95" spans="1:26" s="24" customFormat="1" hidden="1" outlineLevel="2" x14ac:dyDescent="0.25">
      <c r="A95" s="29"/>
      <c r="B95" s="11" t="str">
        <f>CONCATENATE("          ", "6272", " - ", "CASH (OVER/SHORT)")</f>
        <v xml:space="preserve">          6272 - CASH (OVER/SHORT)</v>
      </c>
      <c r="C95" s="11"/>
      <c r="D95" s="6">
        <v>-2.96</v>
      </c>
      <c r="E95" s="2"/>
      <c r="F95" s="7">
        <f t="shared" si="29"/>
        <v>-2.6017824319211985E-5</v>
      </c>
      <c r="G95" s="2"/>
      <c r="H95" s="6">
        <v>10</v>
      </c>
      <c r="I95" s="2"/>
      <c r="J95" s="7">
        <f t="shared" si="30"/>
        <v>2.9241390603571545E-5</v>
      </c>
      <c r="K95" s="2"/>
      <c r="L95" s="6">
        <f t="shared" si="31"/>
        <v>-12.96</v>
      </c>
      <c r="M95" s="2"/>
      <c r="N95" s="7">
        <f t="shared" si="32"/>
        <v>-1.296</v>
      </c>
      <c r="O95" s="11"/>
      <c r="P95" s="6">
        <v>0.7</v>
      </c>
      <c r="Q95" s="2"/>
      <c r="R95" s="7">
        <f t="shared" si="33"/>
        <v>1.167430711152759E-6</v>
      </c>
      <c r="S95" s="2"/>
      <c r="T95" s="6">
        <v>30</v>
      </c>
      <c r="U95" s="2"/>
      <c r="V95" s="7">
        <f t="shared" si="34"/>
        <v>3.1671762301312482E-5</v>
      </c>
      <c r="W95" s="2"/>
      <c r="X95" s="6">
        <f t="shared" si="35"/>
        <v>-29.3</v>
      </c>
      <c r="Y95" s="2"/>
      <c r="Z95" s="7">
        <f t="shared" si="36"/>
        <v>-0.97666666666666668</v>
      </c>
    </row>
    <row r="96" spans="1:26" s="28" customFormat="1" outlineLevel="1" collapsed="1" x14ac:dyDescent="0.25">
      <c r="A96" s="27"/>
      <c r="B96" s="14" t="str">
        <f>CONCATENATE("     ","Bank/card Fees                                    ")</f>
        <v xml:space="preserve">     Bank/card Fees                                    </v>
      </c>
      <c r="C96" s="14"/>
      <c r="D96" s="1">
        <f>SUM(OSRRefD22_4x_0)</f>
        <v>306.45</v>
      </c>
      <c r="E96" s="1"/>
      <c r="F96" s="5">
        <f t="shared" si="29"/>
        <v>2.6936358995346328E-3</v>
      </c>
      <c r="G96" s="1"/>
      <c r="H96" s="1">
        <f>SUM(OSRRefH22_4x_0)</f>
        <v>470</v>
      </c>
      <c r="I96" s="1"/>
      <c r="J96" s="5">
        <f t="shared" si="30"/>
        <v>1.3743453583678626E-3</v>
      </c>
      <c r="K96" s="1"/>
      <c r="L96" s="1">
        <f t="shared" si="31"/>
        <v>-163.55000000000001</v>
      </c>
      <c r="M96" s="1"/>
      <c r="N96" s="5">
        <f t="shared" si="32"/>
        <v>-0.34797872340425534</v>
      </c>
      <c r="O96" s="14"/>
      <c r="P96" s="1">
        <f>SUM(OSRRefP22_4x_0)</f>
        <v>1066.17</v>
      </c>
      <c r="Q96" s="1"/>
      <c r="R96" s="5">
        <f t="shared" si="33"/>
        <v>1.7781137161567674E-3</v>
      </c>
      <c r="S96" s="1"/>
      <c r="T96" s="1">
        <f>SUM(OSRRefT22_4x_0)</f>
        <v>1696</v>
      </c>
      <c r="U96" s="1"/>
      <c r="V96" s="5">
        <f t="shared" si="34"/>
        <v>1.790510295434199E-3</v>
      </c>
      <c r="W96" s="1"/>
      <c r="X96" s="1">
        <f t="shared" si="35"/>
        <v>-629.82999999999993</v>
      </c>
      <c r="Y96" s="1"/>
      <c r="Z96" s="5">
        <f t="shared" si="36"/>
        <v>-0.37136202830188675</v>
      </c>
    </row>
    <row r="97" spans="1:26" s="24" customFormat="1" hidden="1" outlineLevel="2" x14ac:dyDescent="0.25">
      <c r="A97" s="29"/>
      <c r="B97" s="11" t="str">
        <f>CONCATENATE("          ", "6381", " - ", "BANK/CREDIT CARD FEES")</f>
        <v xml:space="preserve">          6381 - BANK/CREDIT CARD FEES</v>
      </c>
      <c r="C97" s="11"/>
      <c r="D97" s="6">
        <v>306.45</v>
      </c>
      <c r="E97" s="2"/>
      <c r="F97" s="7">
        <f t="shared" si="29"/>
        <v>2.6936358995346328E-3</v>
      </c>
      <c r="G97" s="2"/>
      <c r="H97" s="6">
        <v>470</v>
      </c>
      <c r="I97" s="2"/>
      <c r="J97" s="7">
        <f t="shared" si="30"/>
        <v>1.3743453583678626E-3</v>
      </c>
      <c r="K97" s="2"/>
      <c r="L97" s="6">
        <f t="shared" si="31"/>
        <v>-163.55000000000001</v>
      </c>
      <c r="M97" s="2"/>
      <c r="N97" s="7">
        <f t="shared" si="32"/>
        <v>-0.34797872340425534</v>
      </c>
      <c r="O97" s="11"/>
      <c r="P97" s="6">
        <v>1066.17</v>
      </c>
      <c r="Q97" s="2"/>
      <c r="R97" s="7">
        <f t="shared" si="33"/>
        <v>1.7781137161567674E-3</v>
      </c>
      <c r="S97" s="2"/>
      <c r="T97" s="6">
        <v>1696</v>
      </c>
      <c r="U97" s="2"/>
      <c r="V97" s="7">
        <f t="shared" si="34"/>
        <v>1.790510295434199E-3</v>
      </c>
      <c r="W97" s="2"/>
      <c r="X97" s="6">
        <f t="shared" si="35"/>
        <v>-629.82999999999993</v>
      </c>
      <c r="Y97" s="2"/>
      <c r="Z97" s="7">
        <f t="shared" si="36"/>
        <v>-0.37136202830188675</v>
      </c>
    </row>
    <row r="98" spans="1:26" s="28" customFormat="1" outlineLevel="1" collapsed="1" x14ac:dyDescent="0.25">
      <c r="A98" s="27"/>
      <c r="B98" s="14" t="str">
        <f>CONCATENATE("     ","Discounts and Markdowns                           ")</f>
        <v xml:space="preserve">     Discounts and Markdowns                           </v>
      </c>
      <c r="C98" s="14"/>
      <c r="D98" s="1">
        <f>SUM(OSRRefD22_5x_0)</f>
        <v>830.95</v>
      </c>
      <c r="E98" s="1"/>
      <c r="F98" s="5">
        <f t="shared" si="29"/>
        <v>7.3038888912328381E-3</v>
      </c>
      <c r="G98" s="1"/>
      <c r="H98" s="1">
        <f>SUM(OSRRefH22_5x_0)</f>
        <v>26421</v>
      </c>
      <c r="I98" s="1"/>
      <c r="J98" s="5">
        <f t="shared" si="30"/>
        <v>7.7258678113696369E-2</v>
      </c>
      <c r="K98" s="1"/>
      <c r="L98" s="1">
        <f t="shared" si="31"/>
        <v>-25590.05</v>
      </c>
      <c r="M98" s="1"/>
      <c r="N98" s="5">
        <f t="shared" si="32"/>
        <v>-0.96854963854509668</v>
      </c>
      <c r="O98" s="14"/>
      <c r="P98" s="1">
        <f>SUM(OSRRefP22_5x_0)</f>
        <v>830.95</v>
      </c>
      <c r="Q98" s="1"/>
      <c r="R98" s="5">
        <f t="shared" si="33"/>
        <v>1.3858236420462645E-3</v>
      </c>
      <c r="S98" s="1"/>
      <c r="T98" s="1">
        <f>SUM(OSRRefT22_5x_0)</f>
        <v>74688</v>
      </c>
      <c r="U98" s="1"/>
      <c r="V98" s="5">
        <f t="shared" si="34"/>
        <v>7.8850019425347556E-2</v>
      </c>
      <c r="W98" s="1"/>
      <c r="X98" s="1">
        <f t="shared" si="35"/>
        <v>-73857.05</v>
      </c>
      <c r="Y98" s="1"/>
      <c r="Z98" s="5">
        <f t="shared" si="36"/>
        <v>-0.98887438410454165</v>
      </c>
    </row>
    <row r="99" spans="1:26" s="24" customFormat="1" hidden="1" outlineLevel="2" x14ac:dyDescent="0.25">
      <c r="A99" s="29"/>
      <c r="B99" s="11" t="str">
        <f>CONCATENATE("          ", "6382", " - ", "DISCOUNTS/MARK DOWNS")</f>
        <v xml:space="preserve">          6382 - DISCOUNTS/MARK DOWNS</v>
      </c>
      <c r="C99" s="11"/>
      <c r="D99" s="6">
        <v>830.95</v>
      </c>
      <c r="E99" s="2"/>
      <c r="F99" s="7">
        <f t="shared" si="29"/>
        <v>7.3038888912328381E-3</v>
      </c>
      <c r="G99" s="2"/>
      <c r="H99" s="6">
        <v>26421</v>
      </c>
      <c r="I99" s="2"/>
      <c r="J99" s="7">
        <f t="shared" si="30"/>
        <v>7.7258678113696369E-2</v>
      </c>
      <c r="K99" s="2"/>
      <c r="L99" s="6">
        <f t="shared" si="31"/>
        <v>-25590.05</v>
      </c>
      <c r="M99" s="2"/>
      <c r="N99" s="7">
        <f t="shared" si="32"/>
        <v>-0.96854963854509668</v>
      </c>
      <c r="O99" s="11"/>
      <c r="P99" s="6">
        <v>830.95</v>
      </c>
      <c r="Q99" s="2"/>
      <c r="R99" s="7">
        <f t="shared" si="33"/>
        <v>1.3858236420462645E-3</v>
      </c>
      <c r="S99" s="2"/>
      <c r="T99" s="6">
        <v>74688</v>
      </c>
      <c r="U99" s="2"/>
      <c r="V99" s="7">
        <f t="shared" si="34"/>
        <v>7.8850019425347556E-2</v>
      </c>
      <c r="W99" s="2"/>
      <c r="X99" s="6">
        <f t="shared" si="35"/>
        <v>-73857.05</v>
      </c>
      <c r="Y99" s="2"/>
      <c r="Z99" s="7">
        <f t="shared" si="36"/>
        <v>-0.98887438410454165</v>
      </c>
    </row>
    <row r="100" spans="1:26" s="28" customFormat="1" outlineLevel="1" collapsed="1" x14ac:dyDescent="0.25">
      <c r="A100" s="27"/>
      <c r="B100" s="14" t="str">
        <f>CONCATENATE("     ","Donations                                         ")</f>
        <v xml:space="preserve">     Donations                                         </v>
      </c>
      <c r="C100" s="14"/>
      <c r="D100" s="1">
        <f>SUM(OSRRefD22_6x_0)</f>
        <v>0</v>
      </c>
      <c r="E100" s="1"/>
      <c r="F100" s="5">
        <f t="shared" si="29"/>
        <v>0</v>
      </c>
      <c r="G100" s="1"/>
      <c r="H100" s="1">
        <f>SUM(OSRRefH22_6x_0)</f>
        <v>0</v>
      </c>
      <c r="I100" s="1"/>
      <c r="J100" s="5">
        <f t="shared" si="30"/>
        <v>0</v>
      </c>
      <c r="K100" s="1"/>
      <c r="L100" s="1">
        <f t="shared" si="31"/>
        <v>0</v>
      </c>
      <c r="M100" s="1"/>
      <c r="N100" s="5">
        <f t="shared" si="32"/>
        <v>0</v>
      </c>
      <c r="O100" s="14"/>
      <c r="P100" s="1">
        <f>SUM(OSRRefP22_6x_0)</f>
        <v>0</v>
      </c>
      <c r="Q100" s="1"/>
      <c r="R100" s="5">
        <f t="shared" si="33"/>
        <v>0</v>
      </c>
      <c r="S100" s="1"/>
      <c r="T100" s="1">
        <f>SUM(OSRRefT22_6x_0)</f>
        <v>0</v>
      </c>
      <c r="U100" s="1"/>
      <c r="V100" s="5">
        <f t="shared" si="34"/>
        <v>0</v>
      </c>
      <c r="W100" s="1"/>
      <c r="X100" s="1">
        <f t="shared" si="35"/>
        <v>0</v>
      </c>
      <c r="Y100" s="1"/>
      <c r="Z100" s="5">
        <f t="shared" si="36"/>
        <v>0</v>
      </c>
    </row>
    <row r="101" spans="1:26" s="24" customFormat="1" hidden="1" outlineLevel="2" x14ac:dyDescent="0.25">
      <c r="A101" s="29"/>
      <c r="B101" s="11" t="str">
        <f>CONCATENATE("          ", "6395", " - ", "DONATION-OFF CAMPUS")</f>
        <v xml:space="preserve">          6395 - DONATION-OFF CAMPUS</v>
      </c>
      <c r="C101" s="11"/>
      <c r="D101" s="6"/>
      <c r="E101" s="2"/>
      <c r="F101" s="7">
        <f t="shared" si="29"/>
        <v>0</v>
      </c>
      <c r="G101" s="2"/>
      <c r="H101" s="6"/>
      <c r="I101" s="2"/>
      <c r="J101" s="7">
        <f t="shared" si="30"/>
        <v>0</v>
      </c>
      <c r="K101" s="2"/>
      <c r="L101" s="6">
        <f t="shared" si="31"/>
        <v>0</v>
      </c>
      <c r="M101" s="2"/>
      <c r="N101" s="7">
        <f t="shared" si="32"/>
        <v>0</v>
      </c>
      <c r="O101" s="11"/>
      <c r="P101" s="6"/>
      <c r="Q101" s="2"/>
      <c r="R101" s="7">
        <f t="shared" si="33"/>
        <v>0</v>
      </c>
      <c r="S101" s="2"/>
      <c r="T101" s="6">
        <v>0</v>
      </c>
      <c r="U101" s="2"/>
      <c r="V101" s="7">
        <f t="shared" si="34"/>
        <v>0</v>
      </c>
      <c r="W101" s="2"/>
      <c r="X101" s="6">
        <f t="shared" si="35"/>
        <v>0</v>
      </c>
      <c r="Y101" s="2"/>
      <c r="Z101" s="7">
        <f t="shared" si="36"/>
        <v>0</v>
      </c>
    </row>
    <row r="102" spans="1:26" s="28" customFormat="1" outlineLevel="1" collapsed="1" x14ac:dyDescent="0.25">
      <c r="A102" s="27"/>
      <c r="B102" s="14" t="str">
        <f>CONCATENATE("     ","Employees' Appreciation                           ")</f>
        <v xml:space="preserve">     Employees' Appreciation                           </v>
      </c>
      <c r="C102" s="14"/>
      <c r="D102" s="1">
        <f>SUM(OSRRefD22_7x_0)</f>
        <v>0</v>
      </c>
      <c r="E102" s="1"/>
      <c r="F102" s="5">
        <f t="shared" si="29"/>
        <v>0</v>
      </c>
      <c r="G102" s="1"/>
      <c r="H102" s="1">
        <f>SUM(OSRRefH22_7x_0)</f>
        <v>200</v>
      </c>
      <c r="I102" s="1"/>
      <c r="J102" s="5">
        <f t="shared" si="30"/>
        <v>5.8482781207143083E-4</v>
      </c>
      <c r="K102" s="1"/>
      <c r="L102" s="1">
        <f t="shared" si="31"/>
        <v>-200</v>
      </c>
      <c r="M102" s="1"/>
      <c r="N102" s="5">
        <f t="shared" si="32"/>
        <v>-1</v>
      </c>
      <c r="O102" s="14"/>
      <c r="P102" s="1">
        <f>SUM(OSRRefP22_7x_0)</f>
        <v>0</v>
      </c>
      <c r="Q102" s="1"/>
      <c r="R102" s="5">
        <f t="shared" si="33"/>
        <v>0</v>
      </c>
      <c r="S102" s="1"/>
      <c r="T102" s="1">
        <f>SUM(OSRRefT22_7x_0)</f>
        <v>600</v>
      </c>
      <c r="U102" s="1"/>
      <c r="V102" s="5">
        <f t="shared" si="34"/>
        <v>6.3343524602624962E-4</v>
      </c>
      <c r="W102" s="1"/>
      <c r="X102" s="1">
        <f t="shared" si="35"/>
        <v>-600</v>
      </c>
      <c r="Y102" s="1"/>
      <c r="Z102" s="5">
        <f t="shared" si="36"/>
        <v>-1</v>
      </c>
    </row>
    <row r="103" spans="1:26" s="24" customFormat="1" hidden="1" outlineLevel="2" x14ac:dyDescent="0.25">
      <c r="A103" s="29"/>
      <c r="B103" s="11" t="str">
        <f>CONCATENATE("          ", "6277", " - ", "EMPLOYEE APPRECIATION")</f>
        <v xml:space="preserve">          6277 - EMPLOYEE APPRECIATION</v>
      </c>
      <c r="C103" s="11"/>
      <c r="D103" s="6"/>
      <c r="E103" s="2"/>
      <c r="F103" s="7">
        <f t="shared" si="29"/>
        <v>0</v>
      </c>
      <c r="G103" s="2"/>
      <c r="H103" s="6">
        <v>200</v>
      </c>
      <c r="I103" s="2"/>
      <c r="J103" s="7">
        <f t="shared" si="30"/>
        <v>5.8482781207143083E-4</v>
      </c>
      <c r="K103" s="2"/>
      <c r="L103" s="6">
        <f t="shared" si="31"/>
        <v>-200</v>
      </c>
      <c r="M103" s="2"/>
      <c r="N103" s="7">
        <f t="shared" si="32"/>
        <v>-1</v>
      </c>
      <c r="O103" s="11"/>
      <c r="P103" s="6"/>
      <c r="Q103" s="2"/>
      <c r="R103" s="7">
        <f t="shared" si="33"/>
        <v>0</v>
      </c>
      <c r="S103" s="2"/>
      <c r="T103" s="6">
        <v>600</v>
      </c>
      <c r="U103" s="2"/>
      <c r="V103" s="7">
        <f t="shared" si="34"/>
        <v>6.3343524602624962E-4</v>
      </c>
      <c r="W103" s="2"/>
      <c r="X103" s="6">
        <f t="shared" si="35"/>
        <v>-600</v>
      </c>
      <c r="Y103" s="2"/>
      <c r="Z103" s="7">
        <f t="shared" si="36"/>
        <v>-1</v>
      </c>
    </row>
    <row r="104" spans="1:26" s="28" customFormat="1" outlineLevel="1" collapsed="1" x14ac:dyDescent="0.25">
      <c r="A104" s="27"/>
      <c r="B104" s="14" t="str">
        <f>CONCATENATE("     ","Freight out/Postage                               ")</f>
        <v xml:space="preserve">     Freight out/Postage                               </v>
      </c>
      <c r="C104" s="14"/>
      <c r="D104" s="1">
        <f>SUM(OSRRefD22_8x_0)</f>
        <v>30.66</v>
      </c>
      <c r="E104" s="1"/>
      <c r="F104" s="5">
        <f t="shared" si="29"/>
        <v>2.69495437036162E-4</v>
      </c>
      <c r="G104" s="1"/>
      <c r="H104" s="1">
        <f>SUM(OSRRefH22_8x_0)</f>
        <v>10</v>
      </c>
      <c r="I104" s="1"/>
      <c r="J104" s="5">
        <f t="shared" si="30"/>
        <v>2.9241390603571545E-5</v>
      </c>
      <c r="K104" s="1"/>
      <c r="L104" s="1">
        <f t="shared" si="31"/>
        <v>20.66</v>
      </c>
      <c r="M104" s="1"/>
      <c r="N104" s="5">
        <f t="shared" si="32"/>
        <v>2.0659999999999998</v>
      </c>
      <c r="O104" s="14"/>
      <c r="P104" s="1">
        <f>SUM(OSRRefP22_8x_0)</f>
        <v>81.11</v>
      </c>
      <c r="Q104" s="1"/>
      <c r="R104" s="5">
        <f t="shared" si="33"/>
        <v>1.3527186425942898E-4</v>
      </c>
      <c r="S104" s="1"/>
      <c r="T104" s="1">
        <f>SUM(OSRRefT22_8x_0)</f>
        <v>30</v>
      </c>
      <c r="U104" s="1"/>
      <c r="V104" s="5">
        <f t="shared" si="34"/>
        <v>3.1671762301312482E-5</v>
      </c>
      <c r="W104" s="1"/>
      <c r="X104" s="1">
        <f t="shared" si="35"/>
        <v>51.11</v>
      </c>
      <c r="Y104" s="1"/>
      <c r="Z104" s="5">
        <f t="shared" si="36"/>
        <v>1.7036666666666667</v>
      </c>
    </row>
    <row r="105" spans="1:26" s="24" customFormat="1" hidden="1" outlineLevel="2" x14ac:dyDescent="0.25">
      <c r="A105" s="29"/>
      <c r="B105" s="11" t="str">
        <f>CONCATENATE("          ", "6305", " - ", "FREIGHT OUT")</f>
        <v xml:space="preserve">          6305 - FREIGHT OUT</v>
      </c>
      <c r="C105" s="11"/>
      <c r="D105" s="6">
        <v>30.66</v>
      </c>
      <c r="E105" s="2"/>
      <c r="F105" s="7">
        <f t="shared" si="29"/>
        <v>2.69495437036162E-4</v>
      </c>
      <c r="G105" s="2"/>
      <c r="H105" s="6"/>
      <c r="I105" s="2"/>
      <c r="J105" s="7">
        <f t="shared" si="30"/>
        <v>0</v>
      </c>
      <c r="K105" s="2"/>
      <c r="L105" s="6">
        <f t="shared" si="31"/>
        <v>30.66</v>
      </c>
      <c r="M105" s="2"/>
      <c r="N105" s="7">
        <f t="shared" si="32"/>
        <v>0</v>
      </c>
      <c r="O105" s="11"/>
      <c r="P105" s="6">
        <v>81.11</v>
      </c>
      <c r="Q105" s="2"/>
      <c r="R105" s="7">
        <f t="shared" si="33"/>
        <v>1.3527186425942898E-4</v>
      </c>
      <c r="S105" s="2"/>
      <c r="T105" s="6"/>
      <c r="U105" s="2"/>
      <c r="V105" s="7">
        <f t="shared" si="34"/>
        <v>0</v>
      </c>
      <c r="W105" s="2"/>
      <c r="X105" s="6">
        <f t="shared" si="35"/>
        <v>81.11</v>
      </c>
      <c r="Y105" s="2"/>
      <c r="Z105" s="7">
        <f t="shared" si="36"/>
        <v>0</v>
      </c>
    </row>
    <row r="106" spans="1:26" s="24" customFormat="1" hidden="1" outlineLevel="2" x14ac:dyDescent="0.25">
      <c r="A106" s="29"/>
      <c r="B106" s="11" t="str">
        <f>CONCATENATE("          ", "6307", " - ", "POSTAGE")</f>
        <v xml:space="preserve">          6307 - POSTAGE</v>
      </c>
      <c r="C106" s="11"/>
      <c r="D106" s="6"/>
      <c r="E106" s="2"/>
      <c r="F106" s="7">
        <f t="shared" si="29"/>
        <v>0</v>
      </c>
      <c r="G106" s="2"/>
      <c r="H106" s="6">
        <v>10</v>
      </c>
      <c r="I106" s="2"/>
      <c r="J106" s="7">
        <f t="shared" si="30"/>
        <v>2.9241390603571545E-5</v>
      </c>
      <c r="K106" s="2"/>
      <c r="L106" s="6">
        <f t="shared" si="31"/>
        <v>-10</v>
      </c>
      <c r="M106" s="2"/>
      <c r="N106" s="7">
        <f t="shared" si="32"/>
        <v>-1</v>
      </c>
      <c r="O106" s="11"/>
      <c r="P106" s="6"/>
      <c r="Q106" s="2"/>
      <c r="R106" s="7">
        <f t="shared" si="33"/>
        <v>0</v>
      </c>
      <c r="S106" s="2"/>
      <c r="T106" s="6">
        <v>30</v>
      </c>
      <c r="U106" s="2"/>
      <c r="V106" s="7">
        <f t="shared" si="34"/>
        <v>3.1671762301312482E-5</v>
      </c>
      <c r="W106" s="2"/>
      <c r="X106" s="6">
        <f t="shared" si="35"/>
        <v>-30</v>
      </c>
      <c r="Y106" s="2"/>
      <c r="Z106" s="7">
        <f t="shared" si="36"/>
        <v>-1</v>
      </c>
    </row>
    <row r="107" spans="1:26" s="28" customFormat="1" outlineLevel="1" collapsed="1" x14ac:dyDescent="0.25">
      <c r="A107" s="27"/>
      <c r="B107" s="14" t="str">
        <f>CONCATENATE("     ","General                                           ")</f>
        <v xml:space="preserve">     General                                           </v>
      </c>
      <c r="C107" s="14"/>
      <c r="D107" s="1">
        <f>SUM(OSRRefD22_9x_0)</f>
        <v>0</v>
      </c>
      <c r="E107" s="1"/>
      <c r="F107" s="5">
        <f t="shared" ref="F107:F109" si="37">IF(D$12=0,0,D107/D$12)</f>
        <v>0</v>
      </c>
      <c r="G107" s="1"/>
      <c r="H107" s="1">
        <f>SUM(OSRRefH22_9x_0)</f>
        <v>0</v>
      </c>
      <c r="I107" s="1"/>
      <c r="J107" s="5">
        <f t="shared" ref="J107:J109" si="38">IF(H$12=0,0,H107/H$12)</f>
        <v>0</v>
      </c>
      <c r="K107" s="1"/>
      <c r="L107" s="1">
        <f t="shared" ref="L107:L109" si="39">+D107-H107</f>
        <v>0</v>
      </c>
      <c r="M107" s="1"/>
      <c r="N107" s="5">
        <f t="shared" ref="N107:N109" si="40">IF(H107=0,0,L107/H107)</f>
        <v>0</v>
      </c>
      <c r="O107" s="14"/>
      <c r="P107" s="1">
        <f>SUM(OSRRefP22_9x_0)</f>
        <v>0</v>
      </c>
      <c r="Q107" s="1"/>
      <c r="R107" s="5">
        <f t="shared" ref="R107:R109" si="41">IF(P$12=0,0,P107/P$12)</f>
        <v>0</v>
      </c>
      <c r="S107" s="1"/>
      <c r="T107" s="1">
        <f>SUM(OSRRefT22_9x_0)</f>
        <v>150</v>
      </c>
      <c r="U107" s="1"/>
      <c r="V107" s="5">
        <f t="shared" ref="V107:V109" si="42">IF(T$12=0,0,T107/T$12)</f>
        <v>1.5835881150656241E-4</v>
      </c>
      <c r="W107" s="1"/>
      <c r="X107" s="1">
        <f t="shared" ref="X107:X109" si="43">+P107-T107</f>
        <v>-150</v>
      </c>
      <c r="Y107" s="1"/>
      <c r="Z107" s="5">
        <f t="shared" ref="Z107:Z109" si="44">IF(T107=0,0,X107/T107)</f>
        <v>-1</v>
      </c>
    </row>
    <row r="108" spans="1:26" s="24" customFormat="1" hidden="1" outlineLevel="2" x14ac:dyDescent="0.25">
      <c r="A108" s="29"/>
      <c r="B108" s="11" t="str">
        <f>CONCATENATE("          ", "6276", " - ", "PROPERTY TAX")</f>
        <v xml:space="preserve">          6276 - PROPERTY TAX</v>
      </c>
      <c r="C108" s="11"/>
      <c r="D108" s="6"/>
      <c r="E108" s="2"/>
      <c r="F108" s="7">
        <f t="shared" si="37"/>
        <v>0</v>
      </c>
      <c r="G108" s="2"/>
      <c r="H108" s="6"/>
      <c r="I108" s="2"/>
      <c r="J108" s="7">
        <f t="shared" si="38"/>
        <v>0</v>
      </c>
      <c r="K108" s="2"/>
      <c r="L108" s="6">
        <f t="shared" si="39"/>
        <v>0</v>
      </c>
      <c r="M108" s="2"/>
      <c r="N108" s="7">
        <f t="shared" si="40"/>
        <v>0</v>
      </c>
      <c r="O108" s="11"/>
      <c r="P108" s="6"/>
      <c r="Q108" s="2"/>
      <c r="R108" s="7">
        <f t="shared" si="41"/>
        <v>0</v>
      </c>
      <c r="S108" s="2"/>
      <c r="T108" s="6">
        <v>150</v>
      </c>
      <c r="U108" s="2"/>
      <c r="V108" s="7">
        <f t="shared" si="42"/>
        <v>1.5835881150656241E-4</v>
      </c>
      <c r="W108" s="2"/>
      <c r="X108" s="6">
        <f t="shared" si="43"/>
        <v>-150</v>
      </c>
      <c r="Y108" s="2"/>
      <c r="Z108" s="7">
        <f t="shared" si="44"/>
        <v>-1</v>
      </c>
    </row>
    <row r="109" spans="1:26" s="24" customFormat="1" hidden="1" outlineLevel="2" x14ac:dyDescent="0.25">
      <c r="A109" s="29"/>
      <c r="B109" s="11" t="str">
        <f>CONCATENATE("          ", "6279", " - ", "GENERAL EXPENSE")</f>
        <v xml:space="preserve">          6279 - GENERAL EXPENSE</v>
      </c>
      <c r="C109" s="11"/>
      <c r="D109" s="6"/>
      <c r="E109" s="2"/>
      <c r="F109" s="7">
        <f t="shared" si="37"/>
        <v>0</v>
      </c>
      <c r="G109" s="2"/>
      <c r="H109" s="6">
        <v>0</v>
      </c>
      <c r="I109" s="2"/>
      <c r="J109" s="7">
        <f t="shared" si="38"/>
        <v>0</v>
      </c>
      <c r="K109" s="2"/>
      <c r="L109" s="6">
        <f t="shared" si="39"/>
        <v>0</v>
      </c>
      <c r="M109" s="2"/>
      <c r="N109" s="7">
        <f t="shared" si="40"/>
        <v>0</v>
      </c>
      <c r="O109" s="11"/>
      <c r="P109" s="6"/>
      <c r="Q109" s="2"/>
      <c r="R109" s="7">
        <f t="shared" si="41"/>
        <v>0</v>
      </c>
      <c r="S109" s="2"/>
      <c r="T109" s="6">
        <v>0</v>
      </c>
      <c r="U109" s="2"/>
      <c r="V109" s="7">
        <f t="shared" si="42"/>
        <v>0</v>
      </c>
      <c r="W109" s="2"/>
      <c r="X109" s="6">
        <f t="shared" si="43"/>
        <v>0</v>
      </c>
      <c r="Y109" s="2"/>
      <c r="Z109" s="7">
        <f t="shared" si="44"/>
        <v>0</v>
      </c>
    </row>
    <row r="110" spans="1:26" s="28" customFormat="1" outlineLevel="1" collapsed="1" x14ac:dyDescent="0.25">
      <c r="A110" s="27"/>
      <c r="B110" s="14" t="str">
        <f>CONCATENATE("     ","Insurance                                         ")</f>
        <v xml:space="preserve">     Insurance                                         </v>
      </c>
      <c r="C110" s="14"/>
      <c r="D110" s="1">
        <f>SUM(OSRRefD22_10x_0)</f>
        <v>161.18</v>
      </c>
      <c r="E110" s="1"/>
      <c r="F110" s="5">
        <f t="shared" ref="F110:F120" si="45">IF(D$12=0,0,D110/D$12)</f>
        <v>1.4167408526251986E-3</v>
      </c>
      <c r="G110" s="1"/>
      <c r="H110" s="1">
        <f>SUM(OSRRefH22_10x_0)</f>
        <v>176</v>
      </c>
      <c r="I110" s="1"/>
      <c r="J110" s="5">
        <f t="shared" ref="J110:J120" si="46">IF(H$12=0,0,H110/H$12)</f>
        <v>5.1464847462285917E-4</v>
      </c>
      <c r="K110" s="1"/>
      <c r="L110" s="1">
        <f t="shared" ref="L110:L120" si="47">+D110-H110</f>
        <v>-14.819999999999993</v>
      </c>
      <c r="M110" s="1"/>
      <c r="N110" s="5">
        <f t="shared" ref="N110:N120" si="48">IF(H110=0,0,L110/H110)</f>
        <v>-8.4204545454545421E-2</v>
      </c>
      <c r="O110" s="14"/>
      <c r="P110" s="1">
        <f>SUM(OSRRefP22_10x_0)</f>
        <v>483.54</v>
      </c>
      <c r="Q110" s="1"/>
      <c r="R110" s="5">
        <f t="shared" ref="R110:R120" si="49">IF(P$12=0,0,P110/P$12)</f>
        <v>8.064277801011501E-4</v>
      </c>
      <c r="S110" s="1"/>
      <c r="T110" s="1">
        <f>SUM(OSRRefT22_10x_0)</f>
        <v>528</v>
      </c>
      <c r="U110" s="1"/>
      <c r="V110" s="5">
        <f t="shared" ref="V110:V120" si="50">IF(T$12=0,0,T110/T$12)</f>
        <v>5.574230165030997E-4</v>
      </c>
      <c r="W110" s="1"/>
      <c r="X110" s="1">
        <f t="shared" ref="X110:X120" si="51">+P110-T110</f>
        <v>-44.45999999999998</v>
      </c>
      <c r="Y110" s="1"/>
      <c r="Z110" s="5">
        <f t="shared" ref="Z110:Z120" si="52">IF(T110=0,0,X110/T110)</f>
        <v>-8.4204545454545421E-2</v>
      </c>
    </row>
    <row r="111" spans="1:26" s="24" customFormat="1" hidden="1" outlineLevel="2" x14ac:dyDescent="0.25">
      <c r="A111" s="29"/>
      <c r="B111" s="11" t="str">
        <f>CONCATENATE("          ", "6314", " - ", "LIABILITY INSURANCE")</f>
        <v xml:space="preserve">          6314 - LIABILITY INSURANCE</v>
      </c>
      <c r="C111" s="11"/>
      <c r="D111" s="6">
        <v>161.18</v>
      </c>
      <c r="E111" s="2"/>
      <c r="F111" s="7">
        <f t="shared" si="45"/>
        <v>1.4167408526251986E-3</v>
      </c>
      <c r="G111" s="2"/>
      <c r="H111" s="6">
        <v>176</v>
      </c>
      <c r="I111" s="2"/>
      <c r="J111" s="7">
        <f t="shared" si="46"/>
        <v>5.1464847462285917E-4</v>
      </c>
      <c r="K111" s="2"/>
      <c r="L111" s="6">
        <f t="shared" si="47"/>
        <v>-14.819999999999993</v>
      </c>
      <c r="M111" s="2"/>
      <c r="N111" s="7">
        <f t="shared" si="48"/>
        <v>-8.4204545454545421E-2</v>
      </c>
      <c r="O111" s="11"/>
      <c r="P111" s="6">
        <v>483.54</v>
      </c>
      <c r="Q111" s="2"/>
      <c r="R111" s="7">
        <f t="shared" si="49"/>
        <v>8.064277801011501E-4</v>
      </c>
      <c r="S111" s="2"/>
      <c r="T111" s="6">
        <v>528</v>
      </c>
      <c r="U111" s="2"/>
      <c r="V111" s="7">
        <f t="shared" si="50"/>
        <v>5.574230165030997E-4</v>
      </c>
      <c r="W111" s="2"/>
      <c r="X111" s="6">
        <f t="shared" si="51"/>
        <v>-44.45999999999998</v>
      </c>
      <c r="Y111" s="2"/>
      <c r="Z111" s="7">
        <f t="shared" si="52"/>
        <v>-8.4204545454545421E-2</v>
      </c>
    </row>
    <row r="112" spans="1:26" s="28" customFormat="1" outlineLevel="1" collapsed="1" x14ac:dyDescent="0.25">
      <c r="A112" s="27"/>
      <c r="B112" s="14" t="str">
        <f>CONCATENATE("     ","Inventory Adjustment                              ")</f>
        <v xml:space="preserve">     Inventory Adjustment                              </v>
      </c>
      <c r="C112" s="14"/>
      <c r="D112" s="1">
        <f>SUM(OSRRefD22_11x_0)</f>
        <v>1100</v>
      </c>
      <c r="E112" s="1"/>
      <c r="F112" s="5">
        <f t="shared" si="45"/>
        <v>9.6687860645720217E-3</v>
      </c>
      <c r="G112" s="1"/>
      <c r="H112" s="1">
        <f>SUM(OSRRefH22_11x_0)</f>
        <v>1100</v>
      </c>
      <c r="I112" s="1"/>
      <c r="J112" s="5">
        <f t="shared" si="46"/>
        <v>3.2165529663928699E-3</v>
      </c>
      <c r="K112" s="1"/>
      <c r="L112" s="1">
        <f t="shared" si="47"/>
        <v>0</v>
      </c>
      <c r="M112" s="1"/>
      <c r="N112" s="5">
        <f t="shared" si="48"/>
        <v>0</v>
      </c>
      <c r="O112" s="14"/>
      <c r="P112" s="1">
        <f>SUM(OSRRefP22_11x_0)</f>
        <v>3300</v>
      </c>
      <c r="Q112" s="1"/>
      <c r="R112" s="5">
        <f t="shared" si="49"/>
        <v>5.5036019240058635E-3</v>
      </c>
      <c r="S112" s="1"/>
      <c r="T112" s="1">
        <f>SUM(OSRRefT22_11x_0)</f>
        <v>3300</v>
      </c>
      <c r="U112" s="1"/>
      <c r="V112" s="5">
        <f t="shared" si="50"/>
        <v>3.4838938531443729E-3</v>
      </c>
      <c r="W112" s="1"/>
      <c r="X112" s="1">
        <f t="shared" si="51"/>
        <v>0</v>
      </c>
      <c r="Y112" s="1"/>
      <c r="Z112" s="5">
        <f t="shared" si="52"/>
        <v>0</v>
      </c>
    </row>
    <row r="113" spans="1:26" s="24" customFormat="1" hidden="1" outlineLevel="2" x14ac:dyDescent="0.25">
      <c r="A113" s="29"/>
      <c r="B113" s="11" t="str">
        <f>CONCATENATE("          ", "6408", " - ", "INVENTORY ADJUSTMENT")</f>
        <v xml:space="preserve">          6408 - INVENTORY ADJUSTMENT</v>
      </c>
      <c r="C113" s="11"/>
      <c r="D113" s="6">
        <v>1100</v>
      </c>
      <c r="E113" s="2"/>
      <c r="F113" s="7">
        <f t="shared" si="45"/>
        <v>9.6687860645720217E-3</v>
      </c>
      <c r="G113" s="2"/>
      <c r="H113" s="6">
        <v>1100</v>
      </c>
      <c r="I113" s="2"/>
      <c r="J113" s="7">
        <f t="shared" si="46"/>
        <v>3.2165529663928699E-3</v>
      </c>
      <c r="K113" s="2"/>
      <c r="L113" s="6">
        <f t="shared" si="47"/>
        <v>0</v>
      </c>
      <c r="M113" s="2"/>
      <c r="N113" s="7">
        <f t="shared" si="48"/>
        <v>0</v>
      </c>
      <c r="O113" s="11"/>
      <c r="P113" s="6">
        <v>3300</v>
      </c>
      <c r="Q113" s="2"/>
      <c r="R113" s="7">
        <f t="shared" si="49"/>
        <v>5.5036019240058635E-3</v>
      </c>
      <c r="S113" s="2"/>
      <c r="T113" s="6">
        <v>3300</v>
      </c>
      <c r="U113" s="2"/>
      <c r="V113" s="7">
        <f t="shared" si="50"/>
        <v>3.4838938531443729E-3</v>
      </c>
      <c r="W113" s="2"/>
      <c r="X113" s="6">
        <f t="shared" si="51"/>
        <v>0</v>
      </c>
      <c r="Y113" s="2"/>
      <c r="Z113" s="7">
        <f t="shared" si="52"/>
        <v>0</v>
      </c>
    </row>
    <row r="114" spans="1:26" s="28" customFormat="1" outlineLevel="1" collapsed="1" x14ac:dyDescent="0.25">
      <c r="A114" s="27"/>
      <c r="B114" s="14" t="str">
        <f>CONCATENATE("     ","Professional Services                             ")</f>
        <v xml:space="preserve">     Professional Services                             </v>
      </c>
      <c r="C114" s="14"/>
      <c r="D114" s="1">
        <f>SUM(OSRRefD22_12x_0)</f>
        <v>0</v>
      </c>
      <c r="E114" s="1"/>
      <c r="F114" s="5">
        <f t="shared" si="45"/>
        <v>0</v>
      </c>
      <c r="G114" s="1"/>
      <c r="H114" s="1">
        <f>SUM(OSRRefH22_12x_0)</f>
        <v>0</v>
      </c>
      <c r="I114" s="1"/>
      <c r="J114" s="5">
        <f t="shared" si="46"/>
        <v>0</v>
      </c>
      <c r="K114" s="1"/>
      <c r="L114" s="1">
        <f t="shared" si="47"/>
        <v>0</v>
      </c>
      <c r="M114" s="1"/>
      <c r="N114" s="5">
        <f t="shared" si="48"/>
        <v>0</v>
      </c>
      <c r="O114" s="14"/>
      <c r="P114" s="1">
        <f>SUM(OSRRefP22_12x_0)</f>
        <v>0</v>
      </c>
      <c r="Q114" s="1"/>
      <c r="R114" s="5">
        <f t="shared" si="49"/>
        <v>0</v>
      </c>
      <c r="S114" s="1"/>
      <c r="T114" s="1">
        <f>SUM(OSRRefT22_12x_0)</f>
        <v>5750</v>
      </c>
      <c r="U114" s="1"/>
      <c r="V114" s="5">
        <f t="shared" si="50"/>
        <v>6.0704211077515589E-3</v>
      </c>
      <c r="W114" s="1"/>
      <c r="X114" s="1">
        <f t="shared" si="51"/>
        <v>-5750</v>
      </c>
      <c r="Y114" s="1"/>
      <c r="Z114" s="5">
        <f t="shared" si="52"/>
        <v>-1</v>
      </c>
    </row>
    <row r="115" spans="1:26" s="24" customFormat="1" hidden="1" outlineLevel="2" x14ac:dyDescent="0.25">
      <c r="A115" s="29"/>
      <c r="B115" s="11" t="str">
        <f>CONCATENATE("          ", "6336", " - ", "PROFESSIONAL SERVICES")</f>
        <v xml:space="preserve">          6336 - PROFESSIONAL SERVICES</v>
      </c>
      <c r="C115" s="11"/>
      <c r="D115" s="6"/>
      <c r="E115" s="2"/>
      <c r="F115" s="7">
        <f t="shared" si="45"/>
        <v>0</v>
      </c>
      <c r="G115" s="2"/>
      <c r="H115" s="6">
        <v>0</v>
      </c>
      <c r="I115" s="2"/>
      <c r="J115" s="7">
        <f t="shared" si="46"/>
        <v>0</v>
      </c>
      <c r="K115" s="2"/>
      <c r="L115" s="6">
        <f t="shared" si="47"/>
        <v>0</v>
      </c>
      <c r="M115" s="2"/>
      <c r="N115" s="7">
        <f t="shared" si="48"/>
        <v>0</v>
      </c>
      <c r="O115" s="11"/>
      <c r="P115" s="6"/>
      <c r="Q115" s="2"/>
      <c r="R115" s="7">
        <f t="shared" si="49"/>
        <v>0</v>
      </c>
      <c r="S115" s="2"/>
      <c r="T115" s="6">
        <v>5750</v>
      </c>
      <c r="U115" s="2"/>
      <c r="V115" s="7">
        <f t="shared" si="50"/>
        <v>6.0704211077515589E-3</v>
      </c>
      <c r="W115" s="2"/>
      <c r="X115" s="6">
        <f t="shared" si="51"/>
        <v>-5750</v>
      </c>
      <c r="Y115" s="2"/>
      <c r="Z115" s="7">
        <f t="shared" si="52"/>
        <v>-1</v>
      </c>
    </row>
    <row r="116" spans="1:26" s="28" customFormat="1" outlineLevel="1" collapsed="1" x14ac:dyDescent="0.25">
      <c r="A116" s="27"/>
      <c r="B116" s="14" t="str">
        <f>CONCATENATE("     ","Rent                                              ")</f>
        <v xml:space="preserve">     Rent                                              </v>
      </c>
      <c r="C116" s="14"/>
      <c r="D116" s="1">
        <f>SUM(OSRRefD22_13x_0)</f>
        <v>6900</v>
      </c>
      <c r="E116" s="1"/>
      <c r="F116" s="5">
        <f t="shared" si="45"/>
        <v>6.0649658041406318E-2</v>
      </c>
      <c r="G116" s="1"/>
      <c r="H116" s="1">
        <f>SUM(OSRRefH22_13x_0)</f>
        <v>6901</v>
      </c>
      <c r="I116" s="1"/>
      <c r="J116" s="5">
        <f t="shared" si="46"/>
        <v>2.0179483655524723E-2</v>
      </c>
      <c r="K116" s="1"/>
      <c r="L116" s="1">
        <f t="shared" si="47"/>
        <v>-1</v>
      </c>
      <c r="M116" s="1"/>
      <c r="N116" s="5">
        <f t="shared" si="48"/>
        <v>-1.4490653528474135E-4</v>
      </c>
      <c r="O116" s="14"/>
      <c r="P116" s="1">
        <f>SUM(OSRRefP22_13x_0)</f>
        <v>20700</v>
      </c>
      <c r="Q116" s="1"/>
      <c r="R116" s="5">
        <f t="shared" si="49"/>
        <v>3.4522593886945875E-2</v>
      </c>
      <c r="S116" s="1"/>
      <c r="T116" s="1">
        <f>SUM(OSRRefT22_13x_0)</f>
        <v>20701</v>
      </c>
      <c r="U116" s="1"/>
      <c r="V116" s="5">
        <f t="shared" si="50"/>
        <v>2.1854571713315656E-2</v>
      </c>
      <c r="W116" s="1"/>
      <c r="X116" s="1">
        <f t="shared" si="51"/>
        <v>-1</v>
      </c>
      <c r="Y116" s="1"/>
      <c r="Z116" s="5">
        <f t="shared" si="52"/>
        <v>-4.8306845079947828E-5</v>
      </c>
    </row>
    <row r="117" spans="1:26" s="24" customFormat="1" hidden="1" outlineLevel="2" x14ac:dyDescent="0.25">
      <c r="A117" s="29"/>
      <c r="B117" s="11" t="str">
        <f>CONCATENATE("          ", "6273", " - ", "RENT")</f>
        <v xml:space="preserve">          6273 - RENT</v>
      </c>
      <c r="C117" s="11"/>
      <c r="D117" s="6">
        <v>6900</v>
      </c>
      <c r="E117" s="2"/>
      <c r="F117" s="7">
        <f t="shared" si="45"/>
        <v>6.0649658041406318E-2</v>
      </c>
      <c r="G117" s="2"/>
      <c r="H117" s="6">
        <v>6901</v>
      </c>
      <c r="I117" s="2"/>
      <c r="J117" s="7">
        <f t="shared" si="46"/>
        <v>2.0179483655524723E-2</v>
      </c>
      <c r="K117" s="2"/>
      <c r="L117" s="6">
        <f t="shared" si="47"/>
        <v>-1</v>
      </c>
      <c r="M117" s="2"/>
      <c r="N117" s="7">
        <f t="shared" si="48"/>
        <v>-1.4490653528474135E-4</v>
      </c>
      <c r="O117" s="11"/>
      <c r="P117" s="6">
        <v>20700</v>
      </c>
      <c r="Q117" s="2"/>
      <c r="R117" s="7">
        <f t="shared" si="49"/>
        <v>3.4522593886945875E-2</v>
      </c>
      <c r="S117" s="2"/>
      <c r="T117" s="6">
        <v>20701</v>
      </c>
      <c r="U117" s="2"/>
      <c r="V117" s="7">
        <f t="shared" si="50"/>
        <v>2.1854571713315656E-2</v>
      </c>
      <c r="W117" s="2"/>
      <c r="X117" s="6">
        <f t="shared" si="51"/>
        <v>-1</v>
      </c>
      <c r="Y117" s="2"/>
      <c r="Z117" s="7">
        <f t="shared" si="52"/>
        <v>-4.8306845079947828E-5</v>
      </c>
    </row>
    <row r="118" spans="1:26" s="28" customFormat="1" outlineLevel="1" collapsed="1" x14ac:dyDescent="0.25">
      <c r="A118" s="27"/>
      <c r="B118" s="14" t="str">
        <f>CONCATENATE("     ","Repair and Maintenance                            ")</f>
        <v xml:space="preserve">     Repair and Maintenance                            </v>
      </c>
      <c r="C118" s="14"/>
      <c r="D118" s="1">
        <f>SUM(OSRRefD22_14x_0)</f>
        <v>48.21</v>
      </c>
      <c r="E118" s="1"/>
      <c r="F118" s="5">
        <f t="shared" si="45"/>
        <v>4.2375652379365197E-4</v>
      </c>
      <c r="G118" s="1"/>
      <c r="H118" s="1">
        <f>SUM(OSRRefH22_14x_0)</f>
        <v>150</v>
      </c>
      <c r="I118" s="1"/>
      <c r="J118" s="5">
        <f t="shared" si="46"/>
        <v>4.3862085905357315E-4</v>
      </c>
      <c r="K118" s="1"/>
      <c r="L118" s="1">
        <f t="shared" si="47"/>
        <v>-101.78999999999999</v>
      </c>
      <c r="M118" s="1"/>
      <c r="N118" s="5">
        <f t="shared" si="48"/>
        <v>-0.67859999999999998</v>
      </c>
      <c r="O118" s="14"/>
      <c r="P118" s="1">
        <f>SUM(OSRRefP22_14x_0)</f>
        <v>48.21</v>
      </c>
      <c r="Q118" s="1"/>
      <c r="R118" s="5">
        <f t="shared" si="49"/>
        <v>8.0402620835249306E-5</v>
      </c>
      <c r="S118" s="1"/>
      <c r="T118" s="1">
        <f>SUM(OSRRefT22_14x_0)</f>
        <v>700</v>
      </c>
      <c r="U118" s="1"/>
      <c r="V118" s="5">
        <f t="shared" si="50"/>
        <v>7.3900778703062456E-4</v>
      </c>
      <c r="W118" s="1"/>
      <c r="X118" s="1">
        <f t="shared" si="51"/>
        <v>-651.79</v>
      </c>
      <c r="Y118" s="1"/>
      <c r="Z118" s="5">
        <f t="shared" si="52"/>
        <v>-0.93112857142857142</v>
      </c>
    </row>
    <row r="119" spans="1:26" s="24" customFormat="1" hidden="1" outlineLevel="2" x14ac:dyDescent="0.25">
      <c r="A119" s="29"/>
      <c r="B119" s="11" t="str">
        <f>CONCATENATE("          ", "6373", " - ", "MAINTENANCE CONTRACTS")</f>
        <v xml:space="preserve">          6373 - MAINTENANCE CONTRACTS</v>
      </c>
      <c r="C119" s="11"/>
      <c r="D119" s="6">
        <v>48.21</v>
      </c>
      <c r="E119" s="2"/>
      <c r="F119" s="7">
        <f t="shared" si="45"/>
        <v>4.2375652379365197E-4</v>
      </c>
      <c r="G119" s="2"/>
      <c r="H119" s="6"/>
      <c r="I119" s="2"/>
      <c r="J119" s="7">
        <f t="shared" si="46"/>
        <v>0</v>
      </c>
      <c r="K119" s="2"/>
      <c r="L119" s="6">
        <f t="shared" si="47"/>
        <v>48.21</v>
      </c>
      <c r="M119" s="2"/>
      <c r="N119" s="7">
        <f t="shared" si="48"/>
        <v>0</v>
      </c>
      <c r="O119" s="11"/>
      <c r="P119" s="6">
        <v>48.21</v>
      </c>
      <c r="Q119" s="2"/>
      <c r="R119" s="7">
        <f t="shared" si="49"/>
        <v>8.0402620835249306E-5</v>
      </c>
      <c r="S119" s="2"/>
      <c r="T119" s="6"/>
      <c r="U119" s="2"/>
      <c r="V119" s="7">
        <f t="shared" si="50"/>
        <v>0</v>
      </c>
      <c r="W119" s="2"/>
      <c r="X119" s="6">
        <f t="shared" si="51"/>
        <v>48.21</v>
      </c>
      <c r="Y119" s="2"/>
      <c r="Z119" s="7">
        <f t="shared" si="52"/>
        <v>0</v>
      </c>
    </row>
    <row r="120" spans="1:26" s="24" customFormat="1" hidden="1" outlineLevel="2" x14ac:dyDescent="0.25">
      <c r="A120" s="29"/>
      <c r="B120" s="11" t="str">
        <f>CONCATENATE("          ", "6375", " - ", "OUTSIDE REPAIRS &amp; MAINTENANCE")</f>
        <v xml:space="preserve">          6375 - OUTSIDE REPAIRS &amp; MAINTENANCE</v>
      </c>
      <c r="C120" s="11"/>
      <c r="D120" s="6"/>
      <c r="E120" s="2"/>
      <c r="F120" s="7">
        <f t="shared" si="45"/>
        <v>0</v>
      </c>
      <c r="G120" s="2"/>
      <c r="H120" s="6">
        <v>150</v>
      </c>
      <c r="I120" s="2"/>
      <c r="J120" s="7">
        <f t="shared" si="46"/>
        <v>4.3862085905357315E-4</v>
      </c>
      <c r="K120" s="2"/>
      <c r="L120" s="6">
        <f t="shared" si="47"/>
        <v>-150</v>
      </c>
      <c r="M120" s="2"/>
      <c r="N120" s="7">
        <f t="shared" si="48"/>
        <v>-1</v>
      </c>
      <c r="O120" s="11"/>
      <c r="P120" s="6"/>
      <c r="Q120" s="2"/>
      <c r="R120" s="7">
        <f t="shared" si="49"/>
        <v>0</v>
      </c>
      <c r="S120" s="2"/>
      <c r="T120" s="6">
        <v>700</v>
      </c>
      <c r="U120" s="2"/>
      <c r="V120" s="7">
        <f t="shared" si="50"/>
        <v>7.3900778703062456E-4</v>
      </c>
      <c r="W120" s="2"/>
      <c r="X120" s="6">
        <f t="shared" si="51"/>
        <v>-700</v>
      </c>
      <c r="Y120" s="2"/>
      <c r="Z120" s="7">
        <f t="shared" si="52"/>
        <v>-1</v>
      </c>
    </row>
    <row r="121" spans="1:26" s="28" customFormat="1" outlineLevel="1" collapsed="1" x14ac:dyDescent="0.25">
      <c r="A121" s="27"/>
      <c r="B121" s="14" t="str">
        <f>CONCATENATE("     ","Royalty &amp; Commissions                             ")</f>
        <v xml:space="preserve">     Royalty &amp; Commissions                             </v>
      </c>
      <c r="C121" s="14"/>
      <c r="D121" s="1">
        <f>SUM(OSRRefD22_15x_0)</f>
        <v>0</v>
      </c>
      <c r="E121" s="1"/>
      <c r="F121" s="5">
        <f t="shared" ref="F121:F124" si="53">IF(D$12=0,0,D121/D$12)</f>
        <v>0</v>
      </c>
      <c r="G121" s="1"/>
      <c r="H121" s="1">
        <f>SUM(OSRRefH22_15x_0)</f>
        <v>6271</v>
      </c>
      <c r="I121" s="1"/>
      <c r="J121" s="5">
        <f t="shared" ref="J121:J124" si="54">IF(H$12=0,0,H121/H$12)</f>
        <v>1.8337276047499716E-2</v>
      </c>
      <c r="K121" s="1"/>
      <c r="L121" s="1">
        <f t="shared" ref="L121:L124" si="55">+D121-H121</f>
        <v>-6271</v>
      </c>
      <c r="M121" s="1"/>
      <c r="N121" s="5">
        <f t="shared" ref="N121:N124" si="56">IF(H121=0,0,L121/H121)</f>
        <v>-1</v>
      </c>
      <c r="O121" s="14"/>
      <c r="P121" s="1">
        <f>SUM(OSRRefP22_15x_0)</f>
        <v>7922.2</v>
      </c>
      <c r="Q121" s="1"/>
      <c r="R121" s="5">
        <f t="shared" ref="R121:R124" si="57">IF(P$12=0,0,P121/P$12)</f>
        <v>1.321231368556341E-2</v>
      </c>
      <c r="S121" s="1"/>
      <c r="T121" s="1">
        <f>SUM(OSRRefT22_15x_0)</f>
        <v>18813</v>
      </c>
      <c r="U121" s="1"/>
      <c r="V121" s="5">
        <f t="shared" ref="V121:V124" si="58">IF(T$12=0,0,T121/T$12)</f>
        <v>1.9861362139153058E-2</v>
      </c>
      <c r="W121" s="1"/>
      <c r="X121" s="1">
        <f t="shared" ref="X121:X124" si="59">+P121-T121</f>
        <v>-10890.8</v>
      </c>
      <c r="Y121" s="1"/>
      <c r="Z121" s="5">
        <f t="shared" ref="Z121:Z124" si="60">IF(T121=0,0,X121/T121)</f>
        <v>-0.57889757082868221</v>
      </c>
    </row>
    <row r="122" spans="1:26" s="24" customFormat="1" hidden="1" outlineLevel="2" x14ac:dyDescent="0.25">
      <c r="A122" s="29"/>
      <c r="B122" s="11" t="str">
        <f>CONCATENATE("          ", "6252", " - ", "ROYALTY DUE CSTV")</f>
        <v xml:space="preserve">          6252 - ROYALTY DUE CSTV</v>
      </c>
      <c r="C122" s="11"/>
      <c r="D122" s="6"/>
      <c r="E122" s="2"/>
      <c r="F122" s="7">
        <f t="shared" si="53"/>
        <v>0</v>
      </c>
      <c r="G122" s="2"/>
      <c r="H122" s="6">
        <v>1085</v>
      </c>
      <c r="I122" s="2"/>
      <c r="J122" s="7">
        <f t="shared" si="54"/>
        <v>3.1726908804875125E-3</v>
      </c>
      <c r="K122" s="2"/>
      <c r="L122" s="6">
        <f t="shared" si="55"/>
        <v>-1085</v>
      </c>
      <c r="M122" s="2"/>
      <c r="N122" s="7">
        <f t="shared" si="56"/>
        <v>-1</v>
      </c>
      <c r="O122" s="11"/>
      <c r="P122" s="6"/>
      <c r="Q122" s="2"/>
      <c r="R122" s="7">
        <f t="shared" si="57"/>
        <v>0</v>
      </c>
      <c r="S122" s="2"/>
      <c r="T122" s="6">
        <v>3255</v>
      </c>
      <c r="U122" s="2"/>
      <c r="V122" s="7">
        <f t="shared" si="58"/>
        <v>3.4363862096924041E-3</v>
      </c>
      <c r="W122" s="2"/>
      <c r="X122" s="6">
        <f t="shared" si="59"/>
        <v>-3255</v>
      </c>
      <c r="Y122" s="2"/>
      <c r="Z122" s="7">
        <f t="shared" si="60"/>
        <v>-1</v>
      </c>
    </row>
    <row r="123" spans="1:26" s="24" customFormat="1" hidden="1" outlineLevel="2" x14ac:dyDescent="0.25">
      <c r="A123" s="29"/>
      <c r="B123" s="11" t="str">
        <f>CONCATENATE("          ", "6253", " - ", "ROYALTY DUE ATHLETICS-LRG")</f>
        <v xml:space="preserve">          6253 - ROYALTY DUE ATHLETICS-LRG</v>
      </c>
      <c r="C123" s="11"/>
      <c r="D123" s="6"/>
      <c r="E123" s="2"/>
      <c r="F123" s="7">
        <f t="shared" si="53"/>
        <v>0</v>
      </c>
      <c r="G123" s="2"/>
      <c r="H123" s="6">
        <v>4037</v>
      </c>
      <c r="I123" s="2"/>
      <c r="J123" s="7">
        <f t="shared" si="54"/>
        <v>1.1804749386661833E-2</v>
      </c>
      <c r="K123" s="2"/>
      <c r="L123" s="6">
        <f t="shared" si="55"/>
        <v>-4037</v>
      </c>
      <c r="M123" s="2"/>
      <c r="N123" s="7">
        <f t="shared" si="56"/>
        <v>-1</v>
      </c>
      <c r="O123" s="11"/>
      <c r="P123" s="6">
        <v>7922.2</v>
      </c>
      <c r="Q123" s="2"/>
      <c r="R123" s="7">
        <f t="shared" si="57"/>
        <v>1.321231368556341E-2</v>
      </c>
      <c r="S123" s="2"/>
      <c r="T123" s="6">
        <v>12111</v>
      </c>
      <c r="U123" s="2"/>
      <c r="V123" s="7">
        <f t="shared" si="58"/>
        <v>1.2785890441039848E-2</v>
      </c>
      <c r="W123" s="2"/>
      <c r="X123" s="6">
        <f t="shared" si="59"/>
        <v>-4188.8</v>
      </c>
      <c r="Y123" s="2"/>
      <c r="Z123" s="7">
        <f t="shared" si="60"/>
        <v>-0.34586739327883742</v>
      </c>
    </row>
    <row r="124" spans="1:26" s="24" customFormat="1" hidden="1" outlineLevel="2" x14ac:dyDescent="0.25">
      <c r="A124" s="29"/>
      <c r="B124" s="11" t="str">
        <f>CONCATENATE("          ", "6254", " - ", "ROYALTY &amp; COMMISSIONS")</f>
        <v xml:space="preserve">          6254 - ROYALTY &amp; COMMISSIONS</v>
      </c>
      <c r="C124" s="11"/>
      <c r="D124" s="6"/>
      <c r="E124" s="2"/>
      <c r="F124" s="7">
        <f t="shared" si="53"/>
        <v>0</v>
      </c>
      <c r="G124" s="2"/>
      <c r="H124" s="6">
        <v>1149</v>
      </c>
      <c r="I124" s="2"/>
      <c r="J124" s="7">
        <f t="shared" si="54"/>
        <v>3.3598357803503705E-3</v>
      </c>
      <c r="K124" s="2"/>
      <c r="L124" s="6">
        <f t="shared" si="55"/>
        <v>-1149</v>
      </c>
      <c r="M124" s="2"/>
      <c r="N124" s="7">
        <f t="shared" si="56"/>
        <v>-1</v>
      </c>
      <c r="O124" s="11"/>
      <c r="P124" s="6"/>
      <c r="Q124" s="2"/>
      <c r="R124" s="7">
        <f t="shared" si="57"/>
        <v>0</v>
      </c>
      <c r="S124" s="2"/>
      <c r="T124" s="6">
        <v>3447</v>
      </c>
      <c r="U124" s="2"/>
      <c r="V124" s="7">
        <f t="shared" si="58"/>
        <v>3.639085488420804E-3</v>
      </c>
      <c r="W124" s="2"/>
      <c r="X124" s="6">
        <f t="shared" si="59"/>
        <v>-3447</v>
      </c>
      <c r="Y124" s="2"/>
      <c r="Z124" s="7">
        <f t="shared" si="60"/>
        <v>-1</v>
      </c>
    </row>
    <row r="125" spans="1:26" s="28" customFormat="1" outlineLevel="1" collapsed="1" x14ac:dyDescent="0.25">
      <c r="A125" s="27"/>
      <c r="B125" s="14" t="str">
        <f>CONCATENATE("     ","Services                                          ")</f>
        <v xml:space="preserve">     Services                                          </v>
      </c>
      <c r="C125" s="14"/>
      <c r="D125" s="1">
        <f>SUM(OSRRefD22_16x_0)</f>
        <v>142.57</v>
      </c>
      <c r="E125" s="1"/>
      <c r="F125" s="5">
        <f t="shared" ref="F125:F128" si="61">IF(D$12=0,0,D125/D$12)</f>
        <v>1.2531625720236664E-3</v>
      </c>
      <c r="G125" s="1"/>
      <c r="H125" s="1">
        <f>SUM(OSRRefH22_16x_0)</f>
        <v>210</v>
      </c>
      <c r="I125" s="1"/>
      <c r="J125" s="5">
        <f t="shared" ref="J125:J128" si="62">IF(H$12=0,0,H125/H$12)</f>
        <v>6.140692026750024E-4</v>
      </c>
      <c r="K125" s="1"/>
      <c r="L125" s="1">
        <f t="shared" ref="L125:L128" si="63">+D125-H125</f>
        <v>-67.430000000000007</v>
      </c>
      <c r="M125" s="1"/>
      <c r="N125" s="5">
        <f t="shared" ref="N125:N128" si="64">IF(H125=0,0,L125/H125)</f>
        <v>-0.3210952380952381</v>
      </c>
      <c r="O125" s="14"/>
      <c r="P125" s="1">
        <f>SUM(OSRRefP22_16x_0)</f>
        <v>-109.03000000000003</v>
      </c>
      <c r="Q125" s="1"/>
      <c r="R125" s="5">
        <f t="shared" ref="R125:R128" si="65">IF(P$12=0,0,P125/P$12)</f>
        <v>-1.8183567205283622E-4</v>
      </c>
      <c r="S125" s="1"/>
      <c r="T125" s="1">
        <f>SUM(OSRRefT22_16x_0)</f>
        <v>520</v>
      </c>
      <c r="U125" s="1"/>
      <c r="V125" s="5">
        <f t="shared" ref="V125:V128" si="66">IF(T$12=0,0,T125/T$12)</f>
        <v>5.4897721322274965E-4</v>
      </c>
      <c r="W125" s="1"/>
      <c r="X125" s="1">
        <f t="shared" ref="X125:X128" si="67">+P125-T125</f>
        <v>-629.03</v>
      </c>
      <c r="Y125" s="1"/>
      <c r="Z125" s="5">
        <f t="shared" ref="Z125:Z128" si="68">IF(T125=0,0,X125/T125)</f>
        <v>-1.2096730769230768</v>
      </c>
    </row>
    <row r="126" spans="1:26" s="24" customFormat="1" hidden="1" outlineLevel="2" x14ac:dyDescent="0.25">
      <c r="A126" s="29"/>
      <c r="B126" s="11" t="str">
        <f>CONCATENATE("          ", "6283", " - ", "PLANT SERVICE")</f>
        <v xml:space="preserve">          6283 - PLANT SERVICE</v>
      </c>
      <c r="C126" s="11"/>
      <c r="D126" s="6"/>
      <c r="E126" s="2"/>
      <c r="F126" s="7">
        <f t="shared" si="61"/>
        <v>0</v>
      </c>
      <c r="G126" s="2"/>
      <c r="H126" s="6">
        <v>0</v>
      </c>
      <c r="I126" s="2"/>
      <c r="J126" s="7">
        <f t="shared" si="62"/>
        <v>0</v>
      </c>
      <c r="K126" s="2"/>
      <c r="L126" s="6">
        <f t="shared" si="63"/>
        <v>0</v>
      </c>
      <c r="M126" s="2"/>
      <c r="N126" s="7">
        <f t="shared" si="64"/>
        <v>0</v>
      </c>
      <c r="O126" s="11"/>
      <c r="P126" s="6"/>
      <c r="Q126" s="2"/>
      <c r="R126" s="7">
        <f t="shared" si="65"/>
        <v>0</v>
      </c>
      <c r="S126" s="2"/>
      <c r="T126" s="6">
        <v>0</v>
      </c>
      <c r="U126" s="2"/>
      <c r="V126" s="7">
        <f t="shared" si="66"/>
        <v>0</v>
      </c>
      <c r="W126" s="2"/>
      <c r="X126" s="6">
        <f t="shared" si="67"/>
        <v>0</v>
      </c>
      <c r="Y126" s="2"/>
      <c r="Z126" s="7">
        <f t="shared" si="68"/>
        <v>0</v>
      </c>
    </row>
    <row r="127" spans="1:26" s="24" customFormat="1" hidden="1" outlineLevel="2" x14ac:dyDescent="0.25">
      <c r="A127" s="29"/>
      <c r="B127" s="11" t="str">
        <f>CONCATENATE("          ", "6284", " - ", "TRASH REMOVAL EXPENSE")</f>
        <v xml:space="preserve">          6284 - TRASH REMOVAL EXPENSE</v>
      </c>
      <c r="C127" s="11"/>
      <c r="D127" s="6">
        <v>142.57</v>
      </c>
      <c r="E127" s="2"/>
      <c r="F127" s="7">
        <f t="shared" si="61"/>
        <v>1.2531625720236664E-3</v>
      </c>
      <c r="G127" s="2"/>
      <c r="H127" s="6">
        <v>110</v>
      </c>
      <c r="I127" s="2"/>
      <c r="J127" s="7">
        <f t="shared" si="62"/>
        <v>3.2165529663928698E-4</v>
      </c>
      <c r="K127" s="2"/>
      <c r="L127" s="6">
        <f t="shared" si="63"/>
        <v>32.569999999999993</v>
      </c>
      <c r="M127" s="2"/>
      <c r="N127" s="7">
        <f t="shared" si="64"/>
        <v>0.29609090909090902</v>
      </c>
      <c r="O127" s="11"/>
      <c r="P127" s="6">
        <v>427.71</v>
      </c>
      <c r="Q127" s="2"/>
      <c r="R127" s="7">
        <f t="shared" si="65"/>
        <v>7.1331684209592356E-4</v>
      </c>
      <c r="S127" s="2"/>
      <c r="T127" s="6">
        <v>220</v>
      </c>
      <c r="U127" s="2"/>
      <c r="V127" s="7">
        <f t="shared" si="66"/>
        <v>2.3225959020962487E-4</v>
      </c>
      <c r="W127" s="2"/>
      <c r="X127" s="6">
        <f t="shared" si="67"/>
        <v>207.70999999999998</v>
      </c>
      <c r="Y127" s="2"/>
      <c r="Z127" s="7">
        <f t="shared" si="68"/>
        <v>0.94413636363636355</v>
      </c>
    </row>
    <row r="128" spans="1:26" s="24" customFormat="1" hidden="1" outlineLevel="2" x14ac:dyDescent="0.25">
      <c r="A128" s="29"/>
      <c r="B128" s="11" t="str">
        <f>CONCATENATE("          ", "6285", " - ", "JANITORIAL SERVICES")</f>
        <v xml:space="preserve">          6285 - JANITORIAL SERVICES</v>
      </c>
      <c r="C128" s="11"/>
      <c r="D128" s="6"/>
      <c r="E128" s="2"/>
      <c r="F128" s="7">
        <f t="shared" si="61"/>
        <v>0</v>
      </c>
      <c r="G128" s="2"/>
      <c r="H128" s="6">
        <v>100</v>
      </c>
      <c r="I128" s="2"/>
      <c r="J128" s="7">
        <f t="shared" si="62"/>
        <v>2.9241390603571541E-4</v>
      </c>
      <c r="K128" s="2"/>
      <c r="L128" s="6">
        <f t="shared" si="63"/>
        <v>-100</v>
      </c>
      <c r="M128" s="2"/>
      <c r="N128" s="7">
        <f t="shared" si="64"/>
        <v>-1</v>
      </c>
      <c r="O128" s="11"/>
      <c r="P128" s="6">
        <v>-536.74</v>
      </c>
      <c r="Q128" s="2"/>
      <c r="R128" s="7">
        <f t="shared" si="65"/>
        <v>-8.9515251414875978E-4</v>
      </c>
      <c r="S128" s="2"/>
      <c r="T128" s="6">
        <v>300</v>
      </c>
      <c r="U128" s="2"/>
      <c r="V128" s="7">
        <f t="shared" si="66"/>
        <v>3.1671762301312481E-4</v>
      </c>
      <c r="W128" s="2"/>
      <c r="X128" s="6">
        <f t="shared" si="67"/>
        <v>-836.74</v>
      </c>
      <c r="Y128" s="2"/>
      <c r="Z128" s="7">
        <f t="shared" si="68"/>
        <v>-2.7891333333333335</v>
      </c>
    </row>
    <row r="129" spans="1:26" s="28" customFormat="1" outlineLevel="1" collapsed="1" x14ac:dyDescent="0.25">
      <c r="A129" s="27"/>
      <c r="B129" s="14" t="str">
        <f>CONCATENATE("     ","Subscriptions &amp; Dues                              ")</f>
        <v xml:space="preserve">     Subscriptions &amp; Dues                              </v>
      </c>
      <c r="C129" s="14"/>
      <c r="D129" s="1">
        <f>SUM(OSRRefD22_17x_0)</f>
        <v>75.73</v>
      </c>
      <c r="E129" s="1"/>
      <c r="F129" s="5">
        <f t="shared" ref="F129:F131" si="69">IF(D$12=0,0,D129/D$12)</f>
        <v>6.656519715182175E-4</v>
      </c>
      <c r="G129" s="1"/>
      <c r="H129" s="1">
        <f>SUM(OSRRefH22_17x_0)</f>
        <v>0</v>
      </c>
      <c r="I129" s="1"/>
      <c r="J129" s="5">
        <f t="shared" ref="J129:J131" si="70">IF(H$12=0,0,H129/H$12)</f>
        <v>0</v>
      </c>
      <c r="K129" s="1"/>
      <c r="L129" s="1">
        <f t="shared" ref="L129:L131" si="71">+D129-H129</f>
        <v>75.73</v>
      </c>
      <c r="M129" s="1"/>
      <c r="N129" s="5">
        <f t="shared" ref="N129:N131" si="72">IF(H129=0,0,L129/H129)</f>
        <v>0</v>
      </c>
      <c r="O129" s="14"/>
      <c r="P129" s="1">
        <f>SUM(OSRRefP22_17x_0)</f>
        <v>150.72999999999999</v>
      </c>
      <c r="Q129" s="1"/>
      <c r="R129" s="5">
        <f t="shared" ref="R129:R131" si="73">IF(P$12=0,0,P129/P$12)</f>
        <v>2.5138118727436481E-4</v>
      </c>
      <c r="S129" s="1"/>
      <c r="T129" s="1">
        <f>SUM(OSRRefT22_17x_0)</f>
        <v>1395</v>
      </c>
      <c r="U129" s="1"/>
      <c r="V129" s="5">
        <f t="shared" ref="V129:V131" si="74">IF(T$12=0,0,T129/T$12)</f>
        <v>1.4727369470110305E-3</v>
      </c>
      <c r="W129" s="1"/>
      <c r="X129" s="1">
        <f t="shared" ref="X129:X131" si="75">+P129-T129</f>
        <v>-1244.27</v>
      </c>
      <c r="Y129" s="1"/>
      <c r="Z129" s="5">
        <f t="shared" ref="Z129:Z131" si="76">IF(T129=0,0,X129/T129)</f>
        <v>-0.89194982078853047</v>
      </c>
    </row>
    <row r="130" spans="1:26" s="24" customFormat="1" hidden="1" outlineLevel="2" x14ac:dyDescent="0.25">
      <c r="A130" s="29"/>
      <c r="B130" s="11" t="str">
        <f>CONCATENATE("          ", "6258", " - ", "MEMBERSHIP DUES")</f>
        <v xml:space="preserve">          6258 - MEMBERSHIP DUES</v>
      </c>
      <c r="C130" s="11"/>
      <c r="D130" s="6"/>
      <c r="E130" s="2"/>
      <c r="F130" s="7">
        <f t="shared" si="69"/>
        <v>0</v>
      </c>
      <c r="G130" s="2"/>
      <c r="H130" s="6">
        <v>0</v>
      </c>
      <c r="I130" s="2"/>
      <c r="J130" s="7">
        <f t="shared" si="70"/>
        <v>0</v>
      </c>
      <c r="K130" s="2"/>
      <c r="L130" s="6">
        <f t="shared" si="71"/>
        <v>0</v>
      </c>
      <c r="M130" s="2"/>
      <c r="N130" s="7">
        <f t="shared" si="72"/>
        <v>0</v>
      </c>
      <c r="O130" s="11"/>
      <c r="P130" s="6"/>
      <c r="Q130" s="2"/>
      <c r="R130" s="7">
        <f t="shared" si="73"/>
        <v>0</v>
      </c>
      <c r="S130" s="2"/>
      <c r="T130" s="6">
        <v>1395</v>
      </c>
      <c r="U130" s="2"/>
      <c r="V130" s="7">
        <f t="shared" si="74"/>
        <v>1.4727369470110305E-3</v>
      </c>
      <c r="W130" s="2"/>
      <c r="X130" s="6">
        <f t="shared" si="75"/>
        <v>-1395</v>
      </c>
      <c r="Y130" s="2"/>
      <c r="Z130" s="7">
        <f t="shared" si="76"/>
        <v>-1</v>
      </c>
    </row>
    <row r="131" spans="1:26" s="24" customFormat="1" hidden="1" outlineLevel="2" x14ac:dyDescent="0.25">
      <c r="A131" s="29"/>
      <c r="B131" s="11" t="str">
        <f>CONCATENATE("          ", "6275", " - ", "SUBSCRIPTIONS")</f>
        <v xml:space="preserve">          6275 - SUBSCRIPTIONS</v>
      </c>
      <c r="C131" s="11"/>
      <c r="D131" s="6">
        <v>75.73</v>
      </c>
      <c r="E131" s="2"/>
      <c r="F131" s="7">
        <f t="shared" si="69"/>
        <v>6.656519715182175E-4</v>
      </c>
      <c r="G131" s="2"/>
      <c r="H131" s="6">
        <v>0</v>
      </c>
      <c r="I131" s="2"/>
      <c r="J131" s="7">
        <f t="shared" si="70"/>
        <v>0</v>
      </c>
      <c r="K131" s="2"/>
      <c r="L131" s="6">
        <f t="shared" si="71"/>
        <v>75.73</v>
      </c>
      <c r="M131" s="2"/>
      <c r="N131" s="7">
        <f t="shared" si="72"/>
        <v>0</v>
      </c>
      <c r="O131" s="11"/>
      <c r="P131" s="6">
        <v>150.72999999999999</v>
      </c>
      <c r="Q131" s="2"/>
      <c r="R131" s="7">
        <f t="shared" si="73"/>
        <v>2.5138118727436481E-4</v>
      </c>
      <c r="S131" s="2"/>
      <c r="T131" s="6">
        <v>0</v>
      </c>
      <c r="U131" s="2"/>
      <c r="V131" s="7">
        <f t="shared" si="74"/>
        <v>0</v>
      </c>
      <c r="W131" s="2"/>
      <c r="X131" s="6">
        <f t="shared" si="75"/>
        <v>150.72999999999999</v>
      </c>
      <c r="Y131" s="2"/>
      <c r="Z131" s="7">
        <f t="shared" si="76"/>
        <v>0</v>
      </c>
    </row>
    <row r="132" spans="1:26" s="28" customFormat="1" outlineLevel="1" collapsed="1" x14ac:dyDescent="0.25">
      <c r="A132" s="27"/>
      <c r="B132" s="14" t="str">
        <f>CONCATENATE("     ","Supplies                                          ")</f>
        <v xml:space="preserve">     Supplies                                          </v>
      </c>
      <c r="C132" s="14"/>
      <c r="D132" s="1">
        <f>SUM(OSRRefD22_18x_0)</f>
        <v>297.52999999999997</v>
      </c>
      <c r="E132" s="1"/>
      <c r="F132" s="5">
        <f t="shared" ref="F132:F140" si="77">IF(D$12=0,0,D132/D$12)</f>
        <v>2.6152308343564668E-3</v>
      </c>
      <c r="G132" s="1"/>
      <c r="H132" s="1">
        <f>SUM(OSRRefH22_18x_0)</f>
        <v>650</v>
      </c>
      <c r="I132" s="1"/>
      <c r="J132" s="5">
        <f t="shared" ref="J132:J140" si="78">IF(H$12=0,0,H132/H$12)</f>
        <v>1.9006903892321502E-3</v>
      </c>
      <c r="K132" s="1"/>
      <c r="L132" s="1">
        <f t="shared" ref="L132:L140" si="79">+D132-H132</f>
        <v>-352.47</v>
      </c>
      <c r="M132" s="1"/>
      <c r="N132" s="5">
        <f t="shared" ref="N132:N140" si="80">IF(H132=0,0,L132/H132)</f>
        <v>-0.54226153846153846</v>
      </c>
      <c r="O132" s="14"/>
      <c r="P132" s="1">
        <f>SUM(OSRRefP22_18x_0)</f>
        <v>1509.7099999999998</v>
      </c>
      <c r="Q132" s="1"/>
      <c r="R132" s="5">
        <f t="shared" ref="R132:R140" si="81">IF(P$12=0,0,P132/P$12)</f>
        <v>2.5178311699063306E-3</v>
      </c>
      <c r="S132" s="1"/>
      <c r="T132" s="1">
        <f>SUM(OSRRefT22_18x_0)</f>
        <v>1895</v>
      </c>
      <c r="U132" s="1"/>
      <c r="V132" s="5">
        <f t="shared" ref="V132:V140" si="82">IF(T$12=0,0,T132/T$12)</f>
        <v>2.0005996520329051E-3</v>
      </c>
      <c r="W132" s="1"/>
      <c r="X132" s="1">
        <f t="shared" ref="X132:X140" si="83">+P132-T132</f>
        <v>-385.29000000000019</v>
      </c>
      <c r="Y132" s="1"/>
      <c r="Z132" s="5">
        <f t="shared" ref="Z132:Z140" si="84">IF(T132=0,0,X132/T132)</f>
        <v>-0.2033192612137204</v>
      </c>
    </row>
    <row r="133" spans="1:26" s="24" customFormat="1" hidden="1" outlineLevel="2" x14ac:dyDescent="0.25">
      <c r="A133" s="29"/>
      <c r="B133" s="11" t="str">
        <f>CONCATENATE("          ", "6234", " - ", "EXPENDABLE SUPPLIES &amp; EQUIPMEN")</f>
        <v xml:space="preserve">          6234 - EXPENDABLE SUPPLIES &amp; EQUIPMEN</v>
      </c>
      <c r="C133" s="11"/>
      <c r="D133" s="6"/>
      <c r="E133" s="2"/>
      <c r="F133" s="7">
        <f t="shared" si="77"/>
        <v>0</v>
      </c>
      <c r="G133" s="2"/>
      <c r="H133" s="6">
        <v>50</v>
      </c>
      <c r="I133" s="2"/>
      <c r="J133" s="7">
        <f t="shared" si="78"/>
        <v>1.4620695301785771E-4</v>
      </c>
      <c r="K133" s="2"/>
      <c r="L133" s="6">
        <f t="shared" si="79"/>
        <v>-50</v>
      </c>
      <c r="M133" s="2"/>
      <c r="N133" s="7">
        <f t="shared" si="80"/>
        <v>-1</v>
      </c>
      <c r="O133" s="11"/>
      <c r="P133" s="6"/>
      <c r="Q133" s="2"/>
      <c r="R133" s="7">
        <f t="shared" si="81"/>
        <v>0</v>
      </c>
      <c r="S133" s="2"/>
      <c r="T133" s="6">
        <v>150</v>
      </c>
      <c r="U133" s="2"/>
      <c r="V133" s="7">
        <f t="shared" si="82"/>
        <v>1.5835881150656241E-4</v>
      </c>
      <c r="W133" s="2"/>
      <c r="X133" s="6">
        <f t="shared" si="83"/>
        <v>-150</v>
      </c>
      <c r="Y133" s="2"/>
      <c r="Z133" s="7">
        <f t="shared" si="84"/>
        <v>-1</v>
      </c>
    </row>
    <row r="134" spans="1:26" s="24" customFormat="1" hidden="1" outlineLevel="2" x14ac:dyDescent="0.25">
      <c r="A134" s="29"/>
      <c r="B134" s="11" t="str">
        <f>CONCATENATE("          ", "6235", " - ", "COVID-19 EXPENSES")</f>
        <v xml:space="preserve">          6235 - COVID-19 EXPENSES</v>
      </c>
      <c r="C134" s="11"/>
      <c r="D134" s="6">
        <v>265.7</v>
      </c>
      <c r="E134" s="2"/>
      <c r="F134" s="7">
        <f t="shared" si="77"/>
        <v>2.3354513248698056E-3</v>
      </c>
      <c r="G134" s="2"/>
      <c r="H134" s="6">
        <v>200</v>
      </c>
      <c r="I134" s="2"/>
      <c r="J134" s="7">
        <f t="shared" si="78"/>
        <v>5.8482781207143083E-4</v>
      </c>
      <c r="K134" s="2"/>
      <c r="L134" s="6">
        <f t="shared" si="79"/>
        <v>65.699999999999989</v>
      </c>
      <c r="M134" s="2"/>
      <c r="N134" s="7">
        <f t="shared" si="80"/>
        <v>0.32849999999999996</v>
      </c>
      <c r="O134" s="11"/>
      <c r="P134" s="6">
        <v>1227.08</v>
      </c>
      <c r="Q134" s="2"/>
      <c r="R134" s="7">
        <f t="shared" si="81"/>
        <v>2.0464726814876104E-3</v>
      </c>
      <c r="S134" s="2"/>
      <c r="T134" s="6">
        <v>600</v>
      </c>
      <c r="U134" s="2"/>
      <c r="V134" s="7">
        <f t="shared" si="82"/>
        <v>6.3343524602624962E-4</v>
      </c>
      <c r="W134" s="2"/>
      <c r="X134" s="6">
        <f t="shared" si="83"/>
        <v>627.07999999999993</v>
      </c>
      <c r="Y134" s="2"/>
      <c r="Z134" s="7">
        <f t="shared" si="84"/>
        <v>1.0451333333333332</v>
      </c>
    </row>
    <row r="135" spans="1:26" s="24" customFormat="1" hidden="1" outlineLevel="2" x14ac:dyDescent="0.25">
      <c r="A135" s="29"/>
      <c r="B135" s="11" t="str">
        <f>CONCATENATE("          ", "6237", " - ", "JANITORIAL SUPPLIES")</f>
        <v xml:space="preserve">          6237 - JANITORIAL SUPPLIES</v>
      </c>
      <c r="C135" s="11"/>
      <c r="D135" s="6"/>
      <c r="E135" s="2"/>
      <c r="F135" s="7">
        <f t="shared" si="77"/>
        <v>0</v>
      </c>
      <c r="G135" s="2"/>
      <c r="H135" s="6">
        <v>100</v>
      </c>
      <c r="I135" s="2"/>
      <c r="J135" s="7">
        <f t="shared" si="78"/>
        <v>2.9241390603571541E-4</v>
      </c>
      <c r="K135" s="2"/>
      <c r="L135" s="6">
        <f t="shared" si="79"/>
        <v>-100</v>
      </c>
      <c r="M135" s="2"/>
      <c r="N135" s="7">
        <f t="shared" si="80"/>
        <v>-1</v>
      </c>
      <c r="O135" s="11"/>
      <c r="P135" s="6">
        <v>139.31</v>
      </c>
      <c r="Q135" s="2"/>
      <c r="R135" s="7">
        <f t="shared" si="81"/>
        <v>2.3233538910098694E-4</v>
      </c>
      <c r="S135" s="2"/>
      <c r="T135" s="6">
        <v>220</v>
      </c>
      <c r="U135" s="2"/>
      <c r="V135" s="7">
        <f t="shared" si="82"/>
        <v>2.3225959020962487E-4</v>
      </c>
      <c r="W135" s="2"/>
      <c r="X135" s="6">
        <f t="shared" si="83"/>
        <v>-80.69</v>
      </c>
      <c r="Y135" s="2"/>
      <c r="Z135" s="7">
        <f t="shared" si="84"/>
        <v>-0.36677272727272725</v>
      </c>
    </row>
    <row r="136" spans="1:26" s="24" customFormat="1" hidden="1" outlineLevel="2" x14ac:dyDescent="0.25">
      <c r="A136" s="29"/>
      <c r="B136" s="11" t="str">
        <f>CONCATENATE("          ", "6241", " - ", "OFFICE EXPENSE")</f>
        <v xml:space="preserve">          6241 - OFFICE EXPENSE</v>
      </c>
      <c r="C136" s="11"/>
      <c r="D136" s="6">
        <v>31.83</v>
      </c>
      <c r="E136" s="2"/>
      <c r="F136" s="7">
        <f t="shared" si="77"/>
        <v>2.7977950948666132E-4</v>
      </c>
      <c r="G136" s="2"/>
      <c r="H136" s="6">
        <v>125</v>
      </c>
      <c r="I136" s="2"/>
      <c r="J136" s="7">
        <f t="shared" si="78"/>
        <v>3.6551738254464428E-4</v>
      </c>
      <c r="K136" s="2"/>
      <c r="L136" s="6">
        <f t="shared" si="79"/>
        <v>-93.17</v>
      </c>
      <c r="M136" s="2"/>
      <c r="N136" s="7">
        <f t="shared" si="80"/>
        <v>-0.74536000000000002</v>
      </c>
      <c r="O136" s="11"/>
      <c r="P136" s="6">
        <v>143.32</v>
      </c>
      <c r="Q136" s="2"/>
      <c r="R136" s="7">
        <f t="shared" si="81"/>
        <v>2.3902309931773345E-4</v>
      </c>
      <c r="S136" s="2"/>
      <c r="T136" s="6">
        <v>375</v>
      </c>
      <c r="U136" s="2"/>
      <c r="V136" s="7">
        <f t="shared" si="82"/>
        <v>3.9589702876640601E-4</v>
      </c>
      <c r="W136" s="2"/>
      <c r="X136" s="6">
        <f t="shared" si="83"/>
        <v>-231.68</v>
      </c>
      <c r="Y136" s="2"/>
      <c r="Z136" s="7">
        <f t="shared" si="84"/>
        <v>-0.61781333333333333</v>
      </c>
    </row>
    <row r="137" spans="1:26" s="24" customFormat="1" hidden="1" outlineLevel="2" x14ac:dyDescent="0.25">
      <c r="A137" s="29"/>
      <c r="B137" s="11" t="str">
        <f>CONCATENATE("          ", "6243", " - ", "PAPER SUPPLIES")</f>
        <v xml:space="preserve">          6243 - PAPER SUPPLIES</v>
      </c>
      <c r="C137" s="11"/>
      <c r="D137" s="6"/>
      <c r="E137" s="2"/>
      <c r="F137" s="7">
        <f t="shared" si="77"/>
        <v>0</v>
      </c>
      <c r="G137" s="2"/>
      <c r="H137" s="6">
        <v>50</v>
      </c>
      <c r="I137" s="2"/>
      <c r="J137" s="7">
        <f t="shared" si="78"/>
        <v>1.4620695301785771E-4</v>
      </c>
      <c r="K137" s="2"/>
      <c r="L137" s="6">
        <f t="shared" si="79"/>
        <v>-50</v>
      </c>
      <c r="M137" s="2"/>
      <c r="N137" s="7">
        <f t="shared" si="80"/>
        <v>-1</v>
      </c>
      <c r="O137" s="11"/>
      <c r="P137" s="6"/>
      <c r="Q137" s="2"/>
      <c r="R137" s="7">
        <f t="shared" si="81"/>
        <v>0</v>
      </c>
      <c r="S137" s="2"/>
      <c r="T137" s="6">
        <v>150</v>
      </c>
      <c r="U137" s="2"/>
      <c r="V137" s="7">
        <f t="shared" si="82"/>
        <v>1.5835881150656241E-4</v>
      </c>
      <c r="W137" s="2"/>
      <c r="X137" s="6">
        <f t="shared" si="83"/>
        <v>-150</v>
      </c>
      <c r="Y137" s="2"/>
      <c r="Z137" s="7">
        <f t="shared" si="84"/>
        <v>-1</v>
      </c>
    </row>
    <row r="138" spans="1:26" s="24" customFormat="1" hidden="1" outlineLevel="2" x14ac:dyDescent="0.25">
      <c r="A138" s="29"/>
      <c r="B138" s="11" t="str">
        <f>CONCATENATE("          ", "6244", " - ", "SAFETY SUPPLY EXPENSE")</f>
        <v xml:space="preserve">          6244 - SAFETY SUPPLY EXPENSE</v>
      </c>
      <c r="C138" s="11"/>
      <c r="D138" s="6"/>
      <c r="E138" s="2"/>
      <c r="F138" s="7">
        <f t="shared" si="77"/>
        <v>0</v>
      </c>
      <c r="G138" s="2"/>
      <c r="H138" s="6">
        <v>0</v>
      </c>
      <c r="I138" s="2"/>
      <c r="J138" s="7">
        <f t="shared" si="78"/>
        <v>0</v>
      </c>
      <c r="K138" s="2"/>
      <c r="L138" s="6">
        <f t="shared" si="79"/>
        <v>0</v>
      </c>
      <c r="M138" s="2"/>
      <c r="N138" s="7">
        <f t="shared" si="80"/>
        <v>0</v>
      </c>
      <c r="O138" s="11"/>
      <c r="P138" s="6"/>
      <c r="Q138" s="2"/>
      <c r="R138" s="7">
        <f t="shared" si="81"/>
        <v>0</v>
      </c>
      <c r="S138" s="2"/>
      <c r="T138" s="6">
        <v>25</v>
      </c>
      <c r="U138" s="2"/>
      <c r="V138" s="7">
        <f t="shared" si="82"/>
        <v>2.6393135251093734E-5</v>
      </c>
      <c r="W138" s="2"/>
      <c r="X138" s="6">
        <f t="shared" si="83"/>
        <v>-25</v>
      </c>
      <c r="Y138" s="2"/>
      <c r="Z138" s="7">
        <f t="shared" si="84"/>
        <v>-1</v>
      </c>
    </row>
    <row r="139" spans="1:26" s="24" customFormat="1" hidden="1" outlineLevel="2" x14ac:dyDescent="0.25">
      <c r="A139" s="29"/>
      <c r="B139" s="11" t="str">
        <f>CONCATENATE("          ", "6245", " - ", "PRINTING")</f>
        <v xml:space="preserve">          6245 - PRINTING</v>
      </c>
      <c r="C139" s="11"/>
      <c r="D139" s="6"/>
      <c r="E139" s="2"/>
      <c r="F139" s="7">
        <f t="shared" si="77"/>
        <v>0</v>
      </c>
      <c r="G139" s="2"/>
      <c r="H139" s="6">
        <v>50</v>
      </c>
      <c r="I139" s="2"/>
      <c r="J139" s="7">
        <f t="shared" si="78"/>
        <v>1.4620695301785771E-4</v>
      </c>
      <c r="K139" s="2"/>
      <c r="L139" s="6">
        <f t="shared" si="79"/>
        <v>-50</v>
      </c>
      <c r="M139" s="2"/>
      <c r="N139" s="7">
        <f t="shared" si="80"/>
        <v>-1</v>
      </c>
      <c r="O139" s="11"/>
      <c r="P139" s="6"/>
      <c r="Q139" s="2"/>
      <c r="R139" s="7">
        <f t="shared" si="81"/>
        <v>0</v>
      </c>
      <c r="S139" s="2"/>
      <c r="T139" s="6">
        <v>150</v>
      </c>
      <c r="U139" s="2"/>
      <c r="V139" s="7">
        <f t="shared" si="82"/>
        <v>1.5835881150656241E-4</v>
      </c>
      <c r="W139" s="2"/>
      <c r="X139" s="6">
        <f t="shared" si="83"/>
        <v>-150</v>
      </c>
      <c r="Y139" s="2"/>
      <c r="Z139" s="7">
        <f t="shared" si="84"/>
        <v>-1</v>
      </c>
    </row>
    <row r="140" spans="1:26" s="24" customFormat="1" hidden="1" outlineLevel="2" x14ac:dyDescent="0.25">
      <c r="A140" s="29"/>
      <c r="B140" s="11" t="str">
        <f>CONCATENATE("          ", "6247", " - ", "STORE SUPPLIES")</f>
        <v xml:space="preserve">          6247 - STORE SUPPLIES</v>
      </c>
      <c r="C140" s="11"/>
      <c r="D140" s="6"/>
      <c r="E140" s="2"/>
      <c r="F140" s="7">
        <f t="shared" si="77"/>
        <v>0</v>
      </c>
      <c r="G140" s="2"/>
      <c r="H140" s="6">
        <v>75</v>
      </c>
      <c r="I140" s="2"/>
      <c r="J140" s="7">
        <f t="shared" si="78"/>
        <v>2.1931042952678657E-4</v>
      </c>
      <c r="K140" s="2"/>
      <c r="L140" s="6">
        <f t="shared" si="79"/>
        <v>-75</v>
      </c>
      <c r="M140" s="2"/>
      <c r="N140" s="7">
        <f t="shared" si="80"/>
        <v>-1</v>
      </c>
      <c r="O140" s="11"/>
      <c r="P140" s="6"/>
      <c r="Q140" s="2"/>
      <c r="R140" s="7">
        <f t="shared" si="81"/>
        <v>0</v>
      </c>
      <c r="S140" s="2"/>
      <c r="T140" s="6">
        <v>225</v>
      </c>
      <c r="U140" s="2"/>
      <c r="V140" s="7">
        <f t="shared" si="82"/>
        <v>2.3753821725984361E-4</v>
      </c>
      <c r="W140" s="2"/>
      <c r="X140" s="6">
        <f t="shared" si="83"/>
        <v>-225</v>
      </c>
      <c r="Y140" s="2"/>
      <c r="Z140" s="7">
        <f t="shared" si="84"/>
        <v>-1</v>
      </c>
    </row>
    <row r="141" spans="1:26" s="28" customFormat="1" outlineLevel="1" collapsed="1" x14ac:dyDescent="0.25">
      <c r="A141" s="27"/>
      <c r="B141" s="14" t="str">
        <f>CONCATENATE("     ","Telephone/Data Lines                              ")</f>
        <v xml:space="preserve">     Telephone/Data Lines                              </v>
      </c>
      <c r="C141" s="14"/>
      <c r="D141" s="1">
        <f>SUM(OSRRefD22_19x_0)</f>
        <v>1261.48</v>
      </c>
      <c r="E141" s="1"/>
      <c r="F141" s="5">
        <f t="shared" ref="F141:F143" si="85">IF(D$12=0,0,D141/D$12)</f>
        <v>1.1088163858851195E-2</v>
      </c>
      <c r="G141" s="1"/>
      <c r="H141" s="1">
        <f>SUM(OSRRefH22_19x_0)</f>
        <v>830</v>
      </c>
      <c r="I141" s="1"/>
      <c r="J141" s="5">
        <f t="shared" ref="J141:J143" si="86">IF(H$12=0,0,H141/H$12)</f>
        <v>2.4270354200964382E-3</v>
      </c>
      <c r="K141" s="1"/>
      <c r="L141" s="1">
        <f t="shared" ref="L141:L143" si="87">+D141-H141</f>
        <v>431.48</v>
      </c>
      <c r="M141" s="1"/>
      <c r="N141" s="5">
        <f t="shared" ref="N141:N143" si="88">IF(H141=0,0,L141/H141)</f>
        <v>0.51985542168674703</v>
      </c>
      <c r="O141" s="14"/>
      <c r="P141" s="1">
        <f>SUM(OSRRefP22_19x_0)</f>
        <v>2817.06</v>
      </c>
      <c r="Q141" s="1"/>
      <c r="R141" s="5">
        <f t="shared" ref="R141:R143" si="89">IF(P$12=0,0,P141/P$12)</f>
        <v>4.6981747987999874E-3</v>
      </c>
      <c r="S141" s="1"/>
      <c r="T141" s="1">
        <f>SUM(OSRRefT22_19x_0)</f>
        <v>2490</v>
      </c>
      <c r="U141" s="1"/>
      <c r="V141" s="5">
        <f t="shared" ref="V141:V143" si="90">IF(T$12=0,0,T141/T$12)</f>
        <v>2.6287562710089361E-3</v>
      </c>
      <c r="W141" s="1"/>
      <c r="X141" s="1">
        <f t="shared" ref="X141:X143" si="91">+P141-T141</f>
        <v>327.05999999999995</v>
      </c>
      <c r="Y141" s="1"/>
      <c r="Z141" s="5">
        <f t="shared" ref="Z141:Z143" si="92">IF(T141=0,0,X141/T141)</f>
        <v>0.13134939759036143</v>
      </c>
    </row>
    <row r="142" spans="1:26" s="24" customFormat="1" hidden="1" outlineLevel="2" x14ac:dyDescent="0.25">
      <c r="A142" s="29"/>
      <c r="B142" s="11" t="str">
        <f>CONCATENATE("          ", "6303", " - ", "DATA PHONE LINES")</f>
        <v xml:space="preserve">          6303 - DATA PHONE LINES</v>
      </c>
      <c r="C142" s="11"/>
      <c r="D142" s="6"/>
      <c r="E142" s="2"/>
      <c r="F142" s="7">
        <f t="shared" si="85"/>
        <v>0</v>
      </c>
      <c r="G142" s="2"/>
      <c r="H142" s="6">
        <v>230</v>
      </c>
      <c r="I142" s="2"/>
      <c r="J142" s="7">
        <f t="shared" si="86"/>
        <v>6.7255198388214553E-4</v>
      </c>
      <c r="K142" s="2"/>
      <c r="L142" s="6">
        <f t="shared" si="87"/>
        <v>-230</v>
      </c>
      <c r="M142" s="2"/>
      <c r="N142" s="7">
        <f t="shared" si="88"/>
        <v>-1</v>
      </c>
      <c r="O142" s="11"/>
      <c r="P142" s="6"/>
      <c r="Q142" s="2"/>
      <c r="R142" s="7">
        <f t="shared" si="89"/>
        <v>0</v>
      </c>
      <c r="S142" s="2"/>
      <c r="T142" s="6">
        <v>690</v>
      </c>
      <c r="U142" s="2"/>
      <c r="V142" s="7">
        <f t="shared" si="90"/>
        <v>7.2845053293018713E-4</v>
      </c>
      <c r="W142" s="2"/>
      <c r="X142" s="6">
        <f t="shared" si="91"/>
        <v>-690</v>
      </c>
      <c r="Y142" s="2"/>
      <c r="Z142" s="7">
        <f t="shared" si="92"/>
        <v>-1</v>
      </c>
    </row>
    <row r="143" spans="1:26" s="24" customFormat="1" hidden="1" outlineLevel="2" x14ac:dyDescent="0.25">
      <c r="A143" s="29"/>
      <c r="B143" s="11" t="str">
        <f>CONCATENATE("          ", "6309", " - ", "TELEPHONE")</f>
        <v xml:space="preserve">          6309 - TELEPHONE</v>
      </c>
      <c r="C143" s="11"/>
      <c r="D143" s="6">
        <v>1261.48</v>
      </c>
      <c r="E143" s="2"/>
      <c r="F143" s="7">
        <f t="shared" si="85"/>
        <v>1.1088163858851195E-2</v>
      </c>
      <c r="G143" s="2"/>
      <c r="H143" s="6">
        <v>600</v>
      </c>
      <c r="I143" s="2"/>
      <c r="J143" s="7">
        <f t="shared" si="86"/>
        <v>1.7544834362142926E-3</v>
      </c>
      <c r="K143" s="2"/>
      <c r="L143" s="6">
        <f t="shared" si="87"/>
        <v>661.48</v>
      </c>
      <c r="M143" s="2"/>
      <c r="N143" s="7">
        <f t="shared" si="88"/>
        <v>1.1024666666666667</v>
      </c>
      <c r="O143" s="11"/>
      <c r="P143" s="6">
        <v>2817.06</v>
      </c>
      <c r="Q143" s="2"/>
      <c r="R143" s="7">
        <f t="shared" si="89"/>
        <v>4.6981747987999874E-3</v>
      </c>
      <c r="S143" s="2"/>
      <c r="T143" s="6">
        <v>1800</v>
      </c>
      <c r="U143" s="2"/>
      <c r="V143" s="7">
        <f t="shared" si="90"/>
        <v>1.9003057380787489E-3</v>
      </c>
      <c r="W143" s="2"/>
      <c r="X143" s="6">
        <f t="shared" si="91"/>
        <v>1017.06</v>
      </c>
      <c r="Y143" s="2"/>
      <c r="Z143" s="7">
        <f t="shared" si="92"/>
        <v>0.56503333333333328</v>
      </c>
    </row>
    <row r="144" spans="1:26" s="28" customFormat="1" outlineLevel="1" collapsed="1" x14ac:dyDescent="0.25">
      <c r="A144" s="27"/>
      <c r="B144" s="14" t="str">
        <f>CONCATENATE("     ","Training                                          ")</f>
        <v xml:space="preserve">     Training                                          </v>
      </c>
      <c r="C144" s="14"/>
      <c r="D144" s="1">
        <f>SUM(OSRRefD22_20x_0)</f>
        <v>0</v>
      </c>
      <c r="E144" s="1"/>
      <c r="F144" s="5">
        <f t="shared" ref="F144:F148" si="93">IF(D$12=0,0,D144/D$12)</f>
        <v>0</v>
      </c>
      <c r="G144" s="1"/>
      <c r="H144" s="1">
        <f>SUM(OSRRefH22_20x_0)</f>
        <v>0</v>
      </c>
      <c r="I144" s="1"/>
      <c r="J144" s="5">
        <f t="shared" ref="J144:J148" si="94">IF(H$12=0,0,H144/H$12)</f>
        <v>0</v>
      </c>
      <c r="K144" s="1"/>
      <c r="L144" s="1">
        <f t="shared" ref="L144:L148" si="95">+D144-H144</f>
        <v>0</v>
      </c>
      <c r="M144" s="1"/>
      <c r="N144" s="5">
        <f t="shared" ref="N144:N148" si="96">IF(H144=0,0,L144/H144)</f>
        <v>0</v>
      </c>
      <c r="O144" s="14"/>
      <c r="P144" s="1">
        <f>SUM(OSRRefP22_20x_0)</f>
        <v>0</v>
      </c>
      <c r="Q144" s="1"/>
      <c r="R144" s="5">
        <f t="shared" ref="R144:R148" si="97">IF(P$12=0,0,P144/P$12)</f>
        <v>0</v>
      </c>
      <c r="S144" s="1"/>
      <c r="T144" s="1">
        <f>SUM(OSRRefT22_20x_0)</f>
        <v>0</v>
      </c>
      <c r="U144" s="1"/>
      <c r="V144" s="5">
        <f t="shared" ref="V144:V148" si="98">IF(T$12=0,0,T144/T$12)</f>
        <v>0</v>
      </c>
      <c r="W144" s="1"/>
      <c r="X144" s="1">
        <f t="shared" ref="X144:X148" si="99">+P144-T144</f>
        <v>0</v>
      </c>
      <c r="Y144" s="1"/>
      <c r="Z144" s="5">
        <f t="shared" ref="Z144:Z148" si="100">IF(T144=0,0,X144/T144)</f>
        <v>0</v>
      </c>
    </row>
    <row r="145" spans="1:26" s="24" customFormat="1" hidden="1" outlineLevel="2" x14ac:dyDescent="0.25">
      <c r="A145" s="29"/>
      <c r="B145" s="11" t="str">
        <f>CONCATENATE("          ", "6376", " - ", "TRAINING")</f>
        <v xml:space="preserve">          6376 - TRAINING</v>
      </c>
      <c r="C145" s="11"/>
      <c r="D145" s="6"/>
      <c r="E145" s="2"/>
      <c r="F145" s="7">
        <f t="shared" si="93"/>
        <v>0</v>
      </c>
      <c r="G145" s="2"/>
      <c r="H145" s="6">
        <v>0</v>
      </c>
      <c r="I145" s="2"/>
      <c r="J145" s="7">
        <f t="shared" si="94"/>
        <v>0</v>
      </c>
      <c r="K145" s="2"/>
      <c r="L145" s="6">
        <f t="shared" si="95"/>
        <v>0</v>
      </c>
      <c r="M145" s="2"/>
      <c r="N145" s="7">
        <f t="shared" si="96"/>
        <v>0</v>
      </c>
      <c r="O145" s="11"/>
      <c r="P145" s="6"/>
      <c r="Q145" s="2"/>
      <c r="R145" s="7">
        <f t="shared" si="97"/>
        <v>0</v>
      </c>
      <c r="S145" s="2"/>
      <c r="T145" s="6">
        <v>0</v>
      </c>
      <c r="U145" s="2"/>
      <c r="V145" s="7">
        <f t="shared" si="98"/>
        <v>0</v>
      </c>
      <c r="W145" s="2"/>
      <c r="X145" s="6">
        <f t="shared" si="99"/>
        <v>0</v>
      </c>
      <c r="Y145" s="2"/>
      <c r="Z145" s="7">
        <f t="shared" si="100"/>
        <v>0</v>
      </c>
    </row>
    <row r="146" spans="1:26" s="28" customFormat="1" outlineLevel="1" collapsed="1" x14ac:dyDescent="0.25">
      <c r="A146" s="27"/>
      <c r="B146" s="14" t="str">
        <f>CONCATENATE("     ","Travel                                            ")</f>
        <v xml:space="preserve">     Travel                                            </v>
      </c>
      <c r="C146" s="14"/>
      <c r="D146" s="1">
        <f>SUM(OSRRefD22_21x_0)</f>
        <v>0</v>
      </c>
      <c r="E146" s="1"/>
      <c r="F146" s="5">
        <f t="shared" si="93"/>
        <v>0</v>
      </c>
      <c r="G146" s="1"/>
      <c r="H146" s="1">
        <f>SUM(OSRRefH22_21x_0)</f>
        <v>50</v>
      </c>
      <c r="I146" s="1"/>
      <c r="J146" s="5">
        <f t="shared" si="94"/>
        <v>1.4620695301785771E-4</v>
      </c>
      <c r="K146" s="1"/>
      <c r="L146" s="1">
        <f t="shared" si="95"/>
        <v>-50</v>
      </c>
      <c r="M146" s="1"/>
      <c r="N146" s="5">
        <f t="shared" si="96"/>
        <v>-1</v>
      </c>
      <c r="O146" s="14"/>
      <c r="P146" s="1">
        <f>SUM(OSRRefP22_21x_0)</f>
        <v>240.92</v>
      </c>
      <c r="Q146" s="1"/>
      <c r="R146" s="5">
        <f t="shared" si="97"/>
        <v>4.0179629561560383E-4</v>
      </c>
      <c r="S146" s="1"/>
      <c r="T146" s="1">
        <f>SUM(OSRRefT22_21x_0)</f>
        <v>150</v>
      </c>
      <c r="U146" s="1"/>
      <c r="V146" s="5">
        <f t="shared" si="98"/>
        <v>1.5835881150656241E-4</v>
      </c>
      <c r="W146" s="1"/>
      <c r="X146" s="1">
        <f t="shared" si="99"/>
        <v>90.919999999999987</v>
      </c>
      <c r="Y146" s="1"/>
      <c r="Z146" s="5">
        <f t="shared" si="100"/>
        <v>0.6061333333333333</v>
      </c>
    </row>
    <row r="147" spans="1:26" s="24" customFormat="1" hidden="1" outlineLevel="2" x14ac:dyDescent="0.25">
      <c r="A147" s="29"/>
      <c r="B147" s="11" t="str">
        <f>CONCATENATE("          ", "6294", " - ", "TRAVEL OPERATIONAL")</f>
        <v xml:space="preserve">          6294 - TRAVEL OPERATIONAL</v>
      </c>
      <c r="C147" s="11"/>
      <c r="D147" s="6"/>
      <c r="E147" s="2"/>
      <c r="F147" s="7">
        <f t="shared" si="93"/>
        <v>0</v>
      </c>
      <c r="G147" s="2"/>
      <c r="H147" s="6">
        <v>25</v>
      </c>
      <c r="I147" s="2"/>
      <c r="J147" s="7">
        <f t="shared" si="94"/>
        <v>7.3103476508928854E-5</v>
      </c>
      <c r="K147" s="2"/>
      <c r="L147" s="6">
        <f t="shared" si="95"/>
        <v>-25</v>
      </c>
      <c r="M147" s="2"/>
      <c r="N147" s="7">
        <f t="shared" si="96"/>
        <v>-1</v>
      </c>
      <c r="O147" s="11"/>
      <c r="P147" s="6">
        <v>240.92</v>
      </c>
      <c r="Q147" s="2"/>
      <c r="R147" s="7">
        <f t="shared" si="97"/>
        <v>4.0179629561560383E-4</v>
      </c>
      <c r="S147" s="2"/>
      <c r="T147" s="6">
        <v>75</v>
      </c>
      <c r="U147" s="2"/>
      <c r="V147" s="7">
        <f t="shared" si="98"/>
        <v>7.9179405753281203E-5</v>
      </c>
      <c r="W147" s="2"/>
      <c r="X147" s="6">
        <f t="shared" si="99"/>
        <v>165.92</v>
      </c>
      <c r="Y147" s="2"/>
      <c r="Z147" s="7">
        <f t="shared" si="100"/>
        <v>2.2122666666666664</v>
      </c>
    </row>
    <row r="148" spans="1:26" s="24" customFormat="1" hidden="1" outlineLevel="2" x14ac:dyDescent="0.25">
      <c r="A148" s="29"/>
      <c r="B148" s="11" t="str">
        <f>CONCATENATE("          ", "6298", " - ", "VEHICLE MILEAGE")</f>
        <v xml:space="preserve">          6298 - VEHICLE MILEAGE</v>
      </c>
      <c r="C148" s="11"/>
      <c r="D148" s="6"/>
      <c r="E148" s="2"/>
      <c r="F148" s="7">
        <f t="shared" si="93"/>
        <v>0</v>
      </c>
      <c r="G148" s="2"/>
      <c r="H148" s="6">
        <v>25</v>
      </c>
      <c r="I148" s="2"/>
      <c r="J148" s="7">
        <f t="shared" si="94"/>
        <v>7.3103476508928854E-5</v>
      </c>
      <c r="K148" s="2"/>
      <c r="L148" s="6">
        <f t="shared" si="95"/>
        <v>-25</v>
      </c>
      <c r="M148" s="2"/>
      <c r="N148" s="7">
        <f t="shared" si="96"/>
        <v>-1</v>
      </c>
      <c r="O148" s="11"/>
      <c r="P148" s="6"/>
      <c r="Q148" s="2"/>
      <c r="R148" s="7">
        <f t="shared" si="97"/>
        <v>0</v>
      </c>
      <c r="S148" s="2"/>
      <c r="T148" s="6">
        <v>75</v>
      </c>
      <c r="U148" s="2"/>
      <c r="V148" s="7">
        <f t="shared" si="98"/>
        <v>7.9179405753281203E-5</v>
      </c>
      <c r="W148" s="2"/>
      <c r="X148" s="6">
        <f t="shared" si="99"/>
        <v>-75</v>
      </c>
      <c r="Y148" s="2"/>
      <c r="Z148" s="7">
        <f t="shared" si="100"/>
        <v>-1</v>
      </c>
    </row>
    <row r="149" spans="1:26" s="28" customFormat="1" outlineLevel="1" collapsed="1" x14ac:dyDescent="0.25">
      <c r="A149" s="27"/>
      <c r="B149" s="14" t="str">
        <f>CONCATENATE("     ","Utilities                                         ")</f>
        <v xml:space="preserve">     Utilities                                         </v>
      </c>
      <c r="C149" s="14"/>
      <c r="D149" s="1">
        <f>SUM(OSRRefD22_22x_0)</f>
        <v>28.01</v>
      </c>
      <c r="E149" s="1"/>
      <c r="F149" s="5">
        <f t="shared" ref="F149:F150" si="101">IF(D$12=0,0,D149/D$12)</f>
        <v>2.4620245242605669E-4</v>
      </c>
      <c r="G149" s="1"/>
      <c r="H149" s="1">
        <f>SUM(OSRRefH22_22x_0)</f>
        <v>105</v>
      </c>
      <c r="I149" s="1"/>
      <c r="J149" s="5">
        <f t="shared" ref="J149:J150" si="102">IF(H$12=0,0,H149/H$12)</f>
        <v>3.070346013375012E-4</v>
      </c>
      <c r="K149" s="1"/>
      <c r="L149" s="1">
        <f t="shared" ref="L149:L150" si="103">+D149-H149</f>
        <v>-76.989999999999995</v>
      </c>
      <c r="M149" s="1"/>
      <c r="N149" s="5">
        <f t="shared" ref="N149:N150" si="104">IF(H149=0,0,L149/H149)</f>
        <v>-0.73323809523809524</v>
      </c>
      <c r="O149" s="14"/>
      <c r="P149" s="1">
        <f>SUM(OSRRefP22_22x_0)</f>
        <v>68.36</v>
      </c>
      <c r="Q149" s="1"/>
      <c r="R149" s="5">
        <f t="shared" ref="R149:R150" si="105">IF(P$12=0,0,P149/P$12)</f>
        <v>1.1400794773486087E-4</v>
      </c>
      <c r="S149" s="1"/>
      <c r="T149" s="1">
        <f>SUM(OSRRefT22_22x_0)</f>
        <v>315</v>
      </c>
      <c r="U149" s="1"/>
      <c r="V149" s="5">
        <f t="shared" ref="V149:V150" si="106">IF(T$12=0,0,T149/T$12)</f>
        <v>3.3255350416378106E-4</v>
      </c>
      <c r="W149" s="1"/>
      <c r="X149" s="1">
        <f t="shared" ref="X149:X150" si="107">+P149-T149</f>
        <v>-246.64</v>
      </c>
      <c r="Y149" s="1"/>
      <c r="Z149" s="5">
        <f t="shared" ref="Z149:Z150" si="108">IF(T149=0,0,X149/T149)</f>
        <v>-0.78298412698412689</v>
      </c>
    </row>
    <row r="150" spans="1:26" s="24" customFormat="1" hidden="1" outlineLevel="2" x14ac:dyDescent="0.25">
      <c r="A150" s="29"/>
      <c r="B150" s="11" t="str">
        <f>CONCATENATE("          ", "6274", " - ", "UTILITIES")</f>
        <v xml:space="preserve">          6274 - UTILITIES</v>
      </c>
      <c r="C150" s="11"/>
      <c r="D150" s="6">
        <v>28.01</v>
      </c>
      <c r="E150" s="2"/>
      <c r="F150" s="7">
        <f t="shared" si="101"/>
        <v>2.4620245242605669E-4</v>
      </c>
      <c r="G150" s="2"/>
      <c r="H150" s="6">
        <v>105</v>
      </c>
      <c r="I150" s="2"/>
      <c r="J150" s="7">
        <f t="shared" si="102"/>
        <v>3.070346013375012E-4</v>
      </c>
      <c r="K150" s="2"/>
      <c r="L150" s="6">
        <f t="shared" si="103"/>
        <v>-76.989999999999995</v>
      </c>
      <c r="M150" s="2"/>
      <c r="N150" s="7">
        <f t="shared" si="104"/>
        <v>-0.73323809523809524</v>
      </c>
      <c r="O150" s="11"/>
      <c r="P150" s="6">
        <v>68.36</v>
      </c>
      <c r="Q150" s="2"/>
      <c r="R150" s="7">
        <f t="shared" si="105"/>
        <v>1.1400794773486087E-4</v>
      </c>
      <c r="S150" s="2"/>
      <c r="T150" s="6">
        <v>315</v>
      </c>
      <c r="U150" s="2"/>
      <c r="V150" s="7">
        <f t="shared" si="106"/>
        <v>3.3255350416378106E-4</v>
      </c>
      <c r="W150" s="2"/>
      <c r="X150" s="6">
        <f t="shared" si="107"/>
        <v>-246.64</v>
      </c>
      <c r="Y150" s="2"/>
      <c r="Z150" s="7">
        <f t="shared" si="108"/>
        <v>-0.78298412698412689</v>
      </c>
    </row>
    <row r="151" spans="1:26" s="61" customFormat="1" x14ac:dyDescent="0.25">
      <c r="A151" s="36"/>
      <c r="B151" s="36"/>
      <c r="C151" s="36"/>
      <c r="D151" s="1"/>
      <c r="E151" s="1"/>
      <c r="F151" s="5"/>
      <c r="G151" s="1"/>
      <c r="H151" s="1"/>
      <c r="I151" s="1"/>
      <c r="J151" s="5"/>
      <c r="K151" s="1"/>
      <c r="L151" s="1"/>
      <c r="M151" s="1"/>
      <c r="N151" s="5"/>
      <c r="O151" s="36"/>
      <c r="P151" s="1"/>
      <c r="Q151" s="1"/>
      <c r="R151" s="5"/>
      <c r="S151" s="1"/>
      <c r="T151" s="1"/>
      <c r="U151" s="1"/>
      <c r="V151" s="5"/>
      <c r="W151" s="1"/>
      <c r="X151" s="1"/>
      <c r="Y151" s="1"/>
      <c r="Z151" s="5"/>
    </row>
    <row r="152" spans="1:26" s="23" customFormat="1" collapsed="1" x14ac:dyDescent="0.25">
      <c r="A152" s="10"/>
      <c r="B152" s="25" t="s">
        <v>0</v>
      </c>
      <c r="C152" s="10"/>
      <c r="D152" s="4">
        <f>SUM(OSRRefD25x_0)</f>
        <v>0</v>
      </c>
      <c r="E152" s="4"/>
      <c r="F152" s="12">
        <f t="shared" ref="F152:F155" si="109">IF(D$12=0,0,D152/D$12)</f>
        <v>0</v>
      </c>
      <c r="G152" s="4"/>
      <c r="H152" s="4">
        <f>SUM(OSRRefH25x_0)</f>
        <v>8075</v>
      </c>
      <c r="I152" s="4"/>
      <c r="J152" s="12">
        <f t="shared" ref="J152:J155" si="110">IF(H$12=0,0,H152/H$12)</f>
        <v>2.361242291238402E-2</v>
      </c>
      <c r="K152" s="4"/>
      <c r="L152" s="4">
        <f t="shared" ref="L152:L155" si="111">+D152-H152</f>
        <v>-8075</v>
      </c>
      <c r="M152" s="4"/>
      <c r="N152" s="12">
        <f t="shared" ref="N152:N155" si="112">IF(H152=0,0,L152/H152)</f>
        <v>-1</v>
      </c>
      <c r="O152" s="10"/>
      <c r="P152" s="4">
        <f>SUM(OSRRefP25x_0)</f>
        <v>172008.31</v>
      </c>
      <c r="Q152" s="4"/>
      <c r="R152" s="12">
        <f t="shared" ref="R152:R155" si="113">IF(P$12=0,0,P152/P$12)</f>
        <v>0.28686826238212032</v>
      </c>
      <c r="S152" s="4"/>
      <c r="T152" s="4">
        <f>SUM(OSRRefT25x_0)</f>
        <v>24225</v>
      </c>
      <c r="U152" s="4"/>
      <c r="V152" s="12">
        <f t="shared" ref="V152:V155" si="114">IF(T$12=0,0,T152/T$12)</f>
        <v>2.5574948058309829E-2</v>
      </c>
      <c r="W152" s="4"/>
      <c r="X152" s="4">
        <f t="shared" ref="X152:X155" si="115">+P152-T152</f>
        <v>147783.31</v>
      </c>
      <c r="Y152" s="4"/>
      <c r="Z152" s="12">
        <f t="shared" ref="Z152:Z155" si="116">IF(T152=0,0,X152/T152)</f>
        <v>6.1004462332301337</v>
      </c>
    </row>
    <row r="153" spans="1:26" s="24" customFormat="1" hidden="1" outlineLevel="1" x14ac:dyDescent="0.25">
      <c r="A153" s="51"/>
      <c r="B153" s="11" t="str">
        <f>CONCATENATE("          ", "9150", " - ", "MISC. INCOME")</f>
        <v xml:space="preserve">          9150 - MISC. INCOME</v>
      </c>
      <c r="C153" s="11"/>
      <c r="D153" s="2">
        <f t="shared" ref="D153:D155" si="117">0</f>
        <v>0</v>
      </c>
      <c r="E153" s="2"/>
      <c r="F153" s="22">
        <f t="shared" si="109"/>
        <v>0</v>
      </c>
      <c r="G153" s="2"/>
      <c r="H153" s="2">
        <v>8075</v>
      </c>
      <c r="I153" s="2"/>
      <c r="J153" s="22">
        <f t="shared" si="110"/>
        <v>2.361242291238402E-2</v>
      </c>
      <c r="K153" s="2"/>
      <c r="L153" s="2">
        <f t="shared" si="111"/>
        <v>-8075</v>
      </c>
      <c r="M153" s="2"/>
      <c r="N153" s="22">
        <f t="shared" si="112"/>
        <v>-1</v>
      </c>
      <c r="O153" s="11"/>
      <c r="P153" s="2">
        <f>--11344.41</f>
        <v>11344.41</v>
      </c>
      <c r="Q153" s="2"/>
      <c r="R153" s="22">
        <f t="shared" si="113"/>
        <v>1.8919732334154959E-2</v>
      </c>
      <c r="S153" s="2"/>
      <c r="T153" s="2">
        <v>24225</v>
      </c>
      <c r="U153" s="2"/>
      <c r="V153" s="22">
        <f t="shared" si="114"/>
        <v>2.5574948058309829E-2</v>
      </c>
      <c r="W153" s="2"/>
      <c r="X153" s="2">
        <f t="shared" si="115"/>
        <v>-12880.59</v>
      </c>
      <c r="Y153" s="2"/>
      <c r="Z153" s="22">
        <f t="shared" si="116"/>
        <v>-0.5317065015479876</v>
      </c>
    </row>
    <row r="154" spans="1:26" s="24" customFormat="1" hidden="1" outlineLevel="1" x14ac:dyDescent="0.25">
      <c r="A154" s="51"/>
      <c r="B154" s="11" t="str">
        <f>CONCATENATE("          ", "9151", " - ", "MISC. INCOME")</f>
        <v xml:space="preserve">          9151 - MISC. INCOME</v>
      </c>
      <c r="C154" s="11"/>
      <c r="D154" s="2">
        <f t="shared" si="117"/>
        <v>0</v>
      </c>
      <c r="E154" s="2"/>
      <c r="F154" s="22">
        <f t="shared" si="109"/>
        <v>0</v>
      </c>
      <c r="G154" s="2"/>
      <c r="H154" s="2">
        <v>0</v>
      </c>
      <c r="I154" s="2"/>
      <c r="J154" s="22">
        <f t="shared" si="110"/>
        <v>0</v>
      </c>
      <c r="K154" s="2"/>
      <c r="L154" s="2">
        <f t="shared" si="111"/>
        <v>0</v>
      </c>
      <c r="M154" s="2"/>
      <c r="N154" s="22">
        <f t="shared" si="112"/>
        <v>0</v>
      </c>
      <c r="O154" s="11"/>
      <c r="P154" s="2">
        <f>0</f>
        <v>0</v>
      </c>
      <c r="Q154" s="2"/>
      <c r="R154" s="22">
        <f t="shared" si="113"/>
        <v>0</v>
      </c>
      <c r="S154" s="2"/>
      <c r="T154" s="2">
        <v>0</v>
      </c>
      <c r="U154" s="2"/>
      <c r="V154" s="22">
        <f t="shared" si="114"/>
        <v>0</v>
      </c>
      <c r="W154" s="2"/>
      <c r="X154" s="2">
        <f t="shared" si="115"/>
        <v>0</v>
      </c>
      <c r="Y154" s="2"/>
      <c r="Z154" s="22">
        <f t="shared" si="116"/>
        <v>0</v>
      </c>
    </row>
    <row r="155" spans="1:26" s="24" customFormat="1" hidden="1" outlineLevel="1" x14ac:dyDescent="0.25">
      <c r="A155" s="51"/>
      <c r="B155" s="11" t="str">
        <f>CONCATENATE("          ", "9163", " - ", "MISC. INCOME")</f>
        <v xml:space="preserve">          9163 - MISC. INCOME</v>
      </c>
      <c r="C155" s="11"/>
      <c r="D155" s="2">
        <f t="shared" si="117"/>
        <v>0</v>
      </c>
      <c r="E155" s="2"/>
      <c r="F155" s="22">
        <f t="shared" si="109"/>
        <v>0</v>
      </c>
      <c r="G155" s="2"/>
      <c r="H155" s="2"/>
      <c r="I155" s="2"/>
      <c r="J155" s="22">
        <f t="shared" si="110"/>
        <v>0</v>
      </c>
      <c r="K155" s="2"/>
      <c r="L155" s="2">
        <f t="shared" si="111"/>
        <v>0</v>
      </c>
      <c r="M155" s="2"/>
      <c r="N155" s="22">
        <f t="shared" si="112"/>
        <v>0</v>
      </c>
      <c r="O155" s="11"/>
      <c r="P155" s="2">
        <f>--160663.9</f>
        <v>160663.9</v>
      </c>
      <c r="Q155" s="2"/>
      <c r="R155" s="22">
        <f t="shared" si="113"/>
        <v>0.26794853004796537</v>
      </c>
      <c r="S155" s="2"/>
      <c r="T155" s="2"/>
      <c r="U155" s="2"/>
      <c r="V155" s="22">
        <f t="shared" si="114"/>
        <v>0</v>
      </c>
      <c r="W155" s="2"/>
      <c r="X155" s="2">
        <f t="shared" si="115"/>
        <v>160663.9</v>
      </c>
      <c r="Y155" s="2"/>
      <c r="Z155" s="22">
        <f t="shared" si="116"/>
        <v>0</v>
      </c>
    </row>
    <row r="156" spans="1:26" x14ac:dyDescent="0.25">
      <c r="A156" s="9"/>
      <c r="B156" s="10"/>
      <c r="C156" s="10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O156" s="10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25">
      <c r="A157" s="10"/>
      <c r="B157" s="26" t="s">
        <v>3</v>
      </c>
      <c r="C157" s="26"/>
      <c r="D157" s="20">
        <f>+D68-D70+D152</f>
        <v>-23672.200000000026</v>
      </c>
      <c r="E157" s="13"/>
      <c r="F157" s="21">
        <f>IF(D$12=0,0,D157/D$12)</f>
        <v>-0.20807403407069278</v>
      </c>
      <c r="G157" s="13"/>
      <c r="H157" s="20">
        <f>+H68-H70+H152</f>
        <v>69558.283373076949</v>
      </c>
      <c r="I157" s="13"/>
      <c r="J157" s="21">
        <f>IF(H$12=0,0,H157/H$12)</f>
        <v>0.20339809338260589</v>
      </c>
      <c r="K157" s="16"/>
      <c r="L157" s="20">
        <f>+D157-H157</f>
        <v>-93230.483373076975</v>
      </c>
      <c r="M157" s="16"/>
      <c r="N157" s="21">
        <f>IF(H157=0,0,L157/H157)</f>
        <v>-1.3403217970896983</v>
      </c>
      <c r="O157" s="25"/>
      <c r="P157" s="20">
        <f>+P68-P70+P152</f>
        <v>202333.28</v>
      </c>
      <c r="Q157" s="13"/>
      <c r="R157" s="21">
        <f>IF(P$12=0,0,P157/P$12)</f>
        <v>0.33744297851467187</v>
      </c>
      <c r="S157" s="13"/>
      <c r="T157" s="20">
        <f>+T68-T70+T152</f>
        <v>161145.37360499991</v>
      </c>
      <c r="U157" s="13"/>
      <c r="V157" s="21">
        <f>IF(T$12=0,0,T157/T$12)</f>
        <v>0.17012526562579172</v>
      </c>
      <c r="W157" s="16"/>
      <c r="X157" s="20">
        <f>+P157-T157</f>
        <v>41187.906395000085</v>
      </c>
      <c r="Y157" s="16"/>
      <c r="Z157" s="21">
        <f>IF(T157=0,0,X157/T157)</f>
        <v>0.25559471844323634</v>
      </c>
    </row>
    <row r="158" spans="1:26" x14ac:dyDescent="0.25">
      <c r="A158" s="9"/>
      <c r="B158" s="10"/>
      <c r="C158" s="9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x14ac:dyDescent="0.25">
      <c r="A159" s="52"/>
      <c r="B159" s="10" t="s">
        <v>14</v>
      </c>
      <c r="C159" s="10"/>
      <c r="D159" s="4">
        <v>29052.76</v>
      </c>
      <c r="E159" s="4"/>
      <c r="F159" s="12">
        <f>IF(D$12=0,0,D159/D$12)</f>
        <v>0.25536811002305038</v>
      </c>
      <c r="G159" s="4"/>
      <c r="H159" s="4">
        <v>38104</v>
      </c>
      <c r="I159" s="4"/>
      <c r="J159" s="12">
        <f>IF(H$12=0,0,H159/H$12)</f>
        <v>0.11142139475584902</v>
      </c>
      <c r="K159" s="4"/>
      <c r="L159" s="4">
        <f>+D159-H159</f>
        <v>-9051.2400000000016</v>
      </c>
      <c r="M159" s="4"/>
      <c r="N159" s="12">
        <f>IF(H159=0,0,L159/H159)</f>
        <v>-0.23754041570438802</v>
      </c>
      <c r="O159" s="10"/>
      <c r="P159" s="4">
        <v>111080.25</v>
      </c>
      <c r="Q159" s="4"/>
      <c r="R159" s="12">
        <f>IF(P$12=0,0,P159/P$12)</f>
        <v>0.18525499321789465</v>
      </c>
      <c r="S159" s="4"/>
      <c r="T159" s="4">
        <v>136941</v>
      </c>
      <c r="U159" s="4"/>
      <c r="V159" s="12">
        <f>IF(T$12=0,0,T159/T$12)</f>
        <v>0.14457209337680108</v>
      </c>
      <c r="W159" s="4"/>
      <c r="X159" s="4">
        <f>+P159-T159</f>
        <v>-25860.75</v>
      </c>
      <c r="Y159" s="4"/>
      <c r="Z159" s="12">
        <f>IF(T159=0,0,X159/T159)</f>
        <v>-0.18884592634784322</v>
      </c>
    </row>
    <row r="160" spans="1:26" x14ac:dyDescent="0.25">
      <c r="A160" s="9"/>
      <c r="B160" s="10"/>
      <c r="C160" s="10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O160" s="10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s="23" customFormat="1" ht="15.75" thickBot="1" x14ac:dyDescent="0.3">
      <c r="A161" s="10"/>
      <c r="B161" s="26" t="s">
        <v>4</v>
      </c>
      <c r="C161" s="26"/>
      <c r="D161" s="33">
        <f>+D157-D159</f>
        <v>-52724.960000000021</v>
      </c>
      <c r="E161" s="13"/>
      <c r="F161" s="34">
        <f>IF(D$12=0,0,D161/D$12)</f>
        <v>-0.46344214409374318</v>
      </c>
      <c r="G161" s="13"/>
      <c r="H161" s="33">
        <f>+H157-H159</f>
        <v>31454.283373076949</v>
      </c>
      <c r="I161" s="13"/>
      <c r="J161" s="34">
        <f>IF(H$12=0,0,H161/H$12)</f>
        <v>9.1976698626756892E-2</v>
      </c>
      <c r="K161" s="16"/>
      <c r="L161" s="33">
        <f>D161-H161</f>
        <v>-84179.24337307697</v>
      </c>
      <c r="M161" s="16"/>
      <c r="N161" s="34">
        <f>IF(H161=0,0,L161/H161)</f>
        <v>-2.6762410185803041</v>
      </c>
      <c r="O161" s="25"/>
      <c r="P161" s="33">
        <f>+P157-P159</f>
        <v>91253.03</v>
      </c>
      <c r="Q161" s="13"/>
      <c r="R161" s="34">
        <f>IF(P$12=0,0,P161/P$12)</f>
        <v>0.15218798529677721</v>
      </c>
      <c r="S161" s="13"/>
      <c r="T161" s="33">
        <f>+T157-T159</f>
        <v>24204.373604999913</v>
      </c>
      <c r="U161" s="13"/>
      <c r="V161" s="34">
        <f>IF(T$12=0,0,T161/T$12)</f>
        <v>2.555317224899064E-2</v>
      </c>
      <c r="W161" s="16"/>
      <c r="X161" s="33">
        <f>P161-T161</f>
        <v>67048.656395000085</v>
      </c>
      <c r="Y161" s="16"/>
      <c r="Z161" s="34">
        <f>IF(T161=0,0,X161/T161)</f>
        <v>2.7701050020625115</v>
      </c>
    </row>
    <row r="162" spans="1:26" ht="15.75" thickTop="1" x14ac:dyDescent="0.25">
      <c r="A162" s="9"/>
      <c r="B162" s="9"/>
      <c r="C162" s="9"/>
      <c r="D162" s="3"/>
      <c r="E162" s="3"/>
      <c r="F162" s="8"/>
      <c r="G162" s="3"/>
      <c r="H162" s="3"/>
      <c r="I162" s="3"/>
      <c r="J162" s="8"/>
      <c r="K162" s="3"/>
      <c r="L162" s="3"/>
      <c r="M162" s="3"/>
      <c r="N162" s="8"/>
      <c r="P162" s="3"/>
      <c r="Q162" s="3"/>
      <c r="R162" s="8"/>
      <c r="S162" s="3"/>
      <c r="T162" s="3"/>
      <c r="U162" s="3"/>
      <c r="V162" s="8"/>
      <c r="W162" s="3"/>
      <c r="X162" s="3"/>
      <c r="Y162" s="3"/>
      <c r="Z162" s="8"/>
    </row>
    <row r="163" spans="1:26" x14ac:dyDescent="0.25">
      <c r="A163" s="9"/>
      <c r="B163" s="9"/>
      <c r="C163" s="9"/>
      <c r="D163" s="3"/>
      <c r="E163" s="3"/>
      <c r="F163" s="8"/>
      <c r="G163" s="3"/>
      <c r="H163" s="3"/>
      <c r="I163" s="3"/>
      <c r="J163" s="8"/>
      <c r="K163" s="3"/>
      <c r="L163" s="3"/>
      <c r="M163" s="3"/>
      <c r="N163" s="8"/>
      <c r="P163" s="3"/>
      <c r="Q163" s="3"/>
      <c r="R163" s="8"/>
      <c r="S163" s="3"/>
      <c r="T163" s="3"/>
      <c r="U163" s="3"/>
      <c r="V163" s="8"/>
      <c r="W163" s="3"/>
      <c r="X163" s="3"/>
      <c r="Y163" s="3"/>
      <c r="Z163" s="8"/>
    </row>
    <row r="164" spans="1:26" s="23" customFormat="1" ht="15.75" thickBot="1" x14ac:dyDescent="0.3">
      <c r="A164" s="10"/>
      <c r="B164" s="26" t="s">
        <v>5</v>
      </c>
      <c r="C164" s="26"/>
      <c r="D164" s="31">
        <f>SUM(D161:D163)</f>
        <v>-52724.960000000021</v>
      </c>
      <c r="E164" s="13"/>
      <c r="F164" s="32">
        <f>IF(D$12=0,0,D164/D$12)</f>
        <v>-0.46344214409374318</v>
      </c>
      <c r="G164" s="13"/>
      <c r="H164" s="31">
        <f>SUM(H161:H163)</f>
        <v>31454.283373076949</v>
      </c>
      <c r="I164" s="13"/>
      <c r="J164" s="32">
        <f>IF(H$12=0,0,H164/H$12)</f>
        <v>9.1976698626756892E-2</v>
      </c>
      <c r="K164" s="16"/>
      <c r="L164" s="31">
        <f>+D164-H164</f>
        <v>-84179.24337307697</v>
      </c>
      <c r="M164" s="16"/>
      <c r="N164" s="32">
        <f>IF(H164=0,0,L164/H164)</f>
        <v>-2.6762410185803041</v>
      </c>
      <c r="O164" s="25"/>
      <c r="P164" s="31">
        <f>SUM(P161:P163)</f>
        <v>91253.03</v>
      </c>
      <c r="Q164" s="13"/>
      <c r="R164" s="32">
        <f>IF(P$12=0,0,P164/P$12)</f>
        <v>0.15218798529677721</v>
      </c>
      <c r="S164" s="13"/>
      <c r="T164" s="31">
        <f>SUM(T161:T163)</f>
        <v>24204.373604999913</v>
      </c>
      <c r="U164" s="13"/>
      <c r="V164" s="32">
        <f>IF(T$12=0,0,T164/T$12)</f>
        <v>2.555317224899064E-2</v>
      </c>
      <c r="W164" s="16"/>
      <c r="X164" s="31">
        <f>+P164-T164</f>
        <v>67048.656395000085</v>
      </c>
      <c r="Y164" s="16"/>
      <c r="Z164" s="32">
        <f>IF(T164=0,0,X164/T164)</f>
        <v>2.7701050020625115</v>
      </c>
    </row>
    <row r="165" spans="1:26" ht="15.75" thickTop="1" x14ac:dyDescent="0.25">
      <c r="A165" s="9"/>
      <c r="C165" s="9"/>
      <c r="D165" s="17"/>
      <c r="E165" s="17"/>
      <c r="G165" s="17"/>
      <c r="H165" s="17"/>
      <c r="I165" s="17"/>
      <c r="J165" s="43"/>
      <c r="K165" s="17"/>
      <c r="L165" s="17"/>
      <c r="M165" s="17"/>
      <c r="P165" s="17"/>
      <c r="Q165" s="17"/>
      <c r="R165" s="43"/>
      <c r="S165" s="17"/>
      <c r="T165" s="17"/>
      <c r="U165" s="17"/>
      <c r="V165" s="43"/>
      <c r="W165" s="17"/>
      <c r="X165" s="17"/>
    </row>
    <row r="166" spans="1:26" x14ac:dyDescent="0.25">
      <c r="A166" s="9"/>
      <c r="B166" s="55">
        <v>44123.571537847223</v>
      </c>
      <c r="D166" s="17"/>
      <c r="E166" s="17"/>
      <c r="G166" s="17"/>
      <c r="H166" s="17"/>
      <c r="I166" s="17"/>
      <c r="J166" s="43"/>
      <c r="K166" s="17"/>
      <c r="L166" s="17"/>
      <c r="M166" s="17"/>
      <c r="P166" s="17"/>
      <c r="Q166" s="17"/>
      <c r="R166" s="43"/>
      <c r="S166" s="17"/>
      <c r="T166" s="17"/>
      <c r="U166" s="17"/>
      <c r="V166" s="43"/>
      <c r="W166" s="17"/>
      <c r="X166" s="17"/>
    </row>
    <row r="167" spans="1:26" x14ac:dyDescent="0.25">
      <c r="A167" s="9"/>
      <c r="B167" s="53" t="s">
        <v>314</v>
      </c>
      <c r="D167" s="17"/>
      <c r="E167" s="17"/>
      <c r="G167" s="17"/>
      <c r="H167" s="17"/>
      <c r="I167" s="17"/>
      <c r="J167" s="43"/>
      <c r="K167" s="17"/>
      <c r="L167" s="17"/>
      <c r="M167" s="17"/>
      <c r="P167" s="17"/>
      <c r="Q167" s="17"/>
      <c r="R167" s="43"/>
      <c r="S167" s="17"/>
      <c r="T167" s="17"/>
      <c r="U167" s="17"/>
      <c r="V167" s="43"/>
      <c r="W167" s="17"/>
      <c r="X167" s="17"/>
    </row>
    <row r="168" spans="1:26" x14ac:dyDescent="0.25">
      <c r="A168" s="9"/>
      <c r="B168" s="62"/>
      <c r="D168" s="17"/>
      <c r="E168" s="17"/>
      <c r="G168" s="17"/>
      <c r="H168" s="17"/>
      <c r="I168" s="17"/>
      <c r="J168" s="43"/>
      <c r="K168" s="17"/>
      <c r="L168" s="17"/>
      <c r="M168" s="17"/>
      <c r="P168" s="17"/>
      <c r="Q168" s="17"/>
      <c r="R168" s="43"/>
      <c r="S168" s="17"/>
      <c r="T168" s="17"/>
      <c r="U168" s="17"/>
      <c r="V168" s="43"/>
      <c r="W168" s="17"/>
      <c r="X168" s="17"/>
    </row>
    <row r="169" spans="1:26" x14ac:dyDescent="0.25">
      <c r="D169" s="17"/>
      <c r="E169" s="17"/>
      <c r="G169" s="17"/>
      <c r="H169" s="17"/>
      <c r="I169" s="17"/>
      <c r="J169" s="43"/>
      <c r="K169" s="17"/>
      <c r="L169" s="17"/>
      <c r="M169" s="17"/>
      <c r="P169" s="17"/>
      <c r="Q169" s="17"/>
      <c r="R169" s="43"/>
      <c r="S169" s="17"/>
      <c r="T169" s="17"/>
      <c r="U169" s="17"/>
      <c r="V169" s="43"/>
      <c r="W169" s="17"/>
      <c r="X169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51"/>
  <sheetViews>
    <sheetView zoomScale="80" workbookViewId="0">
      <pane xSplit="3" ySplit="10" topLeftCell="D10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","315", " - ", "Beach Shop")</f>
        <v>Department 315 - Beach Shop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93801.37000000001</v>
      </c>
      <c r="E12" s="4"/>
      <c r="F12" s="12"/>
      <c r="G12" s="4"/>
      <c r="H12" s="4">
        <f>SUM(OSRRefH13x_0)</f>
        <v>311046</v>
      </c>
      <c r="I12" s="4"/>
      <c r="J12" s="12"/>
      <c r="K12" s="4"/>
      <c r="L12" s="4">
        <f t="shared" ref="L12:L48" si="0">+D12-H12</f>
        <v>-217244.63</v>
      </c>
      <c r="M12" s="4"/>
      <c r="N12" s="12">
        <f t="shared" ref="N12:N48" si="1">IF(H12=0,0,L12/H12)</f>
        <v>-0.69843248265529856</v>
      </c>
      <c r="O12" s="10"/>
      <c r="P12" s="4">
        <f>SUM(OSRRefP13x_0)</f>
        <v>529963.44000000006</v>
      </c>
      <c r="Q12" s="4"/>
      <c r="R12" s="12"/>
      <c r="S12" s="4"/>
      <c r="T12" s="4">
        <f>SUM(OSRRefT13x_0)</f>
        <v>801354</v>
      </c>
      <c r="U12" s="4"/>
      <c r="V12" s="12"/>
      <c r="W12" s="4"/>
      <c r="X12" s="4">
        <f t="shared" ref="X12:X48" si="2">+P12-T12</f>
        <v>-271390.55999999994</v>
      </c>
      <c r="Y12" s="4"/>
      <c r="Z12" s="12">
        <f t="shared" ref="Z12:Z48" si="3">IF(T12=0,0,X12/T12)</f>
        <v>-0.33866500947146944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-7132.78</f>
        <v>-7132.78</v>
      </c>
      <c r="E13" s="2"/>
      <c r="F13" s="22"/>
      <c r="G13" s="2"/>
      <c r="H13" s="2">
        <v>311046</v>
      </c>
      <c r="I13" s="2"/>
      <c r="J13" s="22"/>
      <c r="K13" s="2"/>
      <c r="L13" s="2">
        <f t="shared" si="0"/>
        <v>-318178.78000000003</v>
      </c>
      <c r="M13" s="2"/>
      <c r="N13" s="22">
        <f t="shared" si="1"/>
        <v>-1.0229315921117779</v>
      </c>
      <c r="O13" s="11"/>
      <c r="P13" s="2">
        <f>-29335.54</f>
        <v>-29335.54</v>
      </c>
      <c r="Q13" s="2"/>
      <c r="R13" s="22"/>
      <c r="S13" s="2"/>
      <c r="T13" s="2">
        <v>801354</v>
      </c>
      <c r="U13" s="2"/>
      <c r="V13" s="22"/>
      <c r="W13" s="2"/>
      <c r="X13" s="2">
        <f t="shared" si="2"/>
        <v>-830689.54</v>
      </c>
      <c r="Y13" s="2"/>
      <c r="Z13" s="22">
        <f t="shared" si="3"/>
        <v>-1.0366074668623355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--221.99</f>
        <v>221.99</v>
      </c>
      <c r="Q14" s="2"/>
      <c r="R14" s="22"/>
      <c r="S14" s="2"/>
      <c r="T14" s="2"/>
      <c r="U14" s="2"/>
      <c r="V14" s="22"/>
      <c r="W14" s="2"/>
      <c r="X14" s="2">
        <f t="shared" si="2"/>
        <v>221.99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--6169.97</f>
        <v>6169.97</v>
      </c>
      <c r="E15" s="2"/>
      <c r="F15" s="22"/>
      <c r="G15" s="2"/>
      <c r="H15" s="2"/>
      <c r="I15" s="2"/>
      <c r="J15" s="22"/>
      <c r="K15" s="2"/>
      <c r="L15" s="2">
        <f t="shared" si="0"/>
        <v>6169.97</v>
      </c>
      <c r="M15" s="2"/>
      <c r="N15" s="22">
        <f t="shared" si="1"/>
        <v>0</v>
      </c>
      <c r="O15" s="11"/>
      <c r="P15" s="2">
        <f>--24673.17</f>
        <v>24673.17</v>
      </c>
      <c r="Q15" s="2"/>
      <c r="R15" s="22"/>
      <c r="S15" s="2"/>
      <c r="T15" s="2"/>
      <c r="U15" s="2"/>
      <c r="V15" s="22"/>
      <c r="W15" s="2"/>
      <c r="X15" s="2">
        <f t="shared" si="2"/>
        <v>24673.17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--19.85</f>
        <v>19.850000000000001</v>
      </c>
      <c r="Q16" s="2"/>
      <c r="R16" s="22"/>
      <c r="S16" s="2"/>
      <c r="T16" s="2"/>
      <c r="U16" s="2"/>
      <c r="V16" s="22"/>
      <c r="W16" s="2"/>
      <c r="X16" s="2">
        <f t="shared" si="2"/>
        <v>19.850000000000001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"4031", " - ", "TAXABLE SALES-FOOD")</f>
        <v xml:space="preserve">          4031 - TAXABLE SALES-FOOD</v>
      </c>
      <c r="C17" s="11"/>
      <c r="D17" s="2">
        <f>--441.57</f>
        <v>441.57</v>
      </c>
      <c r="E17" s="2"/>
      <c r="F17" s="22"/>
      <c r="G17" s="2"/>
      <c r="H17" s="2"/>
      <c r="I17" s="2"/>
      <c r="J17" s="22"/>
      <c r="K17" s="2"/>
      <c r="L17" s="2">
        <f t="shared" si="0"/>
        <v>441.57</v>
      </c>
      <c r="M17" s="2"/>
      <c r="N17" s="22">
        <f t="shared" si="1"/>
        <v>0</v>
      </c>
      <c r="O17" s="11"/>
      <c r="P17" s="2">
        <f>--868.79</f>
        <v>868.79</v>
      </c>
      <c r="Q17" s="2"/>
      <c r="R17" s="22"/>
      <c r="S17" s="2"/>
      <c r="T17" s="2"/>
      <c r="U17" s="2"/>
      <c r="V17" s="22"/>
      <c r="W17" s="2"/>
      <c r="X17" s="2">
        <f t="shared" si="2"/>
        <v>868.79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--6.78</f>
        <v>6.78</v>
      </c>
      <c r="Q18" s="2"/>
      <c r="R18" s="22"/>
      <c r="S18" s="2"/>
      <c r="T18" s="2"/>
      <c r="U18" s="2"/>
      <c r="V18" s="22"/>
      <c r="W18" s="2"/>
      <c r="X18" s="2">
        <f t="shared" si="2"/>
        <v>6.78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"4040", " - ", "TAXABLE SALES-LOGO CLOTHING")</f>
        <v xml:space="preserve">          4040 - TAXABLE SALES-LOGO CLOTHING</v>
      </c>
      <c r="C19" s="11"/>
      <c r="D19" s="2">
        <f>--62893.01</f>
        <v>62893.01</v>
      </c>
      <c r="E19" s="2"/>
      <c r="F19" s="22"/>
      <c r="G19" s="2"/>
      <c r="H19" s="2"/>
      <c r="I19" s="2"/>
      <c r="J19" s="22"/>
      <c r="K19" s="2"/>
      <c r="L19" s="2">
        <f t="shared" si="0"/>
        <v>62893.01</v>
      </c>
      <c r="M19" s="2"/>
      <c r="N19" s="22">
        <f t="shared" si="1"/>
        <v>0</v>
      </c>
      <c r="O19" s="11"/>
      <c r="P19" s="2">
        <f>--271385.29</f>
        <v>271385.28999999998</v>
      </c>
      <c r="Q19" s="2"/>
      <c r="R19" s="22"/>
      <c r="S19" s="2"/>
      <c r="T19" s="2"/>
      <c r="U19" s="2"/>
      <c r="V19" s="22"/>
      <c r="W19" s="2"/>
      <c r="X19" s="2">
        <f t="shared" si="2"/>
        <v>271385.28999999998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"4041", " - ", "TAXABLE SALES-LOGO GIFTS")</f>
        <v xml:space="preserve">          4041 - TAXABLE SALES-LOGO GIFTS</v>
      </c>
      <c r="C20" s="11"/>
      <c r="D20" s="2">
        <f>--16442.34</f>
        <v>16442.34</v>
      </c>
      <c r="E20" s="2"/>
      <c r="F20" s="22"/>
      <c r="G20" s="2"/>
      <c r="H20" s="2"/>
      <c r="I20" s="2"/>
      <c r="J20" s="22"/>
      <c r="K20" s="2"/>
      <c r="L20" s="2">
        <f t="shared" si="0"/>
        <v>16442.34</v>
      </c>
      <c r="M20" s="2"/>
      <c r="N20" s="22">
        <f t="shared" si="1"/>
        <v>0</v>
      </c>
      <c r="O20" s="11"/>
      <c r="P20" s="2">
        <f>--69286.5</f>
        <v>69286.5</v>
      </c>
      <c r="Q20" s="2"/>
      <c r="R20" s="22"/>
      <c r="S20" s="2"/>
      <c r="T20" s="2"/>
      <c r="U20" s="2"/>
      <c r="V20" s="22"/>
      <c r="W20" s="2"/>
      <c r="X20" s="2">
        <f t="shared" si="2"/>
        <v>69286.5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--6088.88</f>
        <v>6088.88</v>
      </c>
      <c r="E21" s="2"/>
      <c r="F21" s="22"/>
      <c r="G21" s="2"/>
      <c r="H21" s="2"/>
      <c r="I21" s="2"/>
      <c r="J21" s="22"/>
      <c r="K21" s="2"/>
      <c r="L21" s="2">
        <f t="shared" si="0"/>
        <v>6088.88</v>
      </c>
      <c r="M21" s="2"/>
      <c r="N21" s="22">
        <f t="shared" si="1"/>
        <v>0</v>
      </c>
      <c r="O21" s="11"/>
      <c r="P21" s="2">
        <f>--34208.22</f>
        <v>34208.22</v>
      </c>
      <c r="Q21" s="2"/>
      <c r="R21" s="22"/>
      <c r="S21" s="2"/>
      <c r="T21" s="2"/>
      <c r="U21" s="2"/>
      <c r="V21" s="22"/>
      <c r="W21" s="2"/>
      <c r="X21" s="2">
        <f t="shared" si="2"/>
        <v>34208.22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"4043", " - ", "TAXABLE SALES-CARDS")</f>
        <v xml:space="preserve">          4043 - TAXABLE SALES-CARDS</v>
      </c>
      <c r="C22" s="11"/>
      <c r="D22" s="2">
        <f>--2554.77</f>
        <v>2554.77</v>
      </c>
      <c r="E22" s="2"/>
      <c r="F22" s="22"/>
      <c r="G22" s="2"/>
      <c r="H22" s="2"/>
      <c r="I22" s="2"/>
      <c r="J22" s="22"/>
      <c r="K22" s="2"/>
      <c r="L22" s="2">
        <f t="shared" si="0"/>
        <v>2554.77</v>
      </c>
      <c r="M22" s="2"/>
      <c r="N22" s="22">
        <f t="shared" si="1"/>
        <v>0</v>
      </c>
      <c r="O22" s="11"/>
      <c r="P22" s="2">
        <f>--9155.77</f>
        <v>9155.77</v>
      </c>
      <c r="Q22" s="2"/>
      <c r="R22" s="22"/>
      <c r="S22" s="2"/>
      <c r="T22" s="2"/>
      <c r="U22" s="2"/>
      <c r="V22" s="22"/>
      <c r="W22" s="2"/>
      <c r="X22" s="2">
        <f t="shared" si="2"/>
        <v>9155.77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"4044", " - ", "TAXABLE SALES-ACCESSORIES")</f>
        <v xml:space="preserve">          4044 - TAXABLE SALES-ACCESSORIES</v>
      </c>
      <c r="C23" s="11"/>
      <c r="D23" s="2">
        <f>--2671.93</f>
        <v>2671.93</v>
      </c>
      <c r="E23" s="2"/>
      <c r="F23" s="22"/>
      <c r="G23" s="2"/>
      <c r="H23" s="2"/>
      <c r="I23" s="2"/>
      <c r="J23" s="22"/>
      <c r="K23" s="2"/>
      <c r="L23" s="2">
        <f t="shared" si="0"/>
        <v>2671.93</v>
      </c>
      <c r="M23" s="2"/>
      <c r="N23" s="22">
        <f t="shared" si="1"/>
        <v>0</v>
      </c>
      <c r="O23" s="11"/>
      <c r="P23" s="2">
        <f>--10549.05</f>
        <v>10549.05</v>
      </c>
      <c r="Q23" s="2"/>
      <c r="R23" s="22"/>
      <c r="S23" s="2"/>
      <c r="T23" s="2"/>
      <c r="U23" s="2"/>
      <c r="V23" s="22"/>
      <c r="W23" s="2"/>
      <c r="X23" s="2">
        <f t="shared" si="2"/>
        <v>10549.05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--2540.46</f>
        <v>2540.46</v>
      </c>
      <c r="E24" s="2"/>
      <c r="F24" s="22"/>
      <c r="G24" s="2"/>
      <c r="H24" s="2"/>
      <c r="I24" s="2"/>
      <c r="J24" s="22"/>
      <c r="K24" s="2"/>
      <c r="L24" s="2">
        <f t="shared" si="0"/>
        <v>2540.46</v>
      </c>
      <c r="M24" s="2"/>
      <c r="N24" s="22">
        <f t="shared" si="1"/>
        <v>0</v>
      </c>
      <c r="O24" s="11"/>
      <c r="P24" s="2">
        <f>--91971.54</f>
        <v>91971.54</v>
      </c>
      <c r="Q24" s="2"/>
      <c r="R24" s="22"/>
      <c r="S24" s="2"/>
      <c r="T24" s="2"/>
      <c r="U24" s="2"/>
      <c r="V24" s="22"/>
      <c r="W24" s="2"/>
      <c r="X24" s="2">
        <f t="shared" si="2"/>
        <v>91971.54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--52.68</f>
        <v>52.68</v>
      </c>
      <c r="Q25" s="2"/>
      <c r="R25" s="22"/>
      <c r="S25" s="2"/>
      <c r="T25" s="2"/>
      <c r="U25" s="2"/>
      <c r="V25" s="22"/>
      <c r="W25" s="2"/>
      <c r="X25" s="2">
        <f t="shared" si="2"/>
        <v>52.68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--810.33</f>
        <v>810.33</v>
      </c>
      <c r="E26" s="2"/>
      <c r="F26" s="22"/>
      <c r="G26" s="2"/>
      <c r="H26" s="2"/>
      <c r="I26" s="2"/>
      <c r="J26" s="22"/>
      <c r="K26" s="2"/>
      <c r="L26" s="2">
        <f t="shared" si="0"/>
        <v>810.33</v>
      </c>
      <c r="M26" s="2"/>
      <c r="N26" s="22">
        <f t="shared" si="1"/>
        <v>0</v>
      </c>
      <c r="O26" s="11"/>
      <c r="P26" s="2">
        <f>--2670.74</f>
        <v>2670.74</v>
      </c>
      <c r="Q26" s="2"/>
      <c r="R26" s="22"/>
      <c r="S26" s="2"/>
      <c r="T26" s="2"/>
      <c r="U26" s="2"/>
      <c r="V26" s="22"/>
      <c r="W26" s="2"/>
      <c r="X26" s="2">
        <f t="shared" si="2"/>
        <v>2670.74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"4131", " - ", "NON-TAXABLE SALES-FOOD")</f>
        <v xml:space="preserve">          4131 - NON-TAXABLE SALES-FOOD</v>
      </c>
      <c r="C27" s="11"/>
      <c r="D27" s="2">
        <f>--911.18</f>
        <v>911.18</v>
      </c>
      <c r="E27" s="2"/>
      <c r="F27" s="22"/>
      <c r="G27" s="2"/>
      <c r="H27" s="2"/>
      <c r="I27" s="2"/>
      <c r="J27" s="22"/>
      <c r="K27" s="2"/>
      <c r="L27" s="2">
        <f t="shared" si="0"/>
        <v>911.18</v>
      </c>
      <c r="M27" s="2"/>
      <c r="N27" s="22">
        <f t="shared" si="1"/>
        <v>0</v>
      </c>
      <c r="O27" s="11"/>
      <c r="P27" s="2">
        <f>--2148.76</f>
        <v>2148.7600000000002</v>
      </c>
      <c r="Q27" s="2"/>
      <c r="R27" s="22"/>
      <c r="S27" s="2"/>
      <c r="T27" s="2"/>
      <c r="U27" s="2"/>
      <c r="V27" s="22"/>
      <c r="W27" s="2"/>
      <c r="X27" s="2">
        <f t="shared" si="2"/>
        <v>2148.7600000000002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"4132", " - ", "NON-TAXABLE SALES-JUICE")</f>
        <v xml:space="preserve">          4132 - NON-TAXABLE SALES-JUICE</v>
      </c>
      <c r="C28" s="11"/>
      <c r="D28" s="2">
        <f t="shared" ref="D28:D31" si="4">0</f>
        <v>0</v>
      </c>
      <c r="E28" s="2"/>
      <c r="F28" s="22"/>
      <c r="G28" s="2"/>
      <c r="H28" s="2"/>
      <c r="I28" s="2"/>
      <c r="J28" s="22"/>
      <c r="K28" s="2"/>
      <c r="L28" s="2">
        <f t="shared" si="0"/>
        <v>0</v>
      </c>
      <c r="M28" s="2"/>
      <c r="N28" s="22">
        <f t="shared" si="1"/>
        <v>0</v>
      </c>
      <c r="O28" s="11"/>
      <c r="P28" s="2">
        <f>--22.49</f>
        <v>22.49</v>
      </c>
      <c r="Q28" s="2"/>
      <c r="R28" s="22"/>
      <c r="S28" s="2"/>
      <c r="T28" s="2"/>
      <c r="U28" s="2"/>
      <c r="V28" s="22"/>
      <c r="W28" s="2"/>
      <c r="X28" s="2">
        <f t="shared" si="2"/>
        <v>22.49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"4133", " - ", "NON-TAXABLE SALES-CANDY")</f>
        <v xml:space="preserve">          4133 - NON-TAXABLE SALES-CANDY</v>
      </c>
      <c r="C29" s="11"/>
      <c r="D29" s="2">
        <f t="shared" si="4"/>
        <v>0</v>
      </c>
      <c r="E29" s="2"/>
      <c r="F29" s="22"/>
      <c r="G29" s="2"/>
      <c r="H29" s="2"/>
      <c r="I29" s="2"/>
      <c r="J29" s="22"/>
      <c r="K29" s="2"/>
      <c r="L29" s="2">
        <f t="shared" si="0"/>
        <v>0</v>
      </c>
      <c r="M29" s="2"/>
      <c r="N29" s="22">
        <f t="shared" si="1"/>
        <v>0</v>
      </c>
      <c r="O29" s="11"/>
      <c r="P29" s="2">
        <f>--80.71</f>
        <v>80.709999999999994</v>
      </c>
      <c r="Q29" s="2"/>
      <c r="R29" s="22"/>
      <c r="S29" s="2"/>
      <c r="T29" s="2"/>
      <c r="U29" s="2"/>
      <c r="V29" s="22"/>
      <c r="W29" s="2"/>
      <c r="X29" s="2">
        <f t="shared" si="2"/>
        <v>80.709999999999994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"4134", " - ", "NON-TAXABLE SALES-SODA")</f>
        <v xml:space="preserve">          4134 - NON-TAXABLE SALES-SODA</v>
      </c>
      <c r="C30" s="11"/>
      <c r="D30" s="2">
        <f t="shared" si="4"/>
        <v>0</v>
      </c>
      <c r="E30" s="2"/>
      <c r="F30" s="22"/>
      <c r="G30" s="2"/>
      <c r="H30" s="2"/>
      <c r="I30" s="2"/>
      <c r="J30" s="22"/>
      <c r="K30" s="2"/>
      <c r="L30" s="2">
        <f t="shared" si="0"/>
        <v>0</v>
      </c>
      <c r="M30" s="2"/>
      <c r="N30" s="22">
        <f t="shared" si="1"/>
        <v>0</v>
      </c>
      <c r="O30" s="11"/>
      <c r="P30" s="2">
        <f>--45.53</f>
        <v>45.53</v>
      </c>
      <c r="Q30" s="2"/>
      <c r="R30" s="22"/>
      <c r="S30" s="2"/>
      <c r="T30" s="2"/>
      <c r="U30" s="2"/>
      <c r="V30" s="22"/>
      <c r="W30" s="2"/>
      <c r="X30" s="2">
        <f t="shared" si="2"/>
        <v>45.53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"4137", " - ", "NON-TAXABLE SALES-WATER")</f>
        <v xml:space="preserve">          4137 - NON-TAXABLE SALES-WATER</v>
      </c>
      <c r="C31" s="11"/>
      <c r="D31" s="2">
        <f t="shared" si="4"/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--59.25</f>
        <v>59.25</v>
      </c>
      <c r="Q31" s="2"/>
      <c r="R31" s="22"/>
      <c r="S31" s="2"/>
      <c r="T31" s="2"/>
      <c r="U31" s="2"/>
      <c r="V31" s="22"/>
      <c r="W31" s="2"/>
      <c r="X31" s="2">
        <f t="shared" si="2"/>
        <v>59.25</v>
      </c>
      <c r="Y31" s="2"/>
      <c r="Z31" s="22">
        <f t="shared" si="3"/>
        <v>0</v>
      </c>
    </row>
    <row r="32" spans="1:26" s="24" customFormat="1" hidden="1" outlineLevel="1" x14ac:dyDescent="0.25">
      <c r="A32" s="51"/>
      <c r="B32" s="11" t="str">
        <f>CONCATENATE("          ", "4140", " - ", "NON-TAXABLE SALES-LOGO CLOTHIN")</f>
        <v xml:space="preserve">          4140 - NON-TAXABLE SALES-LOGO CLOTHIN</v>
      </c>
      <c r="C32" s="11"/>
      <c r="D32" s="2">
        <f>--3332.21</f>
        <v>3332.21</v>
      </c>
      <c r="E32" s="2"/>
      <c r="F32" s="22"/>
      <c r="G32" s="2"/>
      <c r="H32" s="2"/>
      <c r="I32" s="2"/>
      <c r="J32" s="22"/>
      <c r="K32" s="2"/>
      <c r="L32" s="2">
        <f t="shared" si="0"/>
        <v>3332.21</v>
      </c>
      <c r="M32" s="2"/>
      <c r="N32" s="22">
        <f t="shared" si="1"/>
        <v>0</v>
      </c>
      <c r="O32" s="11"/>
      <c r="P32" s="2">
        <f>--17361.51</f>
        <v>17361.509999999998</v>
      </c>
      <c r="Q32" s="2"/>
      <c r="R32" s="22"/>
      <c r="S32" s="2"/>
      <c r="T32" s="2"/>
      <c r="U32" s="2"/>
      <c r="V32" s="22"/>
      <c r="W32" s="2"/>
      <c r="X32" s="2">
        <f t="shared" si="2"/>
        <v>17361.509999999998</v>
      </c>
      <c r="Y32" s="2"/>
      <c r="Z32" s="22">
        <f t="shared" si="3"/>
        <v>0</v>
      </c>
    </row>
    <row r="33" spans="1:26" s="24" customFormat="1" hidden="1" outlineLevel="1" x14ac:dyDescent="0.25">
      <c r="A33" s="51"/>
      <c r="B33" s="11" t="str">
        <f>CONCATENATE("          ", "4141", " - ", "NON-TAXABLE SALES-LOGO GIFTS")</f>
        <v xml:space="preserve">          4141 - NON-TAXABLE SALES-LOGO GIFTS</v>
      </c>
      <c r="C33" s="11"/>
      <c r="D33" s="2">
        <f>--555.74</f>
        <v>555.74</v>
      </c>
      <c r="E33" s="2"/>
      <c r="F33" s="22"/>
      <c r="G33" s="2"/>
      <c r="H33" s="2"/>
      <c r="I33" s="2"/>
      <c r="J33" s="22"/>
      <c r="K33" s="2"/>
      <c r="L33" s="2">
        <f t="shared" si="0"/>
        <v>555.74</v>
      </c>
      <c r="M33" s="2"/>
      <c r="N33" s="22">
        <f t="shared" si="1"/>
        <v>0</v>
      </c>
      <c r="O33" s="11"/>
      <c r="P33" s="2">
        <f>--2487.49</f>
        <v>2487.4899999999998</v>
      </c>
      <c r="Q33" s="2"/>
      <c r="R33" s="22"/>
      <c r="S33" s="2"/>
      <c r="T33" s="2"/>
      <c r="U33" s="2"/>
      <c r="V33" s="22"/>
      <c r="W33" s="2"/>
      <c r="X33" s="2">
        <f t="shared" si="2"/>
        <v>2487.4899999999998</v>
      </c>
      <c r="Y33" s="2"/>
      <c r="Z33" s="22">
        <f t="shared" si="3"/>
        <v>0</v>
      </c>
    </row>
    <row r="34" spans="1:26" s="24" customFormat="1" hidden="1" outlineLevel="1" x14ac:dyDescent="0.25">
      <c r="A34" s="51"/>
      <c r="B34" s="11" t="str">
        <f>CONCATENATE("          ", "4142", " - ", "NON-TAXABLE SALES-EVERYDAY GIF")</f>
        <v xml:space="preserve">          4142 - NON-TAXABLE SALES-EVERYDAY GIF</v>
      </c>
      <c r="C34" s="11"/>
      <c r="D34" s="2">
        <f>--30.16</f>
        <v>30.16</v>
      </c>
      <c r="E34" s="2"/>
      <c r="F34" s="22"/>
      <c r="G34" s="2"/>
      <c r="H34" s="2"/>
      <c r="I34" s="2"/>
      <c r="J34" s="22"/>
      <c r="K34" s="2"/>
      <c r="L34" s="2">
        <f t="shared" si="0"/>
        <v>30.16</v>
      </c>
      <c r="M34" s="2"/>
      <c r="N34" s="22">
        <f t="shared" si="1"/>
        <v>0</v>
      </c>
      <c r="O34" s="11"/>
      <c r="P34" s="2">
        <f>--1003.75</f>
        <v>1003.75</v>
      </c>
      <c r="Q34" s="2"/>
      <c r="R34" s="22"/>
      <c r="S34" s="2"/>
      <c r="T34" s="2"/>
      <c r="U34" s="2"/>
      <c r="V34" s="22"/>
      <c r="W34" s="2"/>
      <c r="X34" s="2">
        <f t="shared" si="2"/>
        <v>1003.75</v>
      </c>
      <c r="Y34" s="2"/>
      <c r="Z34" s="22">
        <f t="shared" si="3"/>
        <v>0</v>
      </c>
    </row>
    <row r="35" spans="1:26" s="24" customFormat="1" hidden="1" outlineLevel="1" x14ac:dyDescent="0.25">
      <c r="A35" s="51"/>
      <c r="B35" s="11" t="str">
        <f>CONCATENATE("          ", "4143", " - ", "NON-TAXABLE SALES-CARDS")</f>
        <v xml:space="preserve">          4143 - NON-TAXABLE SALES-CARDS</v>
      </c>
      <c r="C35" s="11"/>
      <c r="D35" s="2">
        <f>0</f>
        <v>0</v>
      </c>
      <c r="E35" s="2"/>
      <c r="F35" s="22"/>
      <c r="G35" s="2"/>
      <c r="H35" s="2"/>
      <c r="I35" s="2"/>
      <c r="J35" s="22"/>
      <c r="K35" s="2"/>
      <c r="L35" s="2">
        <f t="shared" si="0"/>
        <v>0</v>
      </c>
      <c r="M35" s="2"/>
      <c r="N35" s="22">
        <f t="shared" si="1"/>
        <v>0</v>
      </c>
      <c r="O35" s="11"/>
      <c r="P35" s="2">
        <f>--19.98</f>
        <v>19.98</v>
      </c>
      <c r="Q35" s="2"/>
      <c r="R35" s="22"/>
      <c r="S35" s="2"/>
      <c r="T35" s="2"/>
      <c r="U35" s="2"/>
      <c r="V35" s="22"/>
      <c r="W35" s="2"/>
      <c r="X35" s="2">
        <f t="shared" si="2"/>
        <v>19.98</v>
      </c>
      <c r="Y35" s="2"/>
      <c r="Z35" s="22">
        <f t="shared" si="3"/>
        <v>0</v>
      </c>
    </row>
    <row r="36" spans="1:26" s="24" customFormat="1" hidden="1" outlineLevel="1" x14ac:dyDescent="0.25">
      <c r="A36" s="51"/>
      <c r="B36" s="11" t="str">
        <f>CONCATENATE("          ", "4144", " - ", "NON-TAXABLE SALES-ACCESSORIES")</f>
        <v xml:space="preserve">          4144 - NON-TAXABLE SALES-ACCESSORIES</v>
      </c>
      <c r="C36" s="11"/>
      <c r="D36" s="2">
        <f>--59.95</f>
        <v>59.95</v>
      </c>
      <c r="E36" s="2"/>
      <c r="F36" s="22"/>
      <c r="G36" s="2"/>
      <c r="H36" s="2"/>
      <c r="I36" s="2"/>
      <c r="J36" s="22"/>
      <c r="K36" s="2"/>
      <c r="L36" s="2">
        <f t="shared" si="0"/>
        <v>59.95</v>
      </c>
      <c r="M36" s="2"/>
      <c r="N36" s="22">
        <f t="shared" si="1"/>
        <v>0</v>
      </c>
      <c r="O36" s="11"/>
      <c r="P36" s="2">
        <f>--215.75</f>
        <v>215.75</v>
      </c>
      <c r="Q36" s="2"/>
      <c r="R36" s="22"/>
      <c r="S36" s="2"/>
      <c r="T36" s="2"/>
      <c r="U36" s="2"/>
      <c r="V36" s="22"/>
      <c r="W36" s="2"/>
      <c r="X36" s="2">
        <f t="shared" si="2"/>
        <v>215.75</v>
      </c>
      <c r="Y36" s="2"/>
      <c r="Z36" s="22">
        <f t="shared" si="3"/>
        <v>0</v>
      </c>
    </row>
    <row r="37" spans="1:26" s="24" customFormat="1" hidden="1" outlineLevel="1" x14ac:dyDescent="0.25">
      <c r="A37" s="51"/>
      <c r="B37" s="11" t="str">
        <f>CONCATENATE("          ", "4145", " - ", "NON-TAXABLE SALES-SPECIAL ORDE")</f>
        <v xml:space="preserve">          4145 - NON-TAXABLE SALES-SPECIAL ORDE</v>
      </c>
      <c r="C37" s="11"/>
      <c r="D37" s="2">
        <f t="shared" ref="D37:D38" si="5">0</f>
        <v>0</v>
      </c>
      <c r="E37" s="2"/>
      <c r="F37" s="22"/>
      <c r="G37" s="2"/>
      <c r="H37" s="2"/>
      <c r="I37" s="2"/>
      <c r="J37" s="22"/>
      <c r="K37" s="2"/>
      <c r="L37" s="2">
        <f t="shared" si="0"/>
        <v>0</v>
      </c>
      <c r="M37" s="2"/>
      <c r="N37" s="22">
        <f t="shared" si="1"/>
        <v>0</v>
      </c>
      <c r="O37" s="11"/>
      <c r="P37" s="2">
        <f>--35839</f>
        <v>35839</v>
      </c>
      <c r="Q37" s="2"/>
      <c r="R37" s="22"/>
      <c r="S37" s="2"/>
      <c r="T37" s="2"/>
      <c r="U37" s="2"/>
      <c r="V37" s="22"/>
      <c r="W37" s="2"/>
      <c r="X37" s="2">
        <f t="shared" si="2"/>
        <v>35839</v>
      </c>
      <c r="Y37" s="2"/>
      <c r="Z37" s="22">
        <f t="shared" si="3"/>
        <v>0</v>
      </c>
    </row>
    <row r="38" spans="1:26" s="24" customFormat="1" hidden="1" outlineLevel="1" x14ac:dyDescent="0.25">
      <c r="A38" s="51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 t="shared" si="5"/>
        <v>0</v>
      </c>
      <c r="E38" s="2"/>
      <c r="F38" s="22"/>
      <c r="G38" s="2"/>
      <c r="H38" s="2"/>
      <c r="I38" s="2"/>
      <c r="J38" s="22"/>
      <c r="K38" s="2"/>
      <c r="L38" s="2">
        <f t="shared" si="0"/>
        <v>0</v>
      </c>
      <c r="M38" s="2"/>
      <c r="N38" s="22">
        <f t="shared" si="1"/>
        <v>0</v>
      </c>
      <c r="O38" s="11"/>
      <c r="P38" s="2">
        <f>-6.38</f>
        <v>-6.38</v>
      </c>
      <c r="Q38" s="2"/>
      <c r="R38" s="22"/>
      <c r="S38" s="2"/>
      <c r="T38" s="2"/>
      <c r="U38" s="2"/>
      <c r="V38" s="22"/>
      <c r="W38" s="2"/>
      <c r="X38" s="2">
        <f t="shared" si="2"/>
        <v>-6.38</v>
      </c>
      <c r="Y38" s="2"/>
      <c r="Z38" s="22">
        <f t="shared" si="3"/>
        <v>0</v>
      </c>
    </row>
    <row r="39" spans="1:26" s="24" customFormat="1" hidden="1" outlineLevel="1" x14ac:dyDescent="0.25">
      <c r="A39" s="51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>-132.71</f>
        <v>-132.71</v>
      </c>
      <c r="E39" s="2"/>
      <c r="F39" s="22"/>
      <c r="G39" s="2"/>
      <c r="H39" s="2"/>
      <c r="I39" s="2"/>
      <c r="J39" s="22"/>
      <c r="K39" s="2"/>
      <c r="L39" s="2">
        <f t="shared" si="0"/>
        <v>-132.71</v>
      </c>
      <c r="M39" s="2"/>
      <c r="N39" s="22">
        <f t="shared" si="1"/>
        <v>0</v>
      </c>
      <c r="O39" s="11"/>
      <c r="P39" s="2">
        <f>-378.7</f>
        <v>-378.7</v>
      </c>
      <c r="Q39" s="2"/>
      <c r="R39" s="22"/>
      <c r="S39" s="2"/>
      <c r="T39" s="2"/>
      <c r="U39" s="2"/>
      <c r="V39" s="22"/>
      <c r="W39" s="2"/>
      <c r="X39" s="2">
        <f t="shared" si="2"/>
        <v>-378.7</v>
      </c>
      <c r="Y39" s="2"/>
      <c r="Z39" s="22">
        <f t="shared" si="3"/>
        <v>0</v>
      </c>
    </row>
    <row r="40" spans="1:26" s="24" customFormat="1" hidden="1" outlineLevel="1" x14ac:dyDescent="0.25">
      <c r="A40" s="51"/>
      <c r="B40" s="11" t="str">
        <f>CONCATENATE("          ", "4240", " - ", "SALES RETURN TAXABLE-LOGO CLOT")</f>
        <v xml:space="preserve">          4240 - SALES RETURN TAXABLE-LOGO CLOT</v>
      </c>
      <c r="C40" s="11"/>
      <c r="D40" s="2">
        <f>-2999.36</f>
        <v>-2999.36</v>
      </c>
      <c r="E40" s="2"/>
      <c r="F40" s="22"/>
      <c r="G40" s="2"/>
      <c r="H40" s="2"/>
      <c r="I40" s="2"/>
      <c r="J40" s="22"/>
      <c r="K40" s="2"/>
      <c r="L40" s="2">
        <f t="shared" si="0"/>
        <v>-2999.36</v>
      </c>
      <c r="M40" s="2"/>
      <c r="N40" s="22">
        <f t="shared" si="1"/>
        <v>0</v>
      </c>
      <c r="O40" s="11"/>
      <c r="P40" s="2">
        <f>-9706.08</f>
        <v>-9706.08</v>
      </c>
      <c r="Q40" s="2"/>
      <c r="R40" s="22"/>
      <c r="S40" s="2"/>
      <c r="T40" s="2"/>
      <c r="U40" s="2"/>
      <c r="V40" s="22"/>
      <c r="W40" s="2"/>
      <c r="X40" s="2">
        <f t="shared" si="2"/>
        <v>-9706.08</v>
      </c>
      <c r="Y40" s="2"/>
      <c r="Z40" s="22">
        <f t="shared" si="3"/>
        <v>0</v>
      </c>
    </row>
    <row r="41" spans="1:26" s="24" customFormat="1" hidden="1" outlineLevel="1" x14ac:dyDescent="0.25">
      <c r="A41" s="51"/>
      <c r="B41" s="11" t="str">
        <f>CONCATENATE("          ", "4241", " - ", "SALES RETURN TAXABLE-LOGO GIFT")</f>
        <v xml:space="preserve">          4241 - SALES RETURN TAXABLE-LOGO GIFT</v>
      </c>
      <c r="C41" s="11"/>
      <c r="D41" s="2">
        <f>-722.72</f>
        <v>-722.72</v>
      </c>
      <c r="E41" s="2"/>
      <c r="F41" s="22"/>
      <c r="G41" s="2"/>
      <c r="H41" s="2"/>
      <c r="I41" s="2"/>
      <c r="J41" s="22"/>
      <c r="K41" s="2"/>
      <c r="L41" s="2">
        <f t="shared" si="0"/>
        <v>-722.72</v>
      </c>
      <c r="M41" s="2"/>
      <c r="N41" s="22">
        <f t="shared" si="1"/>
        <v>0</v>
      </c>
      <c r="O41" s="11"/>
      <c r="P41" s="2">
        <f>-1466.76</f>
        <v>-1466.76</v>
      </c>
      <c r="Q41" s="2"/>
      <c r="R41" s="22"/>
      <c r="S41" s="2"/>
      <c r="T41" s="2"/>
      <c r="U41" s="2"/>
      <c r="V41" s="22"/>
      <c r="W41" s="2"/>
      <c r="X41" s="2">
        <f t="shared" si="2"/>
        <v>-1466.76</v>
      </c>
      <c r="Y41" s="2"/>
      <c r="Z41" s="22">
        <f t="shared" si="3"/>
        <v>0</v>
      </c>
    </row>
    <row r="42" spans="1:26" s="24" customFormat="1" hidden="1" outlineLevel="1" x14ac:dyDescent="0.25">
      <c r="A42" s="51"/>
      <c r="B42" s="11" t="str">
        <f>CONCATENATE("          ", "4242", " - ", "SALES RETURN TAXABLE-EVERYDAY")</f>
        <v xml:space="preserve">          4242 - SALES RETURN TAXABLE-EVERYDAY</v>
      </c>
      <c r="C42" s="11"/>
      <c r="D42" s="2">
        <f>-397.83</f>
        <v>-397.83</v>
      </c>
      <c r="E42" s="2"/>
      <c r="F42" s="22"/>
      <c r="G42" s="2"/>
      <c r="H42" s="2"/>
      <c r="I42" s="2"/>
      <c r="J42" s="22"/>
      <c r="K42" s="2"/>
      <c r="L42" s="2">
        <f t="shared" si="0"/>
        <v>-397.83</v>
      </c>
      <c r="M42" s="2"/>
      <c r="N42" s="22">
        <f t="shared" si="1"/>
        <v>0</v>
      </c>
      <c r="O42" s="11"/>
      <c r="P42" s="2">
        <f>-950.74</f>
        <v>-950.74</v>
      </c>
      <c r="Q42" s="2"/>
      <c r="R42" s="22"/>
      <c r="S42" s="2"/>
      <c r="T42" s="2"/>
      <c r="U42" s="2"/>
      <c r="V42" s="22"/>
      <c r="W42" s="2"/>
      <c r="X42" s="2">
        <f t="shared" si="2"/>
        <v>-950.74</v>
      </c>
      <c r="Y42" s="2"/>
      <c r="Z42" s="22">
        <f t="shared" si="3"/>
        <v>0</v>
      </c>
    </row>
    <row r="43" spans="1:26" s="24" customFormat="1" hidden="1" outlineLevel="1" x14ac:dyDescent="0.25">
      <c r="A43" s="51"/>
      <c r="B43" s="11" t="str">
        <f>CONCATENATE("          ", "4243", " - ", "SALES RETURN TAXABLE-CARDS")</f>
        <v xml:space="preserve">          4243 - SALES RETURN TAXABLE-CARDS</v>
      </c>
      <c r="C43" s="11"/>
      <c r="D43" s="2">
        <f>-59.94</f>
        <v>-59.94</v>
      </c>
      <c r="E43" s="2"/>
      <c r="F43" s="22"/>
      <c r="G43" s="2"/>
      <c r="H43" s="2"/>
      <c r="I43" s="2"/>
      <c r="J43" s="22"/>
      <c r="K43" s="2"/>
      <c r="L43" s="2">
        <f t="shared" si="0"/>
        <v>-59.94</v>
      </c>
      <c r="M43" s="2"/>
      <c r="N43" s="22">
        <f t="shared" si="1"/>
        <v>0</v>
      </c>
      <c r="O43" s="11"/>
      <c r="P43" s="2">
        <f>-153.37</f>
        <v>-153.37</v>
      </c>
      <c r="Q43" s="2"/>
      <c r="R43" s="22"/>
      <c r="S43" s="2"/>
      <c r="T43" s="2"/>
      <c r="U43" s="2"/>
      <c r="V43" s="22"/>
      <c r="W43" s="2"/>
      <c r="X43" s="2">
        <f t="shared" si="2"/>
        <v>-153.37</v>
      </c>
      <c r="Y43" s="2"/>
      <c r="Z43" s="22">
        <f t="shared" si="3"/>
        <v>0</v>
      </c>
    </row>
    <row r="44" spans="1:26" s="24" customFormat="1" hidden="1" outlineLevel="1" x14ac:dyDescent="0.25">
      <c r="A44" s="51"/>
      <c r="B44" s="11" t="str">
        <f>CONCATENATE("          ", "4244", " - ", "SALES RETURN TAXABLE-ACCESSORI")</f>
        <v xml:space="preserve">          4244 - SALES RETURN TAXABLE-ACCESSORI</v>
      </c>
      <c r="C44" s="11"/>
      <c r="D44" s="2">
        <f>-60</f>
        <v>-60</v>
      </c>
      <c r="E44" s="2"/>
      <c r="F44" s="22"/>
      <c r="G44" s="2"/>
      <c r="H44" s="2"/>
      <c r="I44" s="2"/>
      <c r="J44" s="22"/>
      <c r="K44" s="2"/>
      <c r="L44" s="2">
        <f t="shared" si="0"/>
        <v>-60</v>
      </c>
      <c r="M44" s="2"/>
      <c r="N44" s="22">
        <f t="shared" si="1"/>
        <v>0</v>
      </c>
      <c r="O44" s="11"/>
      <c r="P44" s="2">
        <f>-410.99</f>
        <v>-410.99</v>
      </c>
      <c r="Q44" s="2"/>
      <c r="R44" s="22"/>
      <c r="S44" s="2"/>
      <c r="T44" s="2"/>
      <c r="U44" s="2"/>
      <c r="V44" s="22"/>
      <c r="W44" s="2"/>
      <c r="X44" s="2">
        <f t="shared" si="2"/>
        <v>-410.99</v>
      </c>
      <c r="Y44" s="2"/>
      <c r="Z44" s="22">
        <f t="shared" si="3"/>
        <v>0</v>
      </c>
    </row>
    <row r="45" spans="1:26" s="24" customFormat="1" hidden="1" outlineLevel="1" x14ac:dyDescent="0.25">
      <c r="A45" s="51"/>
      <c r="B45" s="11" t="str">
        <f>CONCATENATE("          ", "4245", " - ", "SALES RETURN TAXABLE-SPECIAL O")</f>
        <v xml:space="preserve">          4245 - SALES RETURN TAXABLE-SPECIAL O</v>
      </c>
      <c r="C45" s="11"/>
      <c r="D45" s="2">
        <f>-3.99</f>
        <v>-3.99</v>
      </c>
      <c r="E45" s="2"/>
      <c r="F45" s="22"/>
      <c r="G45" s="2"/>
      <c r="H45" s="2"/>
      <c r="I45" s="2"/>
      <c r="J45" s="22"/>
      <c r="K45" s="2"/>
      <c r="L45" s="2">
        <f t="shared" si="0"/>
        <v>-3.99</v>
      </c>
      <c r="M45" s="2"/>
      <c r="N45" s="22">
        <f t="shared" si="1"/>
        <v>0</v>
      </c>
      <c r="O45" s="11"/>
      <c r="P45" s="2">
        <f>-1175.95</f>
        <v>-1175.95</v>
      </c>
      <c r="Q45" s="2"/>
      <c r="R45" s="22"/>
      <c r="S45" s="2"/>
      <c r="T45" s="2"/>
      <c r="U45" s="2"/>
      <c r="V45" s="22"/>
      <c r="W45" s="2"/>
      <c r="X45" s="2">
        <f t="shared" si="2"/>
        <v>-1175.95</v>
      </c>
      <c r="Y45" s="2"/>
      <c r="Z45" s="22">
        <f t="shared" si="3"/>
        <v>0</v>
      </c>
    </row>
    <row r="46" spans="1:26" s="24" customFormat="1" hidden="1" outlineLevel="1" x14ac:dyDescent="0.25">
      <c r="A46" s="51"/>
      <c r="B46" s="11" t="str">
        <f>CONCATENATE("          ", "4340", " - ", "SALES RETURN NON TAXABLE-LOGO")</f>
        <v xml:space="preserve">          4340 - SALES RETURN NON TAXABLE-LOGO</v>
      </c>
      <c r="C46" s="11"/>
      <c r="D46" s="2">
        <f>-36.9</f>
        <v>-36.9</v>
      </c>
      <c r="E46" s="2"/>
      <c r="F46" s="22"/>
      <c r="G46" s="2"/>
      <c r="H46" s="2"/>
      <c r="I46" s="2"/>
      <c r="J46" s="22"/>
      <c r="K46" s="2"/>
      <c r="L46" s="2">
        <f t="shared" si="0"/>
        <v>-36.9</v>
      </c>
      <c r="M46" s="2"/>
      <c r="N46" s="22">
        <f t="shared" si="1"/>
        <v>0</v>
      </c>
      <c r="O46" s="11"/>
      <c r="P46" s="2">
        <f>-541.04</f>
        <v>-541.04</v>
      </c>
      <c r="Q46" s="2"/>
      <c r="R46" s="22"/>
      <c r="S46" s="2"/>
      <c r="T46" s="2"/>
      <c r="U46" s="2"/>
      <c r="V46" s="22"/>
      <c r="W46" s="2"/>
      <c r="X46" s="2">
        <f t="shared" si="2"/>
        <v>-541.04</v>
      </c>
      <c r="Y46" s="2"/>
      <c r="Z46" s="22">
        <f t="shared" si="3"/>
        <v>0</v>
      </c>
    </row>
    <row r="47" spans="1:26" s="24" customFormat="1" hidden="1" outlineLevel="1" x14ac:dyDescent="0.25">
      <c r="A47" s="51"/>
      <c r="B47" s="11" t="str">
        <f>CONCATENATE("          ", "4341", " - ", "SALES RETURN NON TAXABLE-LOGO")</f>
        <v xml:space="preserve">          4341 - SALES RETURN NON TAXABLE-LOGO</v>
      </c>
      <c r="C47" s="11"/>
      <c r="D47" s="2">
        <f>-129.95</f>
        <v>-129.94999999999999</v>
      </c>
      <c r="E47" s="2"/>
      <c r="F47" s="22"/>
      <c r="G47" s="2"/>
      <c r="H47" s="2"/>
      <c r="I47" s="2"/>
      <c r="J47" s="22"/>
      <c r="K47" s="2"/>
      <c r="L47" s="2">
        <f t="shared" si="0"/>
        <v>-129.94999999999999</v>
      </c>
      <c r="M47" s="2"/>
      <c r="N47" s="22">
        <f t="shared" si="1"/>
        <v>0</v>
      </c>
      <c r="O47" s="11"/>
      <c r="P47" s="2">
        <f>-146.9</f>
        <v>-146.9</v>
      </c>
      <c r="Q47" s="2"/>
      <c r="R47" s="22"/>
      <c r="S47" s="2"/>
      <c r="T47" s="2"/>
      <c r="U47" s="2"/>
      <c r="V47" s="22"/>
      <c r="W47" s="2"/>
      <c r="X47" s="2">
        <f t="shared" si="2"/>
        <v>-146.9</v>
      </c>
      <c r="Y47" s="2"/>
      <c r="Z47" s="22">
        <f t="shared" si="3"/>
        <v>0</v>
      </c>
    </row>
    <row r="48" spans="1:26" s="24" customFormat="1" hidden="1" outlineLevel="1" x14ac:dyDescent="0.25">
      <c r="A48" s="51"/>
      <c r="B48" s="11" t="str">
        <f>CONCATENATE("          ", "4342", " - ", "SALES RETURN NON TAXABLE-EVERY")</f>
        <v xml:space="preserve">          4342 - SALES RETURN NON TAXABLE-EVERY</v>
      </c>
      <c r="C48" s="11"/>
      <c r="D48" s="2">
        <f>-24.95</f>
        <v>-24.95</v>
      </c>
      <c r="E48" s="2"/>
      <c r="F48" s="22"/>
      <c r="G48" s="2"/>
      <c r="H48" s="2"/>
      <c r="I48" s="2"/>
      <c r="J48" s="22"/>
      <c r="K48" s="2"/>
      <c r="L48" s="2">
        <f t="shared" si="0"/>
        <v>-24.95</v>
      </c>
      <c r="M48" s="2"/>
      <c r="N48" s="22">
        <f t="shared" si="1"/>
        <v>0</v>
      </c>
      <c r="O48" s="11"/>
      <c r="P48" s="2">
        <f>-118.7</f>
        <v>-118.7</v>
      </c>
      <c r="Q48" s="2"/>
      <c r="R48" s="22"/>
      <c r="S48" s="2"/>
      <c r="T48" s="2"/>
      <c r="U48" s="2"/>
      <c r="V48" s="22"/>
      <c r="W48" s="2"/>
      <c r="X48" s="2">
        <f t="shared" si="2"/>
        <v>-118.7</v>
      </c>
      <c r="Y48" s="2"/>
      <c r="Z48" s="22">
        <f t="shared" si="3"/>
        <v>0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collapsed="1" x14ac:dyDescent="0.25">
      <c r="A50" s="10"/>
      <c r="B50" s="25" t="s">
        <v>8</v>
      </c>
      <c r="C50" s="10"/>
      <c r="D50" s="4">
        <f>SUM(OSRRefD16x_0)</f>
        <v>59318.60000000002</v>
      </c>
      <c r="E50" s="4"/>
      <c r="F50" s="12">
        <f t="shared" ref="F50:F66" si="6">IF(D$12=0,0,D50/D$12)</f>
        <v>0.63238521996000718</v>
      </c>
      <c r="G50" s="4"/>
      <c r="H50" s="4">
        <f>SUM(OSRRefH16x_0)</f>
        <v>143859</v>
      </c>
      <c r="I50" s="4"/>
      <c r="J50" s="12">
        <f t="shared" ref="J50:J66" si="7">IF(H$12=0,0,H50/H$12)</f>
        <v>0.46250072336567583</v>
      </c>
      <c r="K50" s="4"/>
      <c r="L50" s="4">
        <f t="shared" ref="L50:L66" si="8">+D50-H50</f>
        <v>-84540.39999999998</v>
      </c>
      <c r="M50" s="4"/>
      <c r="N50" s="12">
        <f t="shared" ref="N50:N66" si="9">IF(H50=0,0,L50/H50)</f>
        <v>-0.58766152969226804</v>
      </c>
      <c r="O50" s="10"/>
      <c r="P50" s="4">
        <f>SUM(OSRRefP16x_0)</f>
        <v>331274.54000000004</v>
      </c>
      <c r="Q50" s="4"/>
      <c r="R50" s="12">
        <f t="shared" ref="R50:R66" si="10">IF(P$12=0,0,P50/P$12)</f>
        <v>0.6250894212627196</v>
      </c>
      <c r="S50" s="4"/>
      <c r="T50" s="4">
        <f>SUM(OSRRefT16x_0)</f>
        <v>370627</v>
      </c>
      <c r="U50" s="4"/>
      <c r="V50" s="12">
        <f t="shared" ref="V50:V66" si="11">IF(T$12=0,0,T50/T$12)</f>
        <v>0.46250096711316097</v>
      </c>
      <c r="W50" s="4"/>
      <c r="X50" s="4">
        <f t="shared" ref="X50:X66" si="12">+P50-T50</f>
        <v>-39352.459999999963</v>
      </c>
      <c r="Y50" s="4"/>
      <c r="Z50" s="12">
        <f t="shared" ref="Z50:Z66" si="13">IF(T50=0,0,X50/T50)</f>
        <v>-0.1061780712144554</v>
      </c>
    </row>
    <row r="51" spans="1:26" s="24" customFormat="1" hidden="1" outlineLevel="1" x14ac:dyDescent="0.25">
      <c r="A51" s="51"/>
      <c r="B51" s="11" t="str">
        <f>CONCATENATE("          ", "5000", " - ", "PURCHASES @ COST")</f>
        <v xml:space="preserve">          5000 - PURCHASES @ COST</v>
      </c>
      <c r="C51" s="11"/>
      <c r="D51" s="2"/>
      <c r="E51" s="2"/>
      <c r="F51" s="22">
        <f t="shared" si="6"/>
        <v>0</v>
      </c>
      <c r="G51" s="2"/>
      <c r="H51" s="2">
        <v>143859</v>
      </c>
      <c r="I51" s="2"/>
      <c r="J51" s="22">
        <f t="shared" si="7"/>
        <v>0.46250072336567583</v>
      </c>
      <c r="K51" s="2"/>
      <c r="L51" s="2">
        <f t="shared" si="8"/>
        <v>-143859</v>
      </c>
      <c r="M51" s="2"/>
      <c r="N51" s="22">
        <f t="shared" si="9"/>
        <v>-1</v>
      </c>
      <c r="O51" s="11"/>
      <c r="P51" s="2"/>
      <c r="Q51" s="2"/>
      <c r="R51" s="22">
        <f t="shared" si="10"/>
        <v>0</v>
      </c>
      <c r="S51" s="2"/>
      <c r="T51" s="2">
        <v>370627</v>
      </c>
      <c r="U51" s="2"/>
      <c r="V51" s="22">
        <f t="shared" si="11"/>
        <v>0.46250096711316097</v>
      </c>
      <c r="W51" s="2"/>
      <c r="X51" s="2">
        <f t="shared" si="12"/>
        <v>-370627</v>
      </c>
      <c r="Y51" s="2"/>
      <c r="Z51" s="22">
        <f t="shared" si="13"/>
        <v>-1</v>
      </c>
    </row>
    <row r="52" spans="1:26" s="24" customFormat="1" hidden="1" outlineLevel="1" x14ac:dyDescent="0.25">
      <c r="A52" s="51"/>
      <c r="B52" s="11" t="str">
        <f>CONCATENATE("          ", "5027", " - ", "PURCHASES @ COST-SCHOOL SUPPLI")</f>
        <v xml:space="preserve">          5027 - PURCHASES @ COST-SCHOOL SUPPLI</v>
      </c>
      <c r="C52" s="11"/>
      <c r="D52" s="2"/>
      <c r="E52" s="2"/>
      <c r="F52" s="22">
        <f t="shared" si="6"/>
        <v>0</v>
      </c>
      <c r="G52" s="2"/>
      <c r="H52" s="2"/>
      <c r="I52" s="2"/>
      <c r="J52" s="22">
        <f t="shared" si="7"/>
        <v>0</v>
      </c>
      <c r="K52" s="2"/>
      <c r="L52" s="2">
        <f t="shared" si="8"/>
        <v>0</v>
      </c>
      <c r="M52" s="2"/>
      <c r="N52" s="22">
        <f t="shared" si="9"/>
        <v>0</v>
      </c>
      <c r="O52" s="11"/>
      <c r="P52" s="2">
        <v>8503.4</v>
      </c>
      <c r="Q52" s="2"/>
      <c r="R52" s="22">
        <f t="shared" si="10"/>
        <v>1.6045257763441189E-2</v>
      </c>
      <c r="S52" s="2"/>
      <c r="T52" s="2"/>
      <c r="U52" s="2"/>
      <c r="V52" s="22">
        <f t="shared" si="11"/>
        <v>0</v>
      </c>
      <c r="W52" s="2"/>
      <c r="X52" s="2">
        <f t="shared" si="12"/>
        <v>8503.4</v>
      </c>
      <c r="Y52" s="2"/>
      <c r="Z52" s="22">
        <f t="shared" si="13"/>
        <v>0</v>
      </c>
    </row>
    <row r="53" spans="1:26" s="24" customFormat="1" hidden="1" outlineLevel="1" x14ac:dyDescent="0.25">
      <c r="A53" s="51"/>
      <c r="B53" s="11" t="str">
        <f>CONCATENATE("          ", "5028", " - ", "PURCHASES @ COST-ART/TECH")</f>
        <v xml:space="preserve">          5028 - PURCHASES @ COST-ART/TECH</v>
      </c>
      <c r="C53" s="11"/>
      <c r="D53" s="2">
        <v>-83.4</v>
      </c>
      <c r="E53" s="2"/>
      <c r="F53" s="22">
        <f t="shared" si="6"/>
        <v>-8.8911281359749857E-4</v>
      </c>
      <c r="G53" s="2"/>
      <c r="H53" s="2"/>
      <c r="I53" s="2"/>
      <c r="J53" s="22">
        <f t="shared" si="7"/>
        <v>0</v>
      </c>
      <c r="K53" s="2"/>
      <c r="L53" s="2">
        <f t="shared" si="8"/>
        <v>-83.4</v>
      </c>
      <c r="M53" s="2"/>
      <c r="N53" s="22">
        <f t="shared" si="9"/>
        <v>0</v>
      </c>
      <c r="O53" s="11"/>
      <c r="P53" s="2">
        <v>-83.4</v>
      </c>
      <c r="Q53" s="2"/>
      <c r="R53" s="22">
        <f t="shared" si="10"/>
        <v>-1.5736934608168442E-4</v>
      </c>
      <c r="S53" s="2"/>
      <c r="T53" s="2"/>
      <c r="U53" s="2"/>
      <c r="V53" s="22">
        <f t="shared" si="11"/>
        <v>0</v>
      </c>
      <c r="W53" s="2"/>
      <c r="X53" s="2">
        <f t="shared" si="12"/>
        <v>-83.4</v>
      </c>
      <c r="Y53" s="2"/>
      <c r="Z53" s="22">
        <f t="shared" si="13"/>
        <v>0</v>
      </c>
    </row>
    <row r="54" spans="1:26" s="24" customFormat="1" hidden="1" outlineLevel="1" x14ac:dyDescent="0.25">
      <c r="A54" s="51"/>
      <c r="B54" s="11" t="str">
        <f>CONCATENATE("          ", "5031", " - ", "PURCHASES @ COST-FOOD")</f>
        <v xml:space="preserve">          5031 - PURCHASES @ COST-FOOD</v>
      </c>
      <c r="C54" s="11"/>
      <c r="D54" s="2">
        <v>1183.51</v>
      </c>
      <c r="E54" s="2"/>
      <c r="F54" s="22">
        <f t="shared" si="6"/>
        <v>1.2617193117755101E-2</v>
      </c>
      <c r="G54" s="2"/>
      <c r="H54" s="2"/>
      <c r="I54" s="2"/>
      <c r="J54" s="22">
        <f t="shared" si="7"/>
        <v>0</v>
      </c>
      <c r="K54" s="2"/>
      <c r="L54" s="2">
        <f t="shared" si="8"/>
        <v>1183.51</v>
      </c>
      <c r="M54" s="2"/>
      <c r="N54" s="22">
        <f t="shared" si="9"/>
        <v>0</v>
      </c>
      <c r="O54" s="11"/>
      <c r="P54" s="2">
        <v>1183.51</v>
      </c>
      <c r="Q54" s="2"/>
      <c r="R54" s="22">
        <f t="shared" si="10"/>
        <v>2.2331917839464544E-3</v>
      </c>
      <c r="S54" s="2"/>
      <c r="T54" s="2"/>
      <c r="U54" s="2"/>
      <c r="V54" s="22">
        <f t="shared" si="11"/>
        <v>0</v>
      </c>
      <c r="W54" s="2"/>
      <c r="X54" s="2">
        <f t="shared" si="12"/>
        <v>1183.51</v>
      </c>
      <c r="Y54" s="2"/>
      <c r="Z54" s="22">
        <f t="shared" si="13"/>
        <v>0</v>
      </c>
    </row>
    <row r="55" spans="1:26" s="24" customFormat="1" hidden="1" outlineLevel="1" x14ac:dyDescent="0.25">
      <c r="A55" s="51"/>
      <c r="B55" s="11" t="str">
        <f>CONCATENATE("          ", "5040", " - ", "PURCHASES @ COST-LOGO CLOTHING")</f>
        <v xml:space="preserve">          5040 - PURCHASES @ COST-LOGO CLOTHING</v>
      </c>
      <c r="C55" s="11"/>
      <c r="D55" s="2">
        <v>4398.1499999999996</v>
      </c>
      <c r="E55" s="2"/>
      <c r="F55" s="22">
        <f t="shared" si="6"/>
        <v>4.688790792714434E-2</v>
      </c>
      <c r="G55" s="2"/>
      <c r="H55" s="2"/>
      <c r="I55" s="2"/>
      <c r="J55" s="22">
        <f t="shared" si="7"/>
        <v>0</v>
      </c>
      <c r="K55" s="2"/>
      <c r="L55" s="2">
        <f t="shared" si="8"/>
        <v>4398.1499999999996</v>
      </c>
      <c r="M55" s="2"/>
      <c r="N55" s="22">
        <f t="shared" si="9"/>
        <v>0</v>
      </c>
      <c r="O55" s="11"/>
      <c r="P55" s="2">
        <v>13750.05</v>
      </c>
      <c r="Q55" s="2"/>
      <c r="R55" s="22">
        <f t="shared" si="10"/>
        <v>2.5945280300844899E-2</v>
      </c>
      <c r="S55" s="2"/>
      <c r="T55" s="2"/>
      <c r="U55" s="2"/>
      <c r="V55" s="22">
        <f t="shared" si="11"/>
        <v>0</v>
      </c>
      <c r="W55" s="2"/>
      <c r="X55" s="2">
        <f t="shared" si="12"/>
        <v>13750.05</v>
      </c>
      <c r="Y55" s="2"/>
      <c r="Z55" s="22">
        <f t="shared" si="13"/>
        <v>0</v>
      </c>
    </row>
    <row r="56" spans="1:26" s="24" customFormat="1" hidden="1" outlineLevel="1" x14ac:dyDescent="0.25">
      <c r="A56" s="51"/>
      <c r="B56" s="11" t="str">
        <f>CONCATENATE("          ", "5041", " - ", "PURCHASES @ COST-LOGO GIFTS")</f>
        <v xml:space="preserve">          5041 - PURCHASES @ COST-LOGO GIFTS</v>
      </c>
      <c r="C56" s="11"/>
      <c r="D56" s="2">
        <v>868</v>
      </c>
      <c r="E56" s="2"/>
      <c r="F56" s="22">
        <f t="shared" si="6"/>
        <v>9.2535961894799606E-3</v>
      </c>
      <c r="G56" s="2"/>
      <c r="H56" s="2"/>
      <c r="I56" s="2"/>
      <c r="J56" s="22">
        <f t="shared" si="7"/>
        <v>0</v>
      </c>
      <c r="K56" s="2"/>
      <c r="L56" s="2">
        <f t="shared" si="8"/>
        <v>868</v>
      </c>
      <c r="M56" s="2"/>
      <c r="N56" s="22">
        <f t="shared" si="9"/>
        <v>0</v>
      </c>
      <c r="O56" s="11"/>
      <c r="P56" s="2">
        <v>1997.54</v>
      </c>
      <c r="Q56" s="2"/>
      <c r="R56" s="22">
        <f t="shared" si="10"/>
        <v>3.7692034001439792E-3</v>
      </c>
      <c r="S56" s="2"/>
      <c r="T56" s="2"/>
      <c r="U56" s="2"/>
      <c r="V56" s="22">
        <f t="shared" si="11"/>
        <v>0</v>
      </c>
      <c r="W56" s="2"/>
      <c r="X56" s="2">
        <f t="shared" si="12"/>
        <v>1997.54</v>
      </c>
      <c r="Y56" s="2"/>
      <c r="Z56" s="22">
        <f t="shared" si="13"/>
        <v>0</v>
      </c>
    </row>
    <row r="57" spans="1:26" s="24" customFormat="1" hidden="1" outlineLevel="1" x14ac:dyDescent="0.25">
      <c r="A57" s="51"/>
      <c r="B57" s="11" t="str">
        <f>CONCATENATE("          ", "5042", " - ", "PURCHASES @ COST-EVERYDAY GIFT")</f>
        <v xml:space="preserve">          5042 - PURCHASES @ COST-EVERYDAY GIFT</v>
      </c>
      <c r="C57" s="11"/>
      <c r="D57" s="2">
        <v>522</v>
      </c>
      <c r="E57" s="2"/>
      <c r="F57" s="22">
        <f t="shared" si="6"/>
        <v>5.5649507038116816E-3</v>
      </c>
      <c r="G57" s="2"/>
      <c r="H57" s="2"/>
      <c r="I57" s="2"/>
      <c r="J57" s="22">
        <f t="shared" si="7"/>
        <v>0</v>
      </c>
      <c r="K57" s="2"/>
      <c r="L57" s="2">
        <f t="shared" si="8"/>
        <v>522</v>
      </c>
      <c r="M57" s="2"/>
      <c r="N57" s="22">
        <f t="shared" si="9"/>
        <v>0</v>
      </c>
      <c r="O57" s="11"/>
      <c r="P57" s="2">
        <v>1491.15</v>
      </c>
      <c r="Q57" s="2"/>
      <c r="R57" s="22">
        <f t="shared" si="10"/>
        <v>2.8136846571906919E-3</v>
      </c>
      <c r="S57" s="2"/>
      <c r="T57" s="2"/>
      <c r="U57" s="2"/>
      <c r="V57" s="22">
        <f t="shared" si="11"/>
        <v>0</v>
      </c>
      <c r="W57" s="2"/>
      <c r="X57" s="2">
        <f t="shared" si="12"/>
        <v>1491.15</v>
      </c>
      <c r="Y57" s="2"/>
      <c r="Z57" s="22">
        <f t="shared" si="13"/>
        <v>0</v>
      </c>
    </row>
    <row r="58" spans="1:26" s="24" customFormat="1" hidden="1" outlineLevel="1" x14ac:dyDescent="0.25">
      <c r="A58" s="51"/>
      <c r="B58" s="11" t="str">
        <f>CONCATENATE("          ", "5043", " - ", "PURCHASES @ COST-CARDS")</f>
        <v xml:space="preserve">          5043 - PURCHASES @ COST-CARDS</v>
      </c>
      <c r="C58" s="11"/>
      <c r="D58" s="2">
        <v>1401</v>
      </c>
      <c r="E58" s="2"/>
      <c r="F58" s="22">
        <f t="shared" si="6"/>
        <v>1.4935815969425606E-2</v>
      </c>
      <c r="G58" s="2"/>
      <c r="H58" s="2"/>
      <c r="I58" s="2"/>
      <c r="J58" s="22">
        <f t="shared" si="7"/>
        <v>0</v>
      </c>
      <c r="K58" s="2"/>
      <c r="L58" s="2">
        <f t="shared" si="8"/>
        <v>1401</v>
      </c>
      <c r="M58" s="2"/>
      <c r="N58" s="22">
        <f t="shared" si="9"/>
        <v>0</v>
      </c>
      <c r="O58" s="11"/>
      <c r="P58" s="2">
        <v>3116.25</v>
      </c>
      <c r="Q58" s="2"/>
      <c r="R58" s="22">
        <f t="shared" si="10"/>
        <v>5.8801225986456719E-3</v>
      </c>
      <c r="S58" s="2"/>
      <c r="T58" s="2"/>
      <c r="U58" s="2"/>
      <c r="V58" s="22">
        <f t="shared" si="11"/>
        <v>0</v>
      </c>
      <c r="W58" s="2"/>
      <c r="X58" s="2">
        <f t="shared" si="12"/>
        <v>3116.25</v>
      </c>
      <c r="Y58" s="2"/>
      <c r="Z58" s="22">
        <f t="shared" si="13"/>
        <v>0</v>
      </c>
    </row>
    <row r="59" spans="1:26" s="24" customFormat="1" hidden="1" outlineLevel="1" x14ac:dyDescent="0.25">
      <c r="A59" s="51"/>
      <c r="B59" s="11" t="str">
        <f>CONCATENATE("          ", "5045", " - ", "PURCHASES @ COST-SPECIAL ORDER")</f>
        <v xml:space="preserve">          5045 - PURCHASES @ COST-SPECIAL ORDER</v>
      </c>
      <c r="C59" s="11"/>
      <c r="D59" s="2">
        <v>52784.12</v>
      </c>
      <c r="E59" s="2"/>
      <c r="F59" s="22">
        <f t="shared" si="6"/>
        <v>0.56272227154038368</v>
      </c>
      <c r="G59" s="2"/>
      <c r="H59" s="2"/>
      <c r="I59" s="2"/>
      <c r="J59" s="22">
        <f t="shared" si="7"/>
        <v>0</v>
      </c>
      <c r="K59" s="2"/>
      <c r="L59" s="2">
        <f t="shared" si="8"/>
        <v>52784.12</v>
      </c>
      <c r="M59" s="2"/>
      <c r="N59" s="22">
        <f t="shared" si="9"/>
        <v>0</v>
      </c>
      <c r="O59" s="11"/>
      <c r="P59" s="2">
        <v>61174.290000000008</v>
      </c>
      <c r="Q59" s="2"/>
      <c r="R59" s="22">
        <f t="shared" si="10"/>
        <v>0.11543115125073533</v>
      </c>
      <c r="S59" s="2"/>
      <c r="T59" s="2"/>
      <c r="U59" s="2"/>
      <c r="V59" s="22">
        <f t="shared" si="11"/>
        <v>0</v>
      </c>
      <c r="W59" s="2"/>
      <c r="X59" s="2">
        <f t="shared" si="12"/>
        <v>61174.290000000008</v>
      </c>
      <c r="Y59" s="2"/>
      <c r="Z59" s="22">
        <f t="shared" si="13"/>
        <v>0</v>
      </c>
    </row>
    <row r="60" spans="1:26" s="24" customFormat="1" hidden="1" outlineLevel="1" x14ac:dyDescent="0.25">
      <c r="A60" s="51"/>
      <c r="B60" s="11" t="str">
        <f>CONCATENATE("          ", "5200", " - ", "PURCHASES OFFSET")</f>
        <v xml:space="preserve">          5200 - PURCHASES OFFSET</v>
      </c>
      <c r="C60" s="11"/>
      <c r="D60" s="2">
        <v>-61907.239999999991</v>
      </c>
      <c r="E60" s="2"/>
      <c r="F60" s="22">
        <f t="shared" si="6"/>
        <v>-0.65998225825486323</v>
      </c>
      <c r="G60" s="2"/>
      <c r="H60" s="2"/>
      <c r="I60" s="2"/>
      <c r="J60" s="22">
        <f t="shared" si="7"/>
        <v>0</v>
      </c>
      <c r="K60" s="2"/>
      <c r="L60" s="2">
        <f t="shared" si="8"/>
        <v>-61907.239999999991</v>
      </c>
      <c r="M60" s="2"/>
      <c r="N60" s="22">
        <f t="shared" si="9"/>
        <v>0</v>
      </c>
      <c r="O60" s="11"/>
      <c r="P60" s="2">
        <v>-93556.88</v>
      </c>
      <c r="Q60" s="2"/>
      <c r="R60" s="22">
        <f t="shared" si="10"/>
        <v>-0.17653459265039112</v>
      </c>
      <c r="S60" s="2"/>
      <c r="T60" s="2"/>
      <c r="U60" s="2"/>
      <c r="V60" s="22">
        <f t="shared" si="11"/>
        <v>0</v>
      </c>
      <c r="W60" s="2"/>
      <c r="X60" s="2">
        <f t="shared" si="12"/>
        <v>-93556.88</v>
      </c>
      <c r="Y60" s="2"/>
      <c r="Z60" s="22">
        <f t="shared" si="13"/>
        <v>0</v>
      </c>
    </row>
    <row r="61" spans="1:26" s="24" customFormat="1" hidden="1" outlineLevel="1" x14ac:dyDescent="0.25">
      <c r="A61" s="51"/>
      <c r="B61" s="11" t="str">
        <f>CONCATENATE("          ", "5300", " - ", "COG$ OFFSET")</f>
        <v xml:space="preserve">          5300 - COG$ OFFSET</v>
      </c>
      <c r="C61" s="11"/>
      <c r="D61" s="2">
        <v>59402</v>
      </c>
      <c r="E61" s="2"/>
      <c r="F61" s="22">
        <f t="shared" si="6"/>
        <v>0.63327433277360445</v>
      </c>
      <c r="G61" s="2"/>
      <c r="H61" s="2"/>
      <c r="I61" s="2"/>
      <c r="J61" s="22">
        <f t="shared" si="7"/>
        <v>0</v>
      </c>
      <c r="K61" s="2"/>
      <c r="L61" s="2">
        <f t="shared" si="8"/>
        <v>59402</v>
      </c>
      <c r="M61" s="2"/>
      <c r="N61" s="22">
        <f t="shared" si="9"/>
        <v>0</v>
      </c>
      <c r="O61" s="11"/>
      <c r="P61" s="2">
        <v>330358</v>
      </c>
      <c r="Q61" s="2"/>
      <c r="R61" s="22">
        <f t="shared" si="10"/>
        <v>0.62335998120926972</v>
      </c>
      <c r="S61" s="2"/>
      <c r="T61" s="2"/>
      <c r="U61" s="2"/>
      <c r="V61" s="22">
        <f t="shared" si="11"/>
        <v>0</v>
      </c>
      <c r="W61" s="2"/>
      <c r="X61" s="2">
        <f t="shared" si="12"/>
        <v>330358</v>
      </c>
      <c r="Y61" s="2"/>
      <c r="Z61" s="22">
        <f t="shared" si="13"/>
        <v>0</v>
      </c>
    </row>
    <row r="62" spans="1:26" s="24" customFormat="1" hidden="1" outlineLevel="1" x14ac:dyDescent="0.25">
      <c r="A62" s="51"/>
      <c r="B62" s="11" t="str">
        <f>CONCATENATE("          ", "5540", " - ", "FREIGHT-IN-LOGO CLOTHING")</f>
        <v xml:space="preserve">          5540 - FREIGHT-IN-LOGO CLOTHING</v>
      </c>
      <c r="C62" s="11"/>
      <c r="D62" s="2">
        <v>234.23</v>
      </c>
      <c r="E62" s="2"/>
      <c r="F62" s="22">
        <f t="shared" si="6"/>
        <v>2.4970850638961878E-3</v>
      </c>
      <c r="G62" s="2"/>
      <c r="H62" s="2"/>
      <c r="I62" s="2"/>
      <c r="J62" s="22">
        <f t="shared" si="7"/>
        <v>0</v>
      </c>
      <c r="K62" s="2"/>
      <c r="L62" s="2">
        <f t="shared" si="8"/>
        <v>234.23</v>
      </c>
      <c r="M62" s="2"/>
      <c r="N62" s="22">
        <f t="shared" si="9"/>
        <v>0</v>
      </c>
      <c r="O62" s="11"/>
      <c r="P62" s="2">
        <v>2165.7600000000002</v>
      </c>
      <c r="Q62" s="2"/>
      <c r="R62" s="22">
        <f t="shared" si="10"/>
        <v>4.08662152242049E-3</v>
      </c>
      <c r="S62" s="2"/>
      <c r="T62" s="2"/>
      <c r="U62" s="2"/>
      <c r="V62" s="22">
        <f t="shared" si="11"/>
        <v>0</v>
      </c>
      <c r="W62" s="2"/>
      <c r="X62" s="2">
        <f t="shared" si="12"/>
        <v>2165.7600000000002</v>
      </c>
      <c r="Y62" s="2"/>
      <c r="Z62" s="22">
        <f t="shared" si="13"/>
        <v>0</v>
      </c>
    </row>
    <row r="63" spans="1:26" s="24" customFormat="1" hidden="1" outlineLevel="1" x14ac:dyDescent="0.25">
      <c r="A63" s="51"/>
      <c r="B63" s="11" t="str">
        <f>CONCATENATE("          ", "5541", " - ", "FREIGHT-IN-LOGO GIFTS")</f>
        <v xml:space="preserve">          5541 - FREIGHT-IN-LOGO GIFTS</v>
      </c>
      <c r="C63" s="11"/>
      <c r="D63" s="2">
        <v>154.41</v>
      </c>
      <c r="E63" s="2"/>
      <c r="F63" s="22">
        <f t="shared" si="6"/>
        <v>1.6461380041677427E-3</v>
      </c>
      <c r="G63" s="2"/>
      <c r="H63" s="2"/>
      <c r="I63" s="2"/>
      <c r="J63" s="22">
        <f t="shared" si="7"/>
        <v>0</v>
      </c>
      <c r="K63" s="2"/>
      <c r="L63" s="2">
        <f t="shared" si="8"/>
        <v>154.41</v>
      </c>
      <c r="M63" s="2"/>
      <c r="N63" s="22">
        <f t="shared" si="9"/>
        <v>0</v>
      </c>
      <c r="O63" s="11"/>
      <c r="P63" s="2">
        <v>361.11</v>
      </c>
      <c r="Q63" s="2"/>
      <c r="R63" s="22">
        <f t="shared" si="10"/>
        <v>6.8138662546231483E-4</v>
      </c>
      <c r="S63" s="2"/>
      <c r="T63" s="2"/>
      <c r="U63" s="2"/>
      <c r="V63" s="22">
        <f t="shared" si="11"/>
        <v>0</v>
      </c>
      <c r="W63" s="2"/>
      <c r="X63" s="2">
        <f t="shared" si="12"/>
        <v>361.11</v>
      </c>
      <c r="Y63" s="2"/>
      <c r="Z63" s="22">
        <f t="shared" si="13"/>
        <v>0</v>
      </c>
    </row>
    <row r="64" spans="1:26" s="24" customFormat="1" hidden="1" outlineLevel="1" x14ac:dyDescent="0.25">
      <c r="A64" s="51"/>
      <c r="B64" s="11" t="str">
        <f>CONCATENATE("          ", "5542", " - ", "FREIGHT-IN-EVERYDAY GIFTS")</f>
        <v xml:space="preserve">          5542 - FREIGHT-IN-EVERYDAY GIFTS</v>
      </c>
      <c r="C64" s="11"/>
      <c r="D64" s="2">
        <v>65.44</v>
      </c>
      <c r="E64" s="2"/>
      <c r="F64" s="22">
        <f t="shared" si="6"/>
        <v>6.9764439474604681E-4</v>
      </c>
      <c r="G64" s="2"/>
      <c r="H64" s="2"/>
      <c r="I64" s="2"/>
      <c r="J64" s="22">
        <f t="shared" si="7"/>
        <v>0</v>
      </c>
      <c r="K64" s="2"/>
      <c r="L64" s="2">
        <f t="shared" si="8"/>
        <v>65.44</v>
      </c>
      <c r="M64" s="2"/>
      <c r="N64" s="22">
        <f t="shared" si="9"/>
        <v>0</v>
      </c>
      <c r="O64" s="11"/>
      <c r="P64" s="2">
        <v>71.38</v>
      </c>
      <c r="Q64" s="2"/>
      <c r="R64" s="22">
        <f t="shared" si="10"/>
        <v>1.3468853625072701E-4</v>
      </c>
      <c r="S64" s="2"/>
      <c r="T64" s="2"/>
      <c r="U64" s="2"/>
      <c r="V64" s="22">
        <f t="shared" si="11"/>
        <v>0</v>
      </c>
      <c r="W64" s="2"/>
      <c r="X64" s="2">
        <f t="shared" si="12"/>
        <v>71.38</v>
      </c>
      <c r="Y64" s="2"/>
      <c r="Z64" s="22">
        <f t="shared" si="13"/>
        <v>0</v>
      </c>
    </row>
    <row r="65" spans="1:26" s="24" customFormat="1" hidden="1" outlineLevel="1" x14ac:dyDescent="0.25">
      <c r="A65" s="51"/>
      <c r="B65" s="11" t="str">
        <f>CONCATENATE("          ", "5543", " - ", "FREIGHT-IN-CARDS")</f>
        <v xml:space="preserve">          5543 - FREIGHT-IN-CARDS</v>
      </c>
      <c r="C65" s="11"/>
      <c r="D65" s="2">
        <v>81.77</v>
      </c>
      <c r="E65" s="2"/>
      <c r="F65" s="22">
        <f t="shared" si="6"/>
        <v>8.7173566867946586E-4</v>
      </c>
      <c r="G65" s="2"/>
      <c r="H65" s="2"/>
      <c r="I65" s="2"/>
      <c r="J65" s="22">
        <f t="shared" si="7"/>
        <v>0</v>
      </c>
      <c r="K65" s="2"/>
      <c r="L65" s="2">
        <f t="shared" si="8"/>
        <v>81.77</v>
      </c>
      <c r="M65" s="2"/>
      <c r="N65" s="22">
        <f t="shared" si="9"/>
        <v>0</v>
      </c>
      <c r="O65" s="11"/>
      <c r="P65" s="2">
        <v>81.77</v>
      </c>
      <c r="Q65" s="2"/>
      <c r="R65" s="22">
        <f t="shared" si="10"/>
        <v>1.5429366221941646E-4</v>
      </c>
      <c r="S65" s="2"/>
      <c r="T65" s="2"/>
      <c r="U65" s="2"/>
      <c r="V65" s="22">
        <f t="shared" si="11"/>
        <v>0</v>
      </c>
      <c r="W65" s="2"/>
      <c r="X65" s="2">
        <f t="shared" si="12"/>
        <v>81.77</v>
      </c>
      <c r="Y65" s="2"/>
      <c r="Z65" s="22">
        <f t="shared" si="13"/>
        <v>0</v>
      </c>
    </row>
    <row r="66" spans="1:26" s="24" customFormat="1" hidden="1" outlineLevel="1" x14ac:dyDescent="0.25">
      <c r="A66" s="51"/>
      <c r="B66" s="11" t="str">
        <f>CONCATENATE("          ", "5545", " - ", "FREIGHT-IN-SPECIAL ORDERS")</f>
        <v xml:space="preserve">          5545 - FREIGHT-IN-SPECIAL ORDERS</v>
      </c>
      <c r="C66" s="11"/>
      <c r="D66" s="2">
        <v>214.61</v>
      </c>
      <c r="E66" s="2"/>
      <c r="F66" s="22">
        <f t="shared" si="6"/>
        <v>2.287919675373611E-3</v>
      </c>
      <c r="G66" s="2"/>
      <c r="H66" s="2"/>
      <c r="I66" s="2"/>
      <c r="J66" s="22">
        <f t="shared" si="7"/>
        <v>0</v>
      </c>
      <c r="K66" s="2"/>
      <c r="L66" s="2">
        <f t="shared" si="8"/>
        <v>214.61</v>
      </c>
      <c r="M66" s="2"/>
      <c r="N66" s="22">
        <f t="shared" si="9"/>
        <v>0</v>
      </c>
      <c r="O66" s="11"/>
      <c r="P66" s="2">
        <v>660.61</v>
      </c>
      <c r="Q66" s="2"/>
      <c r="R66" s="22">
        <f t="shared" si="10"/>
        <v>1.2465199486213613E-3</v>
      </c>
      <c r="S66" s="2"/>
      <c r="T66" s="2"/>
      <c r="U66" s="2"/>
      <c r="V66" s="22">
        <f t="shared" si="11"/>
        <v>0</v>
      </c>
      <c r="W66" s="2"/>
      <c r="X66" s="2">
        <f t="shared" si="12"/>
        <v>660.61</v>
      </c>
      <c r="Y66" s="2"/>
      <c r="Z66" s="22">
        <f t="shared" si="13"/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6" t="s">
        <v>6</v>
      </c>
      <c r="C68" s="26"/>
      <c r="D68" s="20">
        <f>D12-D50</f>
        <v>34482.76999999999</v>
      </c>
      <c r="E68" s="13"/>
      <c r="F68" s="21">
        <f>IF(D$12=0,0,D68/D$12)</f>
        <v>0.36761478003999287</v>
      </c>
      <c r="G68" s="13"/>
      <c r="H68" s="20">
        <f>H12-H50</f>
        <v>167187</v>
      </c>
      <c r="I68" s="13"/>
      <c r="J68" s="21">
        <f>IF(H$12=0,0,H68/H$12)</f>
        <v>0.53749927663432417</v>
      </c>
      <c r="K68" s="16"/>
      <c r="L68" s="20">
        <f>+D68-H68</f>
        <v>-132704.23000000001</v>
      </c>
      <c r="M68" s="16"/>
      <c r="N68" s="21">
        <f>IF(H68=0,0,L68/H68)</f>
        <v>-0.79374730092650747</v>
      </c>
      <c r="O68" s="25"/>
      <c r="P68" s="20">
        <f>P12-P50</f>
        <v>198688.90000000002</v>
      </c>
      <c r="Q68" s="13"/>
      <c r="R68" s="21">
        <f>IF(P$12=0,0,P68/P$12)</f>
        <v>0.37491057873728045</v>
      </c>
      <c r="S68" s="13"/>
      <c r="T68" s="20">
        <f>T12-T50</f>
        <v>430727</v>
      </c>
      <c r="U68" s="13"/>
      <c r="V68" s="21">
        <f>IF(T$12=0,0,T68/T$12)</f>
        <v>0.53749903288683898</v>
      </c>
      <c r="W68" s="16"/>
      <c r="X68" s="20">
        <f>+P68-T68</f>
        <v>-232038.09999999998</v>
      </c>
      <c r="Y68" s="16"/>
      <c r="Z68" s="21">
        <f>IF(T68=0,0,X68/T68)</f>
        <v>-0.53871268808317097</v>
      </c>
    </row>
    <row r="69" spans="1:26" x14ac:dyDescent="0.25">
      <c r="A69" s="9"/>
      <c r="B69" s="10"/>
      <c r="C69" s="9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6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5" t="s">
        <v>9</v>
      </c>
      <c r="C70" s="10"/>
      <c r="D70" s="19">
        <f>SUM(OSRRefD22x_0)</f>
        <v>47093.98000000001</v>
      </c>
      <c r="E70" s="19"/>
      <c r="F70" s="35">
        <f t="shared" ref="F70:F80" si="14">IF(D$12=0,0,D70/D$12)</f>
        <v>0.50206068418830141</v>
      </c>
      <c r="G70" s="19"/>
      <c r="H70" s="19">
        <f>SUM(OSRRefH22x_0)</f>
        <v>100876.12137307689</v>
      </c>
      <c r="I70" s="19"/>
      <c r="J70" s="35">
        <f t="shared" ref="J70:J80" si="15">IF(H$12=0,0,H70/H$12)</f>
        <v>0.32431254982567498</v>
      </c>
      <c r="K70" s="4"/>
      <c r="L70" s="19">
        <f t="shared" ref="L70:L80" si="16">+D70-H70</f>
        <v>-53782.141373076884</v>
      </c>
      <c r="M70" s="4"/>
      <c r="N70" s="35">
        <f t="shared" ref="N70:N80" si="17">IF(H70=0,0,L70/H70)</f>
        <v>-0.53315036939387073</v>
      </c>
      <c r="O70" s="10"/>
      <c r="P70" s="19">
        <f>SUM(OSRRefP22x_0)</f>
        <v>146903.75999999998</v>
      </c>
      <c r="Q70" s="19"/>
      <c r="R70" s="35">
        <f t="shared" ref="R70:R80" si="18">IF(P$12=0,0,P70/P$12)</f>
        <v>0.27719602695612355</v>
      </c>
      <c r="S70" s="19"/>
      <c r="T70" s="19">
        <f>SUM(OSRRefT22x_0)</f>
        <v>299558.98466999998</v>
      </c>
      <c r="U70" s="19"/>
      <c r="V70" s="35">
        <f t="shared" ref="V70:V80" si="19">IF(T$12=0,0,T70/T$12)</f>
        <v>0.37381604717765177</v>
      </c>
      <c r="W70" s="4"/>
      <c r="X70" s="19">
        <f t="shared" ref="X70:X80" si="20">+P70-T70</f>
        <v>-152655.22467</v>
      </c>
      <c r="Y70" s="4"/>
      <c r="Z70" s="35">
        <f t="shared" ref="Z70:Z80" si="21">IF(T70=0,0,X70/T70)</f>
        <v>-0.50959988677411217</v>
      </c>
    </row>
    <row r="71" spans="1:26" s="28" customFormat="1" outlineLevel="1" collapsed="1" x14ac:dyDescent="0.25">
      <c r="A71" s="27"/>
      <c r="B71" s="14" t="str">
        <f>CONCATENATE("     ","*Benefits                                         ")</f>
        <v xml:space="preserve">     *Benefits                                         </v>
      </c>
      <c r="C71" s="14"/>
      <c r="D71" s="1">
        <f>SUM(OSRRefD22_0x_0)</f>
        <v>13960.140000000001</v>
      </c>
      <c r="E71" s="1"/>
      <c r="F71" s="5">
        <f t="shared" si="14"/>
        <v>0.14882661095461611</v>
      </c>
      <c r="G71" s="1"/>
      <c r="H71" s="1">
        <f>SUM(OSRRefH22_0x_0)</f>
        <v>11710.236757692304</v>
      </c>
      <c r="I71" s="1"/>
      <c r="J71" s="5">
        <f t="shared" si="15"/>
        <v>3.7647925894215985E-2</v>
      </c>
      <c r="K71" s="1"/>
      <c r="L71" s="1">
        <f t="shared" si="16"/>
        <v>2249.9032423076969</v>
      </c>
      <c r="M71" s="1"/>
      <c r="N71" s="5">
        <f t="shared" si="17"/>
        <v>0.19213131970451106</v>
      </c>
      <c r="O71" s="14"/>
      <c r="P71" s="1">
        <f>SUM(OSRRefP22_0x_0)</f>
        <v>33231.71</v>
      </c>
      <c r="Q71" s="1"/>
      <c r="R71" s="5">
        <f t="shared" si="18"/>
        <v>6.2705665130409746E-2</v>
      </c>
      <c r="S71" s="1"/>
      <c r="T71" s="1">
        <f>SUM(OSRRefT22_0x_0)</f>
        <v>41438.484669999976</v>
      </c>
      <c r="U71" s="1"/>
      <c r="V71" s="5">
        <f t="shared" si="19"/>
        <v>5.1710585671251377E-2</v>
      </c>
      <c r="W71" s="1"/>
      <c r="X71" s="1">
        <f t="shared" si="20"/>
        <v>-8206.774669999977</v>
      </c>
      <c r="Y71" s="1"/>
      <c r="Z71" s="5">
        <f t="shared" si="21"/>
        <v>-0.19804717125530888</v>
      </c>
    </row>
    <row r="72" spans="1:26" s="24" customFormat="1" hidden="1" outlineLevel="2" x14ac:dyDescent="0.25">
      <c r="A72" s="29"/>
      <c r="B72" s="11" t="str">
        <f>CONCATENATE("          ", "6111", " - ", "F.I.C.A.")</f>
        <v xml:space="preserve">          6111 - F.I.C.A.</v>
      </c>
      <c r="C72" s="11"/>
      <c r="D72" s="6">
        <v>5204.29</v>
      </c>
      <c r="E72" s="2"/>
      <c r="F72" s="7">
        <f t="shared" si="14"/>
        <v>5.5482025475747307E-2</v>
      </c>
      <c r="G72" s="2"/>
      <c r="H72" s="6">
        <v>1461.07543846154</v>
      </c>
      <c r="I72" s="2"/>
      <c r="J72" s="7">
        <f t="shared" si="15"/>
        <v>4.6972969864956951E-3</v>
      </c>
      <c r="K72" s="2"/>
      <c r="L72" s="6">
        <f t="shared" si="16"/>
        <v>3743.2145615384597</v>
      </c>
      <c r="M72" s="2"/>
      <c r="N72" s="7">
        <f t="shared" si="17"/>
        <v>2.5619584471832133</v>
      </c>
      <c r="O72" s="11"/>
      <c r="P72" s="6">
        <v>8618.4599999999991</v>
      </c>
      <c r="Q72" s="2"/>
      <c r="R72" s="7">
        <f t="shared" si="18"/>
        <v>1.6262367079510235E-2</v>
      </c>
      <c r="S72" s="2"/>
      <c r="T72" s="6">
        <v>10011.960719999999</v>
      </c>
      <c r="U72" s="2"/>
      <c r="V72" s="7">
        <f t="shared" si="19"/>
        <v>1.2493805134809334E-2</v>
      </c>
      <c r="W72" s="2"/>
      <c r="X72" s="6">
        <f t="shared" si="20"/>
        <v>-1393.50072</v>
      </c>
      <c r="Y72" s="2"/>
      <c r="Z72" s="7">
        <f t="shared" si="21"/>
        <v>-0.13918359839510039</v>
      </c>
    </row>
    <row r="73" spans="1:26" s="24" customFormat="1" hidden="1" outlineLevel="2" x14ac:dyDescent="0.25">
      <c r="A73" s="29"/>
      <c r="B73" s="11" t="str">
        <f>CONCATENATE("          ", "6112", " - ", "COMPENSATION INSURANCE")</f>
        <v xml:space="preserve">          6112 - COMPENSATION INSURANCE</v>
      </c>
      <c r="C73" s="11"/>
      <c r="D73" s="6">
        <v>2465.87</v>
      </c>
      <c r="E73" s="2"/>
      <c r="F73" s="7">
        <f t="shared" si="14"/>
        <v>2.6288208796950402E-2</v>
      </c>
      <c r="G73" s="2"/>
      <c r="H73" s="6">
        <v>1082.4727115384599</v>
      </c>
      <c r="I73" s="2"/>
      <c r="J73" s="7">
        <f t="shared" si="15"/>
        <v>3.4801049090438709E-3</v>
      </c>
      <c r="K73" s="2"/>
      <c r="L73" s="6">
        <f t="shared" si="16"/>
        <v>1383.39728846154</v>
      </c>
      <c r="M73" s="2"/>
      <c r="N73" s="7">
        <f t="shared" si="17"/>
        <v>1.2779973792553092</v>
      </c>
      <c r="O73" s="11"/>
      <c r="P73" s="6">
        <v>3428.21</v>
      </c>
      <c r="Q73" s="2"/>
      <c r="R73" s="7">
        <f t="shared" si="18"/>
        <v>6.4687669775862272E-3</v>
      </c>
      <c r="S73" s="2"/>
      <c r="T73" s="6">
        <v>3149.5232499999997</v>
      </c>
      <c r="U73" s="2"/>
      <c r="V73" s="7">
        <f t="shared" si="19"/>
        <v>3.9302521108024666E-3</v>
      </c>
      <c r="W73" s="2"/>
      <c r="X73" s="6">
        <f t="shared" si="20"/>
        <v>278.6867500000003</v>
      </c>
      <c r="Y73" s="2"/>
      <c r="Z73" s="7">
        <f t="shared" si="21"/>
        <v>8.8485376318463538E-2</v>
      </c>
    </row>
    <row r="74" spans="1:26" s="24" customFormat="1" hidden="1" outlineLevel="2" x14ac:dyDescent="0.25">
      <c r="A74" s="29"/>
      <c r="B74" s="11" t="str">
        <f>CONCATENATE("          ", "6113", " - ", "GROUP INSURANCE")</f>
        <v xml:space="preserve">          6113 - GROUP INSURANCE</v>
      </c>
      <c r="C74" s="11"/>
      <c r="D74" s="6">
        <v>2826.13</v>
      </c>
      <c r="E74" s="2"/>
      <c r="F74" s="7">
        <f t="shared" si="14"/>
        <v>3.0128877648588712E-2</v>
      </c>
      <c r="G74" s="2"/>
      <c r="H74" s="6">
        <v>4968.8461538461497</v>
      </c>
      <c r="I74" s="2"/>
      <c r="J74" s="7">
        <f t="shared" si="15"/>
        <v>1.5974634471577032E-2</v>
      </c>
      <c r="K74" s="2"/>
      <c r="L74" s="6">
        <f t="shared" si="16"/>
        <v>-2142.7161538461496</v>
      </c>
      <c r="M74" s="2"/>
      <c r="N74" s="7">
        <f t="shared" si="17"/>
        <v>-0.43123012617075573</v>
      </c>
      <c r="O74" s="11"/>
      <c r="P74" s="6">
        <v>9314.61</v>
      </c>
      <c r="Q74" s="2"/>
      <c r="R74" s="7">
        <f t="shared" si="18"/>
        <v>1.7575948257864731E-2</v>
      </c>
      <c r="S74" s="2"/>
      <c r="T74" s="6">
        <v>15059.999999999991</v>
      </c>
      <c r="U74" s="2"/>
      <c r="V74" s="7">
        <f t="shared" si="19"/>
        <v>1.8793192521657082E-2</v>
      </c>
      <c r="W74" s="2"/>
      <c r="X74" s="6">
        <f t="shared" si="20"/>
        <v>-5745.3899999999903</v>
      </c>
      <c r="Y74" s="2"/>
      <c r="Z74" s="7">
        <f t="shared" si="21"/>
        <v>-0.38149999999999956</v>
      </c>
    </row>
    <row r="75" spans="1:26" s="24" customFormat="1" hidden="1" outlineLevel="2" x14ac:dyDescent="0.25">
      <c r="A75" s="29"/>
      <c r="B75" s="11" t="str">
        <f>CONCATENATE("          ", "6114", " - ", "STATE UNEMPLOYMENT INSURANCE")</f>
        <v xml:space="preserve">          6114 - STATE UNEMPLOYMENT INSURANCE</v>
      </c>
      <c r="C75" s="11"/>
      <c r="D75" s="6">
        <v>192.55</v>
      </c>
      <c r="E75" s="2"/>
      <c r="F75" s="7">
        <f t="shared" si="14"/>
        <v>2.0527418735995008E-3</v>
      </c>
      <c r="G75" s="2"/>
      <c r="H75" s="6">
        <v>152.13130000000001</v>
      </c>
      <c r="I75" s="2"/>
      <c r="J75" s="7">
        <f t="shared" si="15"/>
        <v>4.890958250548151E-4</v>
      </c>
      <c r="K75" s="2"/>
      <c r="L75" s="6">
        <f t="shared" si="16"/>
        <v>40.418700000000001</v>
      </c>
      <c r="M75" s="2"/>
      <c r="N75" s="7">
        <f t="shared" si="17"/>
        <v>0.26568299883061541</v>
      </c>
      <c r="O75" s="11"/>
      <c r="P75" s="6">
        <v>308.02999999999997</v>
      </c>
      <c r="Q75" s="2"/>
      <c r="R75" s="7">
        <f t="shared" si="18"/>
        <v>5.812287730640437E-4</v>
      </c>
      <c r="S75" s="2"/>
      <c r="T75" s="6">
        <v>442.63569999999999</v>
      </c>
      <c r="U75" s="2"/>
      <c r="V75" s="7">
        <f t="shared" si="19"/>
        <v>5.5235975611277915E-4</v>
      </c>
      <c r="W75" s="2"/>
      <c r="X75" s="6">
        <f t="shared" si="20"/>
        <v>-134.60570000000001</v>
      </c>
      <c r="Y75" s="2"/>
      <c r="Z75" s="7">
        <f t="shared" si="21"/>
        <v>-0.30410041485582845</v>
      </c>
    </row>
    <row r="76" spans="1:26" s="24" customFormat="1" hidden="1" outlineLevel="2" x14ac:dyDescent="0.25">
      <c r="A76" s="29"/>
      <c r="B76" s="11" t="str">
        <f>CONCATENATE("          ", "6115", " - ", "P.E.R.S.")</f>
        <v xml:space="preserve">          6115 - P.E.R.S.</v>
      </c>
      <c r="C76" s="11"/>
      <c r="D76" s="6">
        <v>1302.07</v>
      </c>
      <c r="E76" s="2"/>
      <c r="F76" s="7">
        <f t="shared" si="14"/>
        <v>1.3881140541977156E-2</v>
      </c>
      <c r="G76" s="2"/>
      <c r="H76" s="6">
        <v>1141.3523076923102</v>
      </c>
      <c r="I76" s="2"/>
      <c r="J76" s="7">
        <f t="shared" si="15"/>
        <v>3.6694003706599994E-3</v>
      </c>
      <c r="K76" s="2"/>
      <c r="L76" s="6">
        <f t="shared" si="16"/>
        <v>160.71769230768973</v>
      </c>
      <c r="M76" s="2"/>
      <c r="N76" s="7">
        <f t="shared" si="17"/>
        <v>0.14081339409795679</v>
      </c>
      <c r="O76" s="11"/>
      <c r="P76" s="6">
        <v>4798.43</v>
      </c>
      <c r="Q76" s="2"/>
      <c r="R76" s="7">
        <f t="shared" si="18"/>
        <v>9.0542660829584769E-3</v>
      </c>
      <c r="S76" s="2"/>
      <c r="T76" s="6">
        <v>3709.395</v>
      </c>
      <c r="U76" s="2"/>
      <c r="V76" s="7">
        <f t="shared" si="19"/>
        <v>4.6289093209742511E-3</v>
      </c>
      <c r="W76" s="2"/>
      <c r="X76" s="6">
        <f t="shared" si="20"/>
        <v>1089.0350000000003</v>
      </c>
      <c r="Y76" s="2"/>
      <c r="Z76" s="7">
        <f t="shared" si="21"/>
        <v>0.29358830752723836</v>
      </c>
    </row>
    <row r="77" spans="1:26" s="24" customFormat="1" hidden="1" outlineLevel="2" x14ac:dyDescent="0.25">
      <c r="A77" s="29"/>
      <c r="B77" s="11" t="str">
        <f>CONCATENATE("          ", "6116", " - ", "EDUCATIONAL BENEFITS")</f>
        <v xml:space="preserve">          6116 - EDUCATIONAL BENEFITS</v>
      </c>
      <c r="C77" s="11"/>
      <c r="D77" s="6"/>
      <c r="E77" s="2"/>
      <c r="F77" s="7">
        <f t="shared" si="14"/>
        <v>0</v>
      </c>
      <c r="G77" s="2"/>
      <c r="H77" s="6">
        <v>0</v>
      </c>
      <c r="I77" s="2"/>
      <c r="J77" s="7">
        <f t="shared" si="15"/>
        <v>0</v>
      </c>
      <c r="K77" s="2"/>
      <c r="L77" s="6">
        <f t="shared" si="16"/>
        <v>0</v>
      </c>
      <c r="M77" s="2"/>
      <c r="N77" s="7">
        <f t="shared" si="17"/>
        <v>0</v>
      </c>
      <c r="O77" s="11"/>
      <c r="P77" s="6"/>
      <c r="Q77" s="2"/>
      <c r="R77" s="7">
        <f t="shared" si="18"/>
        <v>0</v>
      </c>
      <c r="S77" s="2"/>
      <c r="T77" s="6">
        <v>0</v>
      </c>
      <c r="U77" s="2"/>
      <c r="V77" s="7">
        <f t="shared" si="19"/>
        <v>0</v>
      </c>
      <c r="W77" s="2"/>
      <c r="X77" s="6">
        <f t="shared" si="20"/>
        <v>0</v>
      </c>
      <c r="Y77" s="2"/>
      <c r="Z77" s="7">
        <f t="shared" si="21"/>
        <v>0</v>
      </c>
    </row>
    <row r="78" spans="1:26" s="24" customFormat="1" hidden="1" outlineLevel="2" x14ac:dyDescent="0.25">
      <c r="A78" s="29"/>
      <c r="B78" s="11" t="str">
        <f>CONCATENATE("          ", "6118", " - ", "VACATION")</f>
        <v xml:space="preserve">          6118 - VACATION</v>
      </c>
      <c r="C78" s="11"/>
      <c r="D78" s="6">
        <v>886.6</v>
      </c>
      <c r="E78" s="2"/>
      <c r="F78" s="7">
        <f t="shared" si="14"/>
        <v>9.4518875363973891E-3</v>
      </c>
      <c r="G78" s="2"/>
      <c r="H78" s="6">
        <v>855.57692307692298</v>
      </c>
      <c r="I78" s="2"/>
      <c r="J78" s="7">
        <f t="shared" si="15"/>
        <v>2.7506443518866114E-3</v>
      </c>
      <c r="K78" s="2"/>
      <c r="L78" s="6">
        <f t="shared" si="16"/>
        <v>31.023076923077042</v>
      </c>
      <c r="M78" s="2"/>
      <c r="N78" s="7">
        <f t="shared" si="17"/>
        <v>3.6259833670487893E-2</v>
      </c>
      <c r="O78" s="11"/>
      <c r="P78" s="6">
        <v>3460.34</v>
      </c>
      <c r="Q78" s="2"/>
      <c r="R78" s="7">
        <f t="shared" si="18"/>
        <v>6.5293938012025883E-3</v>
      </c>
      <c r="S78" s="2"/>
      <c r="T78" s="6">
        <v>2780.6249999999959</v>
      </c>
      <c r="U78" s="2"/>
      <c r="V78" s="7">
        <f t="shared" si="19"/>
        <v>3.4699084299822497E-3</v>
      </c>
      <c r="W78" s="2"/>
      <c r="X78" s="6">
        <f t="shared" si="20"/>
        <v>679.71500000000424</v>
      </c>
      <c r="Y78" s="2"/>
      <c r="Z78" s="7">
        <f t="shared" si="21"/>
        <v>0.24444684198696526</v>
      </c>
    </row>
    <row r="79" spans="1:26" s="24" customFormat="1" hidden="1" outlineLevel="2" x14ac:dyDescent="0.25">
      <c r="A79" s="29"/>
      <c r="B79" s="11" t="str">
        <f>CONCATENATE("          ", "6119", " - ", "SICK LEAVE")</f>
        <v xml:space="preserve">          6119 - SICK LEAVE</v>
      </c>
      <c r="C79" s="11"/>
      <c r="D79" s="6">
        <v>777.18</v>
      </c>
      <c r="E79" s="2"/>
      <c r="F79" s="7">
        <f t="shared" si="14"/>
        <v>8.2853800536175515E-3</v>
      </c>
      <c r="G79" s="2"/>
      <c r="H79" s="6">
        <v>1348.7819230769201</v>
      </c>
      <c r="I79" s="2"/>
      <c r="J79" s="7">
        <f t="shared" si="15"/>
        <v>4.3362779880690315E-3</v>
      </c>
      <c r="K79" s="2"/>
      <c r="L79" s="6">
        <f t="shared" si="16"/>
        <v>-571.60192307692012</v>
      </c>
      <c r="M79" s="2"/>
      <c r="N79" s="7">
        <f t="shared" si="17"/>
        <v>-0.42379120990363545</v>
      </c>
      <c r="O79" s="11"/>
      <c r="P79" s="6">
        <v>2427.48</v>
      </c>
      <c r="Q79" s="2"/>
      <c r="R79" s="7">
        <f t="shared" si="18"/>
        <v>4.5804669091890557E-3</v>
      </c>
      <c r="S79" s="2"/>
      <c r="T79" s="6">
        <v>4184.3449999999903</v>
      </c>
      <c r="U79" s="2"/>
      <c r="V79" s="7">
        <f t="shared" si="19"/>
        <v>5.221593702658239E-3</v>
      </c>
      <c r="W79" s="2"/>
      <c r="X79" s="6">
        <f t="shared" si="20"/>
        <v>-1756.8649999999902</v>
      </c>
      <c r="Y79" s="2"/>
      <c r="Z79" s="7">
        <f t="shared" si="21"/>
        <v>-0.41986619172176154</v>
      </c>
    </row>
    <row r="80" spans="1:26" s="24" customFormat="1" hidden="1" outlineLevel="2" x14ac:dyDescent="0.25">
      <c r="A80" s="29"/>
      <c r="B80" s="11" t="str">
        <f>CONCATENATE("          ", "6156", " - ", "EMPLOYEE MEALS")</f>
        <v xml:space="preserve">          6156 - EMPLOYEE MEALS</v>
      </c>
      <c r="C80" s="11"/>
      <c r="D80" s="6">
        <v>305.45</v>
      </c>
      <c r="E80" s="2"/>
      <c r="F80" s="7">
        <f t="shared" si="14"/>
        <v>3.2563490277380805E-3</v>
      </c>
      <c r="G80" s="2"/>
      <c r="H80" s="6">
        <v>700</v>
      </c>
      <c r="I80" s="2"/>
      <c r="J80" s="7">
        <f t="shared" si="15"/>
        <v>2.2504709914289204E-3</v>
      </c>
      <c r="K80" s="2"/>
      <c r="L80" s="6">
        <f t="shared" si="16"/>
        <v>-394.55</v>
      </c>
      <c r="M80" s="2"/>
      <c r="N80" s="7">
        <f t="shared" si="17"/>
        <v>-0.56364285714285711</v>
      </c>
      <c r="O80" s="11"/>
      <c r="P80" s="6">
        <v>876.15</v>
      </c>
      <c r="Q80" s="2"/>
      <c r="R80" s="7">
        <f t="shared" si="18"/>
        <v>1.6532272490343859E-3</v>
      </c>
      <c r="S80" s="2"/>
      <c r="T80" s="6">
        <v>2100</v>
      </c>
      <c r="U80" s="2"/>
      <c r="V80" s="7">
        <f t="shared" si="19"/>
        <v>2.6205646942549735E-3</v>
      </c>
      <c r="W80" s="2"/>
      <c r="X80" s="6">
        <f t="shared" si="20"/>
        <v>-1223.8499999999999</v>
      </c>
      <c r="Y80" s="2"/>
      <c r="Z80" s="7">
        <f t="shared" si="21"/>
        <v>-0.58278571428571424</v>
      </c>
    </row>
    <row r="81" spans="1:26" s="28" customFormat="1" outlineLevel="1" collapsed="1" x14ac:dyDescent="0.25">
      <c r="A81" s="27"/>
      <c r="B81" s="14" t="str">
        <f>CONCATENATE("     ","*Payroll                                          ")</f>
        <v xml:space="preserve">     *Payroll                                          </v>
      </c>
      <c r="C81" s="14"/>
      <c r="D81" s="1">
        <f>SUM(OSRRefD22_1x_0)</f>
        <v>30854.230000000003</v>
      </c>
      <c r="E81" s="1"/>
      <c r="F81" s="5">
        <f t="shared" ref="F81:F91" si="22">IF(D$12=0,0,D81/D$12)</f>
        <v>0.32893154972043587</v>
      </c>
      <c r="G81" s="1"/>
      <c r="H81" s="1">
        <f>SUM(OSRRefH22_1x_0)</f>
        <v>56701.884615384595</v>
      </c>
      <c r="I81" s="1"/>
      <c r="J81" s="5">
        <f t="shared" ref="J81:J91" si="23">IF(H$12=0,0,H81/H$12)</f>
        <v>0.18229420926610404</v>
      </c>
      <c r="K81" s="1"/>
      <c r="L81" s="1">
        <f t="shared" ref="L81:L91" si="24">+D81-H81</f>
        <v>-25847.654615384592</v>
      </c>
      <c r="M81" s="1"/>
      <c r="N81" s="5">
        <f t="shared" ref="N81:N91" si="25">IF(H81=0,0,L81/H81)</f>
        <v>-0.45585177266526866</v>
      </c>
      <c r="O81" s="14"/>
      <c r="P81" s="1">
        <f>SUM(OSRRefP22_1x_0)</f>
        <v>88713.78</v>
      </c>
      <c r="Q81" s="1"/>
      <c r="R81" s="5">
        <f t="shared" ref="R81:R91" si="26">IF(P$12=0,0,P81/P$12)</f>
        <v>0.16739603773422557</v>
      </c>
      <c r="S81" s="1"/>
      <c r="T81" s="1">
        <f>SUM(OSRRefT22_1x_0)</f>
        <v>164361.5</v>
      </c>
      <c r="U81" s="1"/>
      <c r="V81" s="5">
        <f t="shared" ref="V81:V91" si="27">IF(T$12=0,0,T81/T$12)</f>
        <v>0.20510473523561373</v>
      </c>
      <c r="W81" s="1"/>
      <c r="X81" s="1">
        <f t="shared" ref="X81:X91" si="28">+P81-T81</f>
        <v>-75647.72</v>
      </c>
      <c r="Y81" s="1"/>
      <c r="Z81" s="5">
        <f t="shared" ref="Z81:Z91" si="29">IF(T81=0,0,X81/T81)</f>
        <v>-0.46025206632940197</v>
      </c>
    </row>
    <row r="82" spans="1:26" s="24" customFormat="1" hidden="1" outlineLevel="2" x14ac:dyDescent="0.25">
      <c r="A82" s="29"/>
      <c r="B82" s="11" t="str">
        <f>CONCATENATE("          ", "6001", " - ", "ADMINISTRATIVE SALARIES")</f>
        <v xml:space="preserve">          6001 - ADMINISTRATIVE SALARIES</v>
      </c>
      <c r="C82" s="11"/>
      <c r="D82" s="6"/>
      <c r="E82" s="2"/>
      <c r="F82" s="7">
        <f t="shared" si="22"/>
        <v>0</v>
      </c>
      <c r="G82" s="2"/>
      <c r="H82" s="6">
        <v>0</v>
      </c>
      <c r="I82" s="2"/>
      <c r="J82" s="7">
        <f t="shared" si="23"/>
        <v>0</v>
      </c>
      <c r="K82" s="2"/>
      <c r="L82" s="6">
        <f t="shared" si="24"/>
        <v>0</v>
      </c>
      <c r="M82" s="2"/>
      <c r="N82" s="7">
        <f t="shared" si="25"/>
        <v>0</v>
      </c>
      <c r="O82" s="11"/>
      <c r="P82" s="6"/>
      <c r="Q82" s="2"/>
      <c r="R82" s="7">
        <f t="shared" si="26"/>
        <v>0</v>
      </c>
      <c r="S82" s="2"/>
      <c r="T82" s="6">
        <v>0</v>
      </c>
      <c r="U82" s="2"/>
      <c r="V82" s="7">
        <f t="shared" si="27"/>
        <v>0</v>
      </c>
      <c r="W82" s="2"/>
      <c r="X82" s="6">
        <f t="shared" si="28"/>
        <v>0</v>
      </c>
      <c r="Y82" s="2"/>
      <c r="Z82" s="7">
        <f t="shared" si="29"/>
        <v>0</v>
      </c>
    </row>
    <row r="83" spans="1:26" s="24" customFormat="1" hidden="1" outlineLevel="2" x14ac:dyDescent="0.25">
      <c r="A83" s="29"/>
      <c r="B83" s="11" t="str">
        <f>CONCATENATE("          ", "6002", " - ", "STAFF SALARIES")</f>
        <v xml:space="preserve">          6002 - STAFF SALARIES</v>
      </c>
      <c r="C83" s="11"/>
      <c r="D83" s="6">
        <v>10829.86</v>
      </c>
      <c r="E83" s="2"/>
      <c r="F83" s="7">
        <f t="shared" si="22"/>
        <v>0.11545524335092333</v>
      </c>
      <c r="G83" s="2"/>
      <c r="H83" s="6">
        <v>11944.384615384599</v>
      </c>
      <c r="I83" s="2"/>
      <c r="J83" s="7">
        <f t="shared" si="23"/>
        <v>3.8400701553418459E-2</v>
      </c>
      <c r="K83" s="2"/>
      <c r="L83" s="6">
        <f t="shared" si="24"/>
        <v>-1114.5246153845983</v>
      </c>
      <c r="M83" s="2"/>
      <c r="N83" s="7">
        <f t="shared" si="25"/>
        <v>-9.3309504949218483E-2</v>
      </c>
      <c r="O83" s="11"/>
      <c r="P83" s="6">
        <v>40462.959999999999</v>
      </c>
      <c r="Q83" s="2"/>
      <c r="R83" s="7">
        <f t="shared" si="26"/>
        <v>7.6350474289320777E-2</v>
      </c>
      <c r="S83" s="2"/>
      <c r="T83" s="6">
        <v>38819.25</v>
      </c>
      <c r="U83" s="2"/>
      <c r="V83" s="7">
        <f t="shared" si="27"/>
        <v>4.8442074289265419E-2</v>
      </c>
      <c r="W83" s="2"/>
      <c r="X83" s="6">
        <f t="shared" si="28"/>
        <v>1643.7099999999991</v>
      </c>
      <c r="Y83" s="2"/>
      <c r="Z83" s="7">
        <f t="shared" si="29"/>
        <v>4.2342652163552853E-2</v>
      </c>
    </row>
    <row r="84" spans="1:26" s="24" customFormat="1" hidden="1" outlineLevel="2" x14ac:dyDescent="0.25">
      <c r="A84" s="29"/>
      <c r="B84" s="11" t="str">
        <f>CONCATENATE("          ", "6003", " - ", "STAFF HOURLY-9 MONTH")</f>
        <v xml:space="preserve">          6003 - STAFF HOURLY-9 MONTH</v>
      </c>
      <c r="C84" s="11"/>
      <c r="D84" s="6"/>
      <c r="E84" s="2"/>
      <c r="F84" s="7">
        <f t="shared" si="22"/>
        <v>0</v>
      </c>
      <c r="G84" s="2"/>
      <c r="H84" s="6">
        <v>0</v>
      </c>
      <c r="I84" s="2"/>
      <c r="J84" s="7">
        <f t="shared" si="23"/>
        <v>0</v>
      </c>
      <c r="K84" s="2"/>
      <c r="L84" s="6">
        <f t="shared" si="24"/>
        <v>0</v>
      </c>
      <c r="M84" s="2"/>
      <c r="N84" s="7">
        <f t="shared" si="25"/>
        <v>0</v>
      </c>
      <c r="O84" s="11"/>
      <c r="P84" s="6"/>
      <c r="Q84" s="2"/>
      <c r="R84" s="7">
        <f t="shared" si="26"/>
        <v>0</v>
      </c>
      <c r="S84" s="2"/>
      <c r="T84" s="6">
        <v>0</v>
      </c>
      <c r="U84" s="2"/>
      <c r="V84" s="7">
        <f t="shared" si="27"/>
        <v>0</v>
      </c>
      <c r="W84" s="2"/>
      <c r="X84" s="6">
        <f t="shared" si="28"/>
        <v>0</v>
      </c>
      <c r="Y84" s="2"/>
      <c r="Z84" s="7">
        <f t="shared" si="29"/>
        <v>0</v>
      </c>
    </row>
    <row r="85" spans="1:26" s="24" customFormat="1" hidden="1" outlineLevel="2" x14ac:dyDescent="0.25">
      <c r="A85" s="29"/>
      <c r="B85" s="11" t="str">
        <f>CONCATENATE("          ", "6004", " - ", "STAFF HOURLY")</f>
        <v xml:space="preserve">          6004 - STAFF HOURLY</v>
      </c>
      <c r="C85" s="11"/>
      <c r="D85" s="6">
        <v>9691.51</v>
      </c>
      <c r="E85" s="2"/>
      <c r="F85" s="7">
        <f t="shared" si="22"/>
        <v>0.10331949309482366</v>
      </c>
      <c r="G85" s="2"/>
      <c r="H85" s="6">
        <v>5337</v>
      </c>
      <c r="I85" s="2"/>
      <c r="J85" s="7">
        <f t="shared" si="23"/>
        <v>1.7158233830365927E-2</v>
      </c>
      <c r="K85" s="2"/>
      <c r="L85" s="6">
        <f t="shared" si="24"/>
        <v>4354.51</v>
      </c>
      <c r="M85" s="2"/>
      <c r="N85" s="7">
        <f t="shared" si="25"/>
        <v>0.81590968709012557</v>
      </c>
      <c r="O85" s="11"/>
      <c r="P85" s="6">
        <v>23803.550000000003</v>
      </c>
      <c r="Q85" s="2"/>
      <c r="R85" s="7">
        <f t="shared" si="26"/>
        <v>4.491545680962445E-2</v>
      </c>
      <c r="S85" s="2"/>
      <c r="T85" s="6">
        <v>17345.25</v>
      </c>
      <c r="U85" s="2"/>
      <c r="V85" s="7">
        <f t="shared" si="27"/>
        <v>2.1644928458583845E-2</v>
      </c>
      <c r="W85" s="2"/>
      <c r="X85" s="6">
        <f t="shared" si="28"/>
        <v>6458.3000000000029</v>
      </c>
      <c r="Y85" s="2"/>
      <c r="Z85" s="7">
        <f t="shared" si="29"/>
        <v>0.37233824822357725</v>
      </c>
    </row>
    <row r="86" spans="1:26" s="24" customFormat="1" hidden="1" outlineLevel="2" x14ac:dyDescent="0.25">
      <c r="A86" s="29"/>
      <c r="B86" s="11" t="str">
        <f>CONCATENATE("          ", "6005", " - ", "TEMPORARY WAGES-HOURLY")</f>
        <v xml:space="preserve">          6005 - TEMPORARY WAGES-HOURLY</v>
      </c>
      <c r="C86" s="11"/>
      <c r="D86" s="6">
        <v>5283.11</v>
      </c>
      <c r="E86" s="2"/>
      <c r="F86" s="7">
        <f t="shared" si="22"/>
        <v>5.6322311710372663E-2</v>
      </c>
      <c r="G86" s="2"/>
      <c r="H86" s="6">
        <v>0</v>
      </c>
      <c r="I86" s="2"/>
      <c r="J86" s="7">
        <f t="shared" si="23"/>
        <v>0</v>
      </c>
      <c r="K86" s="2"/>
      <c r="L86" s="6">
        <f t="shared" si="24"/>
        <v>5283.11</v>
      </c>
      <c r="M86" s="2"/>
      <c r="N86" s="7">
        <f t="shared" si="25"/>
        <v>0</v>
      </c>
      <c r="O86" s="11"/>
      <c r="P86" s="6">
        <v>9409.18</v>
      </c>
      <c r="Q86" s="2"/>
      <c r="R86" s="7">
        <f t="shared" si="26"/>
        <v>1.7754394529554716E-2</v>
      </c>
      <c r="S86" s="2"/>
      <c r="T86" s="6">
        <v>0</v>
      </c>
      <c r="U86" s="2"/>
      <c r="V86" s="7">
        <f t="shared" si="27"/>
        <v>0</v>
      </c>
      <c r="W86" s="2"/>
      <c r="X86" s="6">
        <f t="shared" si="28"/>
        <v>9409.18</v>
      </c>
      <c r="Y86" s="2"/>
      <c r="Z86" s="7">
        <f t="shared" si="29"/>
        <v>0</v>
      </c>
    </row>
    <row r="87" spans="1:26" s="24" customFormat="1" hidden="1" outlineLevel="2" x14ac:dyDescent="0.25">
      <c r="A87" s="29"/>
      <c r="B87" s="11" t="str">
        <f>CONCATENATE("          ", "6006", " - ", "TEMPORARY PART TIME")</f>
        <v xml:space="preserve">          6006 - TEMPORARY PART TIME</v>
      </c>
      <c r="C87" s="11"/>
      <c r="D87" s="6"/>
      <c r="E87" s="2"/>
      <c r="F87" s="7">
        <f t="shared" si="22"/>
        <v>0</v>
      </c>
      <c r="G87" s="2"/>
      <c r="H87" s="6">
        <v>0</v>
      </c>
      <c r="I87" s="2"/>
      <c r="J87" s="7">
        <f t="shared" si="23"/>
        <v>0</v>
      </c>
      <c r="K87" s="2"/>
      <c r="L87" s="6">
        <f t="shared" si="24"/>
        <v>0</v>
      </c>
      <c r="M87" s="2"/>
      <c r="N87" s="7">
        <f t="shared" si="25"/>
        <v>0</v>
      </c>
      <c r="O87" s="11"/>
      <c r="P87" s="6"/>
      <c r="Q87" s="2"/>
      <c r="R87" s="7">
        <f t="shared" si="26"/>
        <v>0</v>
      </c>
      <c r="S87" s="2"/>
      <c r="T87" s="6">
        <v>0</v>
      </c>
      <c r="U87" s="2"/>
      <c r="V87" s="7">
        <f t="shared" si="27"/>
        <v>0</v>
      </c>
      <c r="W87" s="2"/>
      <c r="X87" s="6">
        <f t="shared" si="28"/>
        <v>0</v>
      </c>
      <c r="Y87" s="2"/>
      <c r="Z87" s="7">
        <f t="shared" si="29"/>
        <v>0</v>
      </c>
    </row>
    <row r="88" spans="1:26" s="24" customFormat="1" hidden="1" outlineLevel="2" x14ac:dyDescent="0.25">
      <c r="A88" s="29"/>
      <c r="B88" s="11" t="str">
        <f>CONCATENATE("          ", "6007", " - ", "STUDENT HOURLY")</f>
        <v xml:space="preserve">          6007 - STUDENT HOURLY</v>
      </c>
      <c r="C88" s="11"/>
      <c r="D88" s="6">
        <v>4365.2299999999996</v>
      </c>
      <c r="E88" s="2"/>
      <c r="F88" s="7">
        <f t="shared" si="22"/>
        <v>4.6536953564750697E-2</v>
      </c>
      <c r="G88" s="2"/>
      <c r="H88" s="6">
        <v>0</v>
      </c>
      <c r="I88" s="2"/>
      <c r="J88" s="7">
        <f t="shared" si="23"/>
        <v>0</v>
      </c>
      <c r="K88" s="2"/>
      <c r="L88" s="6">
        <f t="shared" si="24"/>
        <v>4365.2299999999996</v>
      </c>
      <c r="M88" s="2"/>
      <c r="N88" s="7">
        <f t="shared" si="25"/>
        <v>0</v>
      </c>
      <c r="O88" s="11"/>
      <c r="P88" s="6">
        <v>14014.53</v>
      </c>
      <c r="Q88" s="2"/>
      <c r="R88" s="7">
        <f t="shared" si="26"/>
        <v>2.6444333594030561E-2</v>
      </c>
      <c r="S88" s="2"/>
      <c r="T88" s="6">
        <v>68776.5</v>
      </c>
      <c r="U88" s="2"/>
      <c r="V88" s="7">
        <f t="shared" si="27"/>
        <v>8.5825365568774847E-2</v>
      </c>
      <c r="W88" s="2"/>
      <c r="X88" s="6">
        <f t="shared" si="28"/>
        <v>-54761.97</v>
      </c>
      <c r="Y88" s="2"/>
      <c r="Z88" s="7">
        <f t="shared" si="29"/>
        <v>-0.7962308346600947</v>
      </c>
    </row>
    <row r="89" spans="1:26" s="24" customFormat="1" hidden="1" outlineLevel="2" x14ac:dyDescent="0.25">
      <c r="A89" s="29"/>
      <c r="B89" s="11" t="str">
        <f>CONCATENATE("          ", "6008", " - ", "STUDENT HOURLY-FICA EXEMPT")</f>
        <v xml:space="preserve">          6008 - STUDENT HOURLY-FICA EXEMPT</v>
      </c>
      <c r="C89" s="11"/>
      <c r="D89" s="6">
        <v>684.52</v>
      </c>
      <c r="E89" s="2"/>
      <c r="F89" s="7">
        <f t="shared" si="22"/>
        <v>7.297547999565464E-3</v>
      </c>
      <c r="G89" s="2"/>
      <c r="H89" s="6">
        <v>39420.5</v>
      </c>
      <c r="I89" s="2"/>
      <c r="J89" s="7">
        <f t="shared" si="23"/>
        <v>0.12673527388231964</v>
      </c>
      <c r="K89" s="2"/>
      <c r="L89" s="6">
        <f t="shared" si="24"/>
        <v>-38735.980000000003</v>
      </c>
      <c r="M89" s="2"/>
      <c r="N89" s="7">
        <f t="shared" si="25"/>
        <v>-0.98263543080376969</v>
      </c>
      <c r="O89" s="11"/>
      <c r="P89" s="6">
        <v>1023.56</v>
      </c>
      <c r="Q89" s="2"/>
      <c r="R89" s="7">
        <f t="shared" si="26"/>
        <v>1.9313785116950705E-3</v>
      </c>
      <c r="S89" s="2"/>
      <c r="T89" s="6">
        <v>39420.5</v>
      </c>
      <c r="U89" s="2"/>
      <c r="V89" s="7">
        <f t="shared" si="27"/>
        <v>4.9192366918989608E-2</v>
      </c>
      <c r="W89" s="2"/>
      <c r="X89" s="6">
        <f t="shared" si="28"/>
        <v>-38396.94</v>
      </c>
      <c r="Y89" s="2"/>
      <c r="Z89" s="7">
        <f t="shared" si="29"/>
        <v>-0.97403482959373933</v>
      </c>
    </row>
    <row r="90" spans="1:26" s="24" customFormat="1" hidden="1" outlineLevel="2" x14ac:dyDescent="0.25">
      <c r="A90" s="29"/>
      <c r="B90" s="11" t="str">
        <f>CONCATENATE("          ", "6009", " - ", "TEMPORARY-SEASONAL")</f>
        <v xml:space="preserve">          6009 - TEMPORARY-SEASONAL</v>
      </c>
      <c r="C90" s="11"/>
      <c r="D90" s="6"/>
      <c r="E90" s="2"/>
      <c r="F90" s="7">
        <f t="shared" si="22"/>
        <v>0</v>
      </c>
      <c r="G90" s="2"/>
      <c r="H90" s="6">
        <v>0</v>
      </c>
      <c r="I90" s="2"/>
      <c r="J90" s="7">
        <f t="shared" si="23"/>
        <v>0</v>
      </c>
      <c r="K90" s="2"/>
      <c r="L90" s="6">
        <f t="shared" si="24"/>
        <v>0</v>
      </c>
      <c r="M90" s="2"/>
      <c r="N90" s="7">
        <f t="shared" si="25"/>
        <v>0</v>
      </c>
      <c r="O90" s="11"/>
      <c r="P90" s="6"/>
      <c r="Q90" s="2"/>
      <c r="R90" s="7">
        <f t="shared" si="26"/>
        <v>0</v>
      </c>
      <c r="S90" s="2"/>
      <c r="T90" s="6">
        <v>0</v>
      </c>
      <c r="U90" s="2"/>
      <c r="V90" s="7">
        <f t="shared" si="27"/>
        <v>0</v>
      </c>
      <c r="W90" s="2"/>
      <c r="X90" s="6">
        <f t="shared" si="28"/>
        <v>0</v>
      </c>
      <c r="Y90" s="2"/>
      <c r="Z90" s="7">
        <f t="shared" si="29"/>
        <v>0</v>
      </c>
    </row>
    <row r="91" spans="1:26" s="24" customFormat="1" hidden="1" outlineLevel="2" x14ac:dyDescent="0.25">
      <c r="A91" s="29"/>
      <c r="B91" s="11" t="str">
        <f>CONCATENATE("          ", "6010", " - ", "GRATUITY")</f>
        <v xml:space="preserve">          6010 - GRATUITY</v>
      </c>
      <c r="C91" s="11"/>
      <c r="D91" s="6"/>
      <c r="E91" s="2"/>
      <c r="F91" s="7">
        <f t="shared" si="22"/>
        <v>0</v>
      </c>
      <c r="G91" s="2"/>
      <c r="H91" s="6">
        <v>0</v>
      </c>
      <c r="I91" s="2"/>
      <c r="J91" s="7">
        <f t="shared" si="23"/>
        <v>0</v>
      </c>
      <c r="K91" s="2"/>
      <c r="L91" s="6">
        <f t="shared" si="24"/>
        <v>0</v>
      </c>
      <c r="M91" s="2"/>
      <c r="N91" s="7">
        <f t="shared" si="25"/>
        <v>0</v>
      </c>
      <c r="O91" s="11"/>
      <c r="P91" s="6"/>
      <c r="Q91" s="2"/>
      <c r="R91" s="7">
        <f t="shared" si="26"/>
        <v>0</v>
      </c>
      <c r="S91" s="2"/>
      <c r="T91" s="6">
        <v>0</v>
      </c>
      <c r="U91" s="2"/>
      <c r="V91" s="7">
        <f t="shared" si="27"/>
        <v>0</v>
      </c>
      <c r="W91" s="2"/>
      <c r="X91" s="6">
        <f t="shared" si="28"/>
        <v>0</v>
      </c>
      <c r="Y91" s="2"/>
      <c r="Z91" s="7">
        <f t="shared" si="29"/>
        <v>0</v>
      </c>
    </row>
    <row r="92" spans="1:26" s="28" customFormat="1" outlineLevel="1" collapsed="1" x14ac:dyDescent="0.25">
      <c r="A92" s="27"/>
      <c r="B92" s="14" t="str">
        <f>CONCATENATE("     ","Advertising/Promo                                 ")</f>
        <v xml:space="preserve">     Advertising/Promo                                 </v>
      </c>
      <c r="C92" s="14"/>
      <c r="D92" s="1">
        <f>SUM(OSRRefD22_2x_0)</f>
        <v>391.39</v>
      </c>
      <c r="E92" s="1"/>
      <c r="F92" s="5">
        <f t="shared" ref="F92:F104" si="30">IF(D$12=0,0,D92/D$12)</f>
        <v>4.1725403370974209E-3</v>
      </c>
      <c r="G92" s="1"/>
      <c r="H92" s="1">
        <f>SUM(OSRRefH22_2x_0)</f>
        <v>580</v>
      </c>
      <c r="I92" s="1"/>
      <c r="J92" s="5">
        <f t="shared" ref="J92:J104" si="31">IF(H$12=0,0,H92/H$12)</f>
        <v>1.8646759643268199E-3</v>
      </c>
      <c r="K92" s="1"/>
      <c r="L92" s="1">
        <f t="shared" ref="L92:L104" si="32">+D92-H92</f>
        <v>-188.61</v>
      </c>
      <c r="M92" s="1"/>
      <c r="N92" s="5">
        <f t="shared" ref="N92:N104" si="33">IF(H92=0,0,L92/H92)</f>
        <v>-0.32518965517241383</v>
      </c>
      <c r="O92" s="14"/>
      <c r="P92" s="1">
        <f>SUM(OSRRefP22_2x_0)</f>
        <v>11033.71</v>
      </c>
      <c r="Q92" s="1"/>
      <c r="R92" s="5">
        <f t="shared" ref="R92:R104" si="34">IF(P$12=0,0,P92/P$12)</f>
        <v>2.0819756925119209E-2</v>
      </c>
      <c r="S92" s="1"/>
      <c r="T92" s="1">
        <f>SUM(OSRRefT22_2x_0)</f>
        <v>1740</v>
      </c>
      <c r="U92" s="1"/>
      <c r="V92" s="5">
        <f t="shared" ref="V92:V104" si="35">IF(T$12=0,0,T92/T$12)</f>
        <v>2.1713250323826924E-3</v>
      </c>
      <c r="W92" s="1"/>
      <c r="X92" s="1">
        <f t="shared" ref="X92:X104" si="36">+P92-T92</f>
        <v>9293.7099999999991</v>
      </c>
      <c r="Y92" s="1"/>
      <c r="Z92" s="5">
        <f t="shared" ref="Z92:Z104" si="37">IF(T92=0,0,X92/T92)</f>
        <v>5.3412126436781602</v>
      </c>
    </row>
    <row r="93" spans="1:26" s="24" customFormat="1" hidden="1" outlineLevel="2" x14ac:dyDescent="0.25">
      <c r="A93" s="29"/>
      <c r="B93" s="11" t="str">
        <f>CONCATENATE("          ", "6362", " - ", "ADVERTISING EXPENSE")</f>
        <v xml:space="preserve">          6362 - ADVERTISING EXPENSE</v>
      </c>
      <c r="C93" s="11"/>
      <c r="D93" s="6">
        <v>391.39</v>
      </c>
      <c r="E93" s="2"/>
      <c r="F93" s="7">
        <f t="shared" si="30"/>
        <v>4.1725403370974209E-3</v>
      </c>
      <c r="G93" s="2"/>
      <c r="H93" s="6">
        <v>580</v>
      </c>
      <c r="I93" s="2"/>
      <c r="J93" s="7">
        <f t="shared" si="31"/>
        <v>1.8646759643268199E-3</v>
      </c>
      <c r="K93" s="2"/>
      <c r="L93" s="6">
        <f t="shared" si="32"/>
        <v>-188.61</v>
      </c>
      <c r="M93" s="2"/>
      <c r="N93" s="7">
        <f t="shared" si="33"/>
        <v>-0.32518965517241383</v>
      </c>
      <c r="O93" s="11"/>
      <c r="P93" s="6">
        <v>11033.71</v>
      </c>
      <c r="Q93" s="2"/>
      <c r="R93" s="7">
        <f t="shared" si="34"/>
        <v>2.0819756925119209E-2</v>
      </c>
      <c r="S93" s="2"/>
      <c r="T93" s="6">
        <v>1740</v>
      </c>
      <c r="U93" s="2"/>
      <c r="V93" s="7">
        <f t="shared" si="35"/>
        <v>2.1713250323826924E-3</v>
      </c>
      <c r="W93" s="2"/>
      <c r="X93" s="6">
        <f t="shared" si="36"/>
        <v>9293.7099999999991</v>
      </c>
      <c r="Y93" s="2"/>
      <c r="Z93" s="7">
        <f t="shared" si="37"/>
        <v>5.3412126436781602</v>
      </c>
    </row>
    <row r="94" spans="1:26" s="28" customFormat="1" outlineLevel="1" collapsed="1" x14ac:dyDescent="0.25">
      <c r="A94" s="27"/>
      <c r="B94" s="14" t="str">
        <f>CONCATENATE("     ","Bad Debts/Over/Short                              ")</f>
        <v xml:space="preserve">     Bad Debts/Over/Short                              </v>
      </c>
      <c r="C94" s="14"/>
      <c r="D94" s="1">
        <f>SUM(OSRRefD22_3x_0)</f>
        <v>0</v>
      </c>
      <c r="E94" s="1"/>
      <c r="F94" s="5">
        <f t="shared" si="30"/>
        <v>0</v>
      </c>
      <c r="G94" s="1"/>
      <c r="H94" s="1">
        <f>SUM(OSRRefH22_3x_0)</f>
        <v>0</v>
      </c>
      <c r="I94" s="1"/>
      <c r="J94" s="5">
        <f t="shared" si="31"/>
        <v>0</v>
      </c>
      <c r="K94" s="1"/>
      <c r="L94" s="1">
        <f t="shared" si="32"/>
        <v>0</v>
      </c>
      <c r="M94" s="1"/>
      <c r="N94" s="5">
        <f t="shared" si="33"/>
        <v>0</v>
      </c>
      <c r="O94" s="14"/>
      <c r="P94" s="1">
        <f>SUM(OSRRefP22_3x_0)</f>
        <v>0</v>
      </c>
      <c r="Q94" s="1"/>
      <c r="R94" s="5">
        <f t="shared" si="34"/>
        <v>0</v>
      </c>
      <c r="S94" s="1"/>
      <c r="T94" s="1">
        <f>SUM(OSRRefT22_3x_0)</f>
        <v>0</v>
      </c>
      <c r="U94" s="1"/>
      <c r="V94" s="5">
        <f t="shared" si="35"/>
        <v>0</v>
      </c>
      <c r="W94" s="1"/>
      <c r="X94" s="1">
        <f t="shared" si="36"/>
        <v>0</v>
      </c>
      <c r="Y94" s="1"/>
      <c r="Z94" s="5">
        <f t="shared" si="37"/>
        <v>0</v>
      </c>
    </row>
    <row r="95" spans="1:26" s="24" customFormat="1" hidden="1" outlineLevel="2" x14ac:dyDescent="0.25">
      <c r="A95" s="29"/>
      <c r="B95" s="11" t="str">
        <f>CONCATENATE("          ", "6272", " - ", "CASH (OVER/SHORT)")</f>
        <v xml:space="preserve">          6272 - CASH (OVER/SHORT)</v>
      </c>
      <c r="C95" s="11"/>
      <c r="D95" s="6"/>
      <c r="E95" s="2"/>
      <c r="F95" s="7">
        <f t="shared" si="30"/>
        <v>0</v>
      </c>
      <c r="G95" s="2"/>
      <c r="H95" s="6">
        <v>0</v>
      </c>
      <c r="I95" s="2"/>
      <c r="J95" s="7">
        <f t="shared" si="31"/>
        <v>0</v>
      </c>
      <c r="K95" s="2"/>
      <c r="L95" s="6">
        <f t="shared" si="32"/>
        <v>0</v>
      </c>
      <c r="M95" s="2"/>
      <c r="N95" s="7">
        <f t="shared" si="33"/>
        <v>0</v>
      </c>
      <c r="O95" s="11"/>
      <c r="P95" s="6"/>
      <c r="Q95" s="2"/>
      <c r="R95" s="7">
        <f t="shared" si="34"/>
        <v>0</v>
      </c>
      <c r="S95" s="2"/>
      <c r="T95" s="6">
        <v>0</v>
      </c>
      <c r="U95" s="2"/>
      <c r="V95" s="7">
        <f t="shared" si="35"/>
        <v>0</v>
      </c>
      <c r="W95" s="2"/>
      <c r="X95" s="6">
        <f t="shared" si="36"/>
        <v>0</v>
      </c>
      <c r="Y95" s="2"/>
      <c r="Z95" s="7">
        <f t="shared" si="37"/>
        <v>0</v>
      </c>
    </row>
    <row r="96" spans="1:26" s="28" customFormat="1" outlineLevel="1" collapsed="1" x14ac:dyDescent="0.25">
      <c r="A96" s="27"/>
      <c r="B96" s="14" t="str">
        <f>CONCATENATE("     ","Bank/card Fees                                    ")</f>
        <v xml:space="preserve">     Bank/card Fees                                    </v>
      </c>
      <c r="C96" s="14"/>
      <c r="D96" s="1">
        <f>SUM(OSRRefD22_4x_0)</f>
        <v>0</v>
      </c>
      <c r="E96" s="1"/>
      <c r="F96" s="5">
        <f t="shared" si="30"/>
        <v>0</v>
      </c>
      <c r="G96" s="1"/>
      <c r="H96" s="1">
        <f>SUM(OSRRefH22_4x_0)</f>
        <v>0</v>
      </c>
      <c r="I96" s="1"/>
      <c r="J96" s="5">
        <f t="shared" si="31"/>
        <v>0</v>
      </c>
      <c r="K96" s="1"/>
      <c r="L96" s="1">
        <f t="shared" si="32"/>
        <v>0</v>
      </c>
      <c r="M96" s="1"/>
      <c r="N96" s="5">
        <f t="shared" si="33"/>
        <v>0</v>
      </c>
      <c r="O96" s="14"/>
      <c r="P96" s="1">
        <f>SUM(OSRRefP22_4x_0)</f>
        <v>0</v>
      </c>
      <c r="Q96" s="1"/>
      <c r="R96" s="5">
        <f t="shared" si="34"/>
        <v>0</v>
      </c>
      <c r="S96" s="1"/>
      <c r="T96" s="1">
        <f>SUM(OSRRefT22_4x_0)</f>
        <v>0</v>
      </c>
      <c r="U96" s="1"/>
      <c r="V96" s="5">
        <f t="shared" si="35"/>
        <v>0</v>
      </c>
      <c r="W96" s="1"/>
      <c r="X96" s="1">
        <f t="shared" si="36"/>
        <v>0</v>
      </c>
      <c r="Y96" s="1"/>
      <c r="Z96" s="5">
        <f t="shared" si="37"/>
        <v>0</v>
      </c>
    </row>
    <row r="97" spans="1:26" s="24" customFormat="1" hidden="1" outlineLevel="2" x14ac:dyDescent="0.25">
      <c r="A97" s="29"/>
      <c r="B97" s="11" t="str">
        <f>CONCATENATE("          ", "6381", " - ", "BANK/CREDIT CARD FEES")</f>
        <v xml:space="preserve">          6381 - BANK/CREDIT CARD FEES</v>
      </c>
      <c r="C97" s="11"/>
      <c r="D97" s="6"/>
      <c r="E97" s="2"/>
      <c r="F97" s="7">
        <f t="shared" si="30"/>
        <v>0</v>
      </c>
      <c r="G97" s="2"/>
      <c r="H97" s="6">
        <v>0</v>
      </c>
      <c r="I97" s="2"/>
      <c r="J97" s="7">
        <f t="shared" si="31"/>
        <v>0</v>
      </c>
      <c r="K97" s="2"/>
      <c r="L97" s="6">
        <f t="shared" si="32"/>
        <v>0</v>
      </c>
      <c r="M97" s="2"/>
      <c r="N97" s="7">
        <f t="shared" si="33"/>
        <v>0</v>
      </c>
      <c r="O97" s="11"/>
      <c r="P97" s="6"/>
      <c r="Q97" s="2"/>
      <c r="R97" s="7">
        <f t="shared" si="34"/>
        <v>0</v>
      </c>
      <c r="S97" s="2"/>
      <c r="T97" s="6">
        <v>0</v>
      </c>
      <c r="U97" s="2"/>
      <c r="V97" s="7">
        <f t="shared" si="35"/>
        <v>0</v>
      </c>
      <c r="W97" s="2"/>
      <c r="X97" s="6">
        <f t="shared" si="36"/>
        <v>0</v>
      </c>
      <c r="Y97" s="2"/>
      <c r="Z97" s="7">
        <f t="shared" si="37"/>
        <v>0</v>
      </c>
    </row>
    <row r="98" spans="1:26" s="28" customFormat="1" outlineLevel="1" collapsed="1" x14ac:dyDescent="0.25">
      <c r="A98" s="27"/>
      <c r="B98" s="14" t="str">
        <f>CONCATENATE("     ","Discounts and Markdowns                           ")</f>
        <v xml:space="preserve">     Discounts and Markdowns                           </v>
      </c>
      <c r="C98" s="14"/>
      <c r="D98" s="1">
        <f>SUM(OSRRefD22_5x_0)</f>
        <v>0</v>
      </c>
      <c r="E98" s="1"/>
      <c r="F98" s="5">
        <f t="shared" si="30"/>
        <v>0</v>
      </c>
      <c r="G98" s="1"/>
      <c r="H98" s="1">
        <f>SUM(OSRRefH22_5x_0)</f>
        <v>23328</v>
      </c>
      <c r="I98" s="1"/>
      <c r="J98" s="5">
        <f t="shared" si="31"/>
        <v>7.4998553268648363E-2</v>
      </c>
      <c r="K98" s="1"/>
      <c r="L98" s="1">
        <f t="shared" si="32"/>
        <v>-23328</v>
      </c>
      <c r="M98" s="1"/>
      <c r="N98" s="5">
        <f t="shared" si="33"/>
        <v>-1</v>
      </c>
      <c r="O98" s="14"/>
      <c r="P98" s="1">
        <f>SUM(OSRRefP22_5x_0)</f>
        <v>0</v>
      </c>
      <c r="Q98" s="1"/>
      <c r="R98" s="5">
        <f t="shared" si="34"/>
        <v>0</v>
      </c>
      <c r="S98" s="1"/>
      <c r="T98" s="1">
        <f>SUM(OSRRefT22_5x_0)</f>
        <v>60100.999999999993</v>
      </c>
      <c r="U98" s="1"/>
      <c r="V98" s="5">
        <f t="shared" si="35"/>
        <v>7.4999313661627681E-2</v>
      </c>
      <c r="W98" s="1"/>
      <c r="X98" s="1">
        <f t="shared" si="36"/>
        <v>-60100.999999999993</v>
      </c>
      <c r="Y98" s="1"/>
      <c r="Z98" s="5">
        <f t="shared" si="37"/>
        <v>-1</v>
      </c>
    </row>
    <row r="99" spans="1:26" s="24" customFormat="1" hidden="1" outlineLevel="2" x14ac:dyDescent="0.25">
      <c r="A99" s="29"/>
      <c r="B99" s="11" t="str">
        <f>CONCATENATE("          ", "6382", " - ", "DISCOUNTS/MARK DOWNS")</f>
        <v xml:space="preserve">          6382 - DISCOUNTS/MARK DOWNS</v>
      </c>
      <c r="C99" s="11"/>
      <c r="D99" s="6"/>
      <c r="E99" s="2"/>
      <c r="F99" s="7">
        <f t="shared" si="30"/>
        <v>0</v>
      </c>
      <c r="G99" s="2"/>
      <c r="H99" s="6">
        <v>23328</v>
      </c>
      <c r="I99" s="2"/>
      <c r="J99" s="7">
        <f t="shared" si="31"/>
        <v>7.4998553268648363E-2</v>
      </c>
      <c r="K99" s="2"/>
      <c r="L99" s="6">
        <f t="shared" si="32"/>
        <v>-23328</v>
      </c>
      <c r="M99" s="2"/>
      <c r="N99" s="7">
        <f t="shared" si="33"/>
        <v>-1</v>
      </c>
      <c r="O99" s="11"/>
      <c r="P99" s="6"/>
      <c r="Q99" s="2"/>
      <c r="R99" s="7">
        <f t="shared" si="34"/>
        <v>0</v>
      </c>
      <c r="S99" s="2"/>
      <c r="T99" s="6">
        <v>60100.999999999993</v>
      </c>
      <c r="U99" s="2"/>
      <c r="V99" s="7">
        <f t="shared" si="35"/>
        <v>7.4999313661627681E-2</v>
      </c>
      <c r="W99" s="2"/>
      <c r="X99" s="6">
        <f t="shared" si="36"/>
        <v>-60100.999999999993</v>
      </c>
      <c r="Y99" s="2"/>
      <c r="Z99" s="7">
        <f t="shared" si="37"/>
        <v>-1</v>
      </c>
    </row>
    <row r="100" spans="1:26" s="28" customFormat="1" outlineLevel="1" collapsed="1" x14ac:dyDescent="0.25">
      <c r="A100" s="27"/>
      <c r="B100" s="14" t="str">
        <f>CONCATENATE("     ","Employees' Appreciation                           ")</f>
        <v xml:space="preserve">     Employees' Appreciation                           </v>
      </c>
      <c r="C100" s="14"/>
      <c r="D100" s="1">
        <f>SUM(OSRRefD22_6x_0)</f>
        <v>0</v>
      </c>
      <c r="E100" s="1"/>
      <c r="F100" s="5">
        <f t="shared" si="30"/>
        <v>0</v>
      </c>
      <c r="G100" s="1"/>
      <c r="H100" s="1">
        <f>SUM(OSRRefH22_6x_0)</f>
        <v>150</v>
      </c>
      <c r="I100" s="1"/>
      <c r="J100" s="5">
        <f t="shared" si="31"/>
        <v>4.8224378387762582E-4</v>
      </c>
      <c r="K100" s="1"/>
      <c r="L100" s="1">
        <f t="shared" si="32"/>
        <v>-150</v>
      </c>
      <c r="M100" s="1"/>
      <c r="N100" s="5">
        <f t="shared" si="33"/>
        <v>-1</v>
      </c>
      <c r="O100" s="14"/>
      <c r="P100" s="1">
        <f>SUM(OSRRefP22_6x_0)</f>
        <v>0</v>
      </c>
      <c r="Q100" s="1"/>
      <c r="R100" s="5">
        <f t="shared" si="34"/>
        <v>0</v>
      </c>
      <c r="S100" s="1"/>
      <c r="T100" s="1">
        <f>SUM(OSRRefT22_6x_0)</f>
        <v>450</v>
      </c>
      <c r="U100" s="1"/>
      <c r="V100" s="5">
        <f t="shared" si="35"/>
        <v>5.6154957734035147E-4</v>
      </c>
      <c r="W100" s="1"/>
      <c r="X100" s="1">
        <f t="shared" si="36"/>
        <v>-450</v>
      </c>
      <c r="Y100" s="1"/>
      <c r="Z100" s="5">
        <f t="shared" si="37"/>
        <v>-1</v>
      </c>
    </row>
    <row r="101" spans="1:26" s="24" customFormat="1" hidden="1" outlineLevel="2" x14ac:dyDescent="0.25">
      <c r="A101" s="29"/>
      <c r="B101" s="11" t="str">
        <f>CONCATENATE("          ", "6277", " - ", "EMPLOYEE APPRECIATION")</f>
        <v xml:space="preserve">          6277 - EMPLOYEE APPRECIATION</v>
      </c>
      <c r="C101" s="11"/>
      <c r="D101" s="6"/>
      <c r="E101" s="2"/>
      <c r="F101" s="7">
        <f t="shared" si="30"/>
        <v>0</v>
      </c>
      <c r="G101" s="2"/>
      <c r="H101" s="6">
        <v>150</v>
      </c>
      <c r="I101" s="2"/>
      <c r="J101" s="7">
        <f t="shared" si="31"/>
        <v>4.8224378387762582E-4</v>
      </c>
      <c r="K101" s="2"/>
      <c r="L101" s="6">
        <f t="shared" si="32"/>
        <v>-150</v>
      </c>
      <c r="M101" s="2"/>
      <c r="N101" s="7">
        <f t="shared" si="33"/>
        <v>-1</v>
      </c>
      <c r="O101" s="11"/>
      <c r="P101" s="6"/>
      <c r="Q101" s="2"/>
      <c r="R101" s="7">
        <f t="shared" si="34"/>
        <v>0</v>
      </c>
      <c r="S101" s="2"/>
      <c r="T101" s="6">
        <v>450</v>
      </c>
      <c r="U101" s="2"/>
      <c r="V101" s="7">
        <f t="shared" si="35"/>
        <v>5.6154957734035147E-4</v>
      </c>
      <c r="W101" s="2"/>
      <c r="X101" s="6">
        <f t="shared" si="36"/>
        <v>-450</v>
      </c>
      <c r="Y101" s="2"/>
      <c r="Z101" s="7">
        <f t="shared" si="37"/>
        <v>-1</v>
      </c>
    </row>
    <row r="102" spans="1:26" s="28" customFormat="1" outlineLevel="1" collapsed="1" x14ac:dyDescent="0.25">
      <c r="A102" s="27"/>
      <c r="B102" s="14" t="str">
        <f>CONCATENATE("     ","Freight out/Postage                               ")</f>
        <v xml:space="preserve">     Freight out/Postage                               </v>
      </c>
      <c r="C102" s="14"/>
      <c r="D102" s="1">
        <f>SUM(OSRRefD22_7x_0)</f>
        <v>30.66</v>
      </c>
      <c r="E102" s="1"/>
      <c r="F102" s="5">
        <f t="shared" si="30"/>
        <v>3.2686089766066314E-4</v>
      </c>
      <c r="G102" s="1"/>
      <c r="H102" s="1">
        <f>SUM(OSRRefH22_7x_0)</f>
        <v>10</v>
      </c>
      <c r="I102" s="1"/>
      <c r="J102" s="5">
        <f t="shared" si="31"/>
        <v>3.2149585591841721E-5</v>
      </c>
      <c r="K102" s="1"/>
      <c r="L102" s="1">
        <f t="shared" si="32"/>
        <v>20.66</v>
      </c>
      <c r="M102" s="1"/>
      <c r="N102" s="5">
        <f t="shared" si="33"/>
        <v>2.0659999999999998</v>
      </c>
      <c r="O102" s="14"/>
      <c r="P102" s="1">
        <f>SUM(OSRRefP22_7x_0)</f>
        <v>81.11</v>
      </c>
      <c r="Q102" s="1"/>
      <c r="R102" s="5">
        <f t="shared" si="34"/>
        <v>1.5304829329359021E-4</v>
      </c>
      <c r="S102" s="1"/>
      <c r="T102" s="1">
        <f>SUM(OSRRefT22_7x_0)</f>
        <v>30</v>
      </c>
      <c r="U102" s="1"/>
      <c r="V102" s="5">
        <f t="shared" si="35"/>
        <v>3.7436638489356762E-5</v>
      </c>
      <c r="W102" s="1"/>
      <c r="X102" s="1">
        <f t="shared" si="36"/>
        <v>51.11</v>
      </c>
      <c r="Y102" s="1"/>
      <c r="Z102" s="5">
        <f t="shared" si="37"/>
        <v>1.7036666666666667</v>
      </c>
    </row>
    <row r="103" spans="1:26" s="24" customFormat="1" hidden="1" outlineLevel="2" x14ac:dyDescent="0.25">
      <c r="A103" s="29"/>
      <c r="B103" s="11" t="str">
        <f>CONCATENATE("          ", "6305", " - ", "FREIGHT OUT")</f>
        <v xml:space="preserve">          6305 - FREIGHT OUT</v>
      </c>
      <c r="C103" s="11"/>
      <c r="D103" s="6">
        <v>30.66</v>
      </c>
      <c r="E103" s="2"/>
      <c r="F103" s="7">
        <f t="shared" si="30"/>
        <v>3.2686089766066314E-4</v>
      </c>
      <c r="G103" s="2"/>
      <c r="H103" s="6"/>
      <c r="I103" s="2"/>
      <c r="J103" s="7">
        <f t="shared" si="31"/>
        <v>0</v>
      </c>
      <c r="K103" s="2"/>
      <c r="L103" s="6">
        <f t="shared" si="32"/>
        <v>30.66</v>
      </c>
      <c r="M103" s="2"/>
      <c r="N103" s="7">
        <f t="shared" si="33"/>
        <v>0</v>
      </c>
      <c r="O103" s="11"/>
      <c r="P103" s="6">
        <v>81.11</v>
      </c>
      <c r="Q103" s="2"/>
      <c r="R103" s="7">
        <f t="shared" si="34"/>
        <v>1.5304829329359021E-4</v>
      </c>
      <c r="S103" s="2"/>
      <c r="T103" s="6"/>
      <c r="U103" s="2"/>
      <c r="V103" s="7">
        <f t="shared" si="35"/>
        <v>0</v>
      </c>
      <c r="W103" s="2"/>
      <c r="X103" s="6">
        <f t="shared" si="36"/>
        <v>81.11</v>
      </c>
      <c r="Y103" s="2"/>
      <c r="Z103" s="7">
        <f t="shared" si="37"/>
        <v>0</v>
      </c>
    </row>
    <row r="104" spans="1:26" s="24" customFormat="1" hidden="1" outlineLevel="2" x14ac:dyDescent="0.25">
      <c r="A104" s="29"/>
      <c r="B104" s="11" t="str">
        <f>CONCATENATE("          ", "6307", " - ", "POSTAGE")</f>
        <v xml:space="preserve">          6307 - POSTAGE</v>
      </c>
      <c r="C104" s="11"/>
      <c r="D104" s="6"/>
      <c r="E104" s="2"/>
      <c r="F104" s="7">
        <f t="shared" si="30"/>
        <v>0</v>
      </c>
      <c r="G104" s="2"/>
      <c r="H104" s="6">
        <v>10</v>
      </c>
      <c r="I104" s="2"/>
      <c r="J104" s="7">
        <f t="shared" si="31"/>
        <v>3.2149585591841721E-5</v>
      </c>
      <c r="K104" s="2"/>
      <c r="L104" s="6">
        <f t="shared" si="32"/>
        <v>-10</v>
      </c>
      <c r="M104" s="2"/>
      <c r="N104" s="7">
        <f t="shared" si="33"/>
        <v>-1</v>
      </c>
      <c r="O104" s="11"/>
      <c r="P104" s="6"/>
      <c r="Q104" s="2"/>
      <c r="R104" s="7">
        <f t="shared" si="34"/>
        <v>0</v>
      </c>
      <c r="S104" s="2"/>
      <c r="T104" s="6">
        <v>30</v>
      </c>
      <c r="U104" s="2"/>
      <c r="V104" s="7">
        <f t="shared" si="35"/>
        <v>3.7436638489356762E-5</v>
      </c>
      <c r="W104" s="2"/>
      <c r="X104" s="6">
        <f t="shared" si="36"/>
        <v>-30</v>
      </c>
      <c r="Y104" s="2"/>
      <c r="Z104" s="7">
        <f t="shared" si="37"/>
        <v>-1</v>
      </c>
    </row>
    <row r="105" spans="1:26" s="28" customFormat="1" outlineLevel="1" collapsed="1" x14ac:dyDescent="0.25">
      <c r="A105" s="27"/>
      <c r="B105" s="14" t="str">
        <f>CONCATENATE("     ","General                                           ")</f>
        <v xml:space="preserve">     General                                           </v>
      </c>
      <c r="C105" s="14"/>
      <c r="D105" s="1">
        <f>SUM(OSRRefD22_8x_0)</f>
        <v>0</v>
      </c>
      <c r="E105" s="1"/>
      <c r="F105" s="5">
        <f t="shared" ref="F105:F116" si="38">IF(D$12=0,0,D105/D$12)</f>
        <v>0</v>
      </c>
      <c r="G105" s="1"/>
      <c r="H105" s="1">
        <f>SUM(OSRRefH22_8x_0)</f>
        <v>0</v>
      </c>
      <c r="I105" s="1"/>
      <c r="J105" s="5">
        <f t="shared" ref="J105:J116" si="39">IF(H$12=0,0,H105/H$12)</f>
        <v>0</v>
      </c>
      <c r="K105" s="1"/>
      <c r="L105" s="1">
        <f t="shared" ref="L105:L116" si="40">+D105-H105</f>
        <v>0</v>
      </c>
      <c r="M105" s="1"/>
      <c r="N105" s="5">
        <f t="shared" ref="N105:N116" si="41">IF(H105=0,0,L105/H105)</f>
        <v>0</v>
      </c>
      <c r="O105" s="14"/>
      <c r="P105" s="1">
        <f>SUM(OSRRefP22_8x_0)</f>
        <v>0</v>
      </c>
      <c r="Q105" s="1"/>
      <c r="R105" s="5">
        <f t="shared" ref="R105:R116" si="42">IF(P$12=0,0,P105/P$12)</f>
        <v>0</v>
      </c>
      <c r="S105" s="1"/>
      <c r="T105" s="1">
        <f>SUM(OSRRefT22_8x_0)</f>
        <v>0</v>
      </c>
      <c r="U105" s="1"/>
      <c r="V105" s="5">
        <f t="shared" ref="V105:V116" si="43">IF(T$12=0,0,T105/T$12)</f>
        <v>0</v>
      </c>
      <c r="W105" s="1"/>
      <c r="X105" s="1">
        <f t="shared" ref="X105:X116" si="44">+P105-T105</f>
        <v>0</v>
      </c>
      <c r="Y105" s="1"/>
      <c r="Z105" s="5">
        <f t="shared" ref="Z105:Z116" si="45">IF(T105=0,0,X105/T105)</f>
        <v>0</v>
      </c>
    </row>
    <row r="106" spans="1:26" s="24" customFormat="1" hidden="1" outlineLevel="2" x14ac:dyDescent="0.25">
      <c r="A106" s="29"/>
      <c r="B106" s="11" t="str">
        <f>CONCATENATE("          ", "6279", " - ", "GENERAL EXPENSE")</f>
        <v xml:space="preserve">          6279 - GENERAL EXPENSE</v>
      </c>
      <c r="C106" s="11"/>
      <c r="D106" s="6"/>
      <c r="E106" s="2"/>
      <c r="F106" s="7">
        <f t="shared" si="38"/>
        <v>0</v>
      </c>
      <c r="G106" s="2"/>
      <c r="H106" s="6">
        <v>0</v>
      </c>
      <c r="I106" s="2"/>
      <c r="J106" s="7">
        <f t="shared" si="39"/>
        <v>0</v>
      </c>
      <c r="K106" s="2"/>
      <c r="L106" s="6">
        <f t="shared" si="40"/>
        <v>0</v>
      </c>
      <c r="M106" s="2"/>
      <c r="N106" s="7">
        <f t="shared" si="41"/>
        <v>0</v>
      </c>
      <c r="O106" s="11"/>
      <c r="P106" s="6"/>
      <c r="Q106" s="2"/>
      <c r="R106" s="7">
        <f t="shared" si="42"/>
        <v>0</v>
      </c>
      <c r="S106" s="2"/>
      <c r="T106" s="6">
        <v>0</v>
      </c>
      <c r="U106" s="2"/>
      <c r="V106" s="7">
        <f t="shared" si="43"/>
        <v>0</v>
      </c>
      <c r="W106" s="2"/>
      <c r="X106" s="6">
        <f t="shared" si="44"/>
        <v>0</v>
      </c>
      <c r="Y106" s="2"/>
      <c r="Z106" s="7">
        <f t="shared" si="45"/>
        <v>0</v>
      </c>
    </row>
    <row r="107" spans="1:26" s="28" customFormat="1" outlineLevel="1" collapsed="1" x14ac:dyDescent="0.25">
      <c r="A107" s="27"/>
      <c r="B107" s="14" t="str">
        <f>CONCATENATE("     ","Inventory Adjustment                              ")</f>
        <v xml:space="preserve">     Inventory Adjustment                              </v>
      </c>
      <c r="C107" s="14"/>
      <c r="D107" s="1">
        <f>SUM(OSRRefD22_9x_0)</f>
        <v>1000</v>
      </c>
      <c r="E107" s="1"/>
      <c r="F107" s="5">
        <f t="shared" si="38"/>
        <v>1.0660825103087513E-2</v>
      </c>
      <c r="G107" s="1"/>
      <c r="H107" s="1">
        <f>SUM(OSRRefH22_9x_0)</f>
        <v>1000</v>
      </c>
      <c r="I107" s="1"/>
      <c r="J107" s="5">
        <f t="shared" si="39"/>
        <v>3.214958559184172E-3</v>
      </c>
      <c r="K107" s="1"/>
      <c r="L107" s="1">
        <f t="shared" si="40"/>
        <v>0</v>
      </c>
      <c r="M107" s="1"/>
      <c r="N107" s="5">
        <f t="shared" si="41"/>
        <v>0</v>
      </c>
      <c r="O107" s="14"/>
      <c r="P107" s="1">
        <f>SUM(OSRRefP22_9x_0)</f>
        <v>3000</v>
      </c>
      <c r="Q107" s="1"/>
      <c r="R107" s="5">
        <f t="shared" si="42"/>
        <v>5.6607678446649072E-3</v>
      </c>
      <c r="S107" s="1"/>
      <c r="T107" s="1">
        <f>SUM(OSRRefT22_9x_0)</f>
        <v>3000</v>
      </c>
      <c r="U107" s="1"/>
      <c r="V107" s="5">
        <f t="shared" si="43"/>
        <v>3.7436638489356765E-3</v>
      </c>
      <c r="W107" s="1"/>
      <c r="X107" s="1">
        <f t="shared" si="44"/>
        <v>0</v>
      </c>
      <c r="Y107" s="1"/>
      <c r="Z107" s="5">
        <f t="shared" si="45"/>
        <v>0</v>
      </c>
    </row>
    <row r="108" spans="1:26" s="24" customFormat="1" hidden="1" outlineLevel="2" x14ac:dyDescent="0.25">
      <c r="A108" s="29"/>
      <c r="B108" s="11" t="str">
        <f>CONCATENATE("          ", "6408", " - ", "INVENTORY ADJUSTMENT")</f>
        <v xml:space="preserve">          6408 - INVENTORY ADJUSTMENT</v>
      </c>
      <c r="C108" s="11"/>
      <c r="D108" s="6">
        <v>1000</v>
      </c>
      <c r="E108" s="2"/>
      <c r="F108" s="7">
        <f t="shared" si="38"/>
        <v>1.0660825103087513E-2</v>
      </c>
      <c r="G108" s="2"/>
      <c r="H108" s="6">
        <v>1000</v>
      </c>
      <c r="I108" s="2"/>
      <c r="J108" s="7">
        <f t="shared" si="39"/>
        <v>3.214958559184172E-3</v>
      </c>
      <c r="K108" s="2"/>
      <c r="L108" s="6">
        <f t="shared" si="40"/>
        <v>0</v>
      </c>
      <c r="M108" s="2"/>
      <c r="N108" s="7">
        <f t="shared" si="41"/>
        <v>0</v>
      </c>
      <c r="O108" s="11"/>
      <c r="P108" s="6">
        <v>3000</v>
      </c>
      <c r="Q108" s="2"/>
      <c r="R108" s="7">
        <f t="shared" si="42"/>
        <v>5.6607678446649072E-3</v>
      </c>
      <c r="S108" s="2"/>
      <c r="T108" s="6">
        <v>3000</v>
      </c>
      <c r="U108" s="2"/>
      <c r="V108" s="7">
        <f t="shared" si="43"/>
        <v>3.7436638489356765E-3</v>
      </c>
      <c r="W108" s="2"/>
      <c r="X108" s="6">
        <f t="shared" si="44"/>
        <v>0</v>
      </c>
      <c r="Y108" s="2"/>
      <c r="Z108" s="7">
        <f t="shared" si="45"/>
        <v>0</v>
      </c>
    </row>
    <row r="109" spans="1:26" s="28" customFormat="1" outlineLevel="1" collapsed="1" x14ac:dyDescent="0.25">
      <c r="A109" s="27"/>
      <c r="B109" s="14" t="str">
        <f>CONCATENATE("     ","Professional Services                             ")</f>
        <v xml:space="preserve">     Professional Services                             </v>
      </c>
      <c r="C109" s="14"/>
      <c r="D109" s="1">
        <f>SUM(OSRRefD22_10x_0)</f>
        <v>0</v>
      </c>
      <c r="E109" s="1"/>
      <c r="F109" s="5">
        <f t="shared" si="38"/>
        <v>0</v>
      </c>
      <c r="G109" s="1"/>
      <c r="H109" s="1">
        <f>SUM(OSRRefH22_10x_0)</f>
        <v>0</v>
      </c>
      <c r="I109" s="1"/>
      <c r="J109" s="5">
        <f t="shared" si="39"/>
        <v>0</v>
      </c>
      <c r="K109" s="1"/>
      <c r="L109" s="1">
        <f t="shared" si="40"/>
        <v>0</v>
      </c>
      <c r="M109" s="1"/>
      <c r="N109" s="5">
        <f t="shared" si="41"/>
        <v>0</v>
      </c>
      <c r="O109" s="14"/>
      <c r="P109" s="1">
        <f>SUM(OSRRefP22_10x_0)</f>
        <v>0</v>
      </c>
      <c r="Q109" s="1"/>
      <c r="R109" s="5">
        <f t="shared" si="42"/>
        <v>0</v>
      </c>
      <c r="S109" s="1"/>
      <c r="T109" s="1">
        <f>SUM(OSRRefT22_10x_0)</f>
        <v>5000</v>
      </c>
      <c r="U109" s="1"/>
      <c r="V109" s="5">
        <f t="shared" si="43"/>
        <v>6.2394397482261272E-3</v>
      </c>
      <c r="W109" s="1"/>
      <c r="X109" s="1">
        <f t="shared" si="44"/>
        <v>-5000</v>
      </c>
      <c r="Y109" s="1"/>
      <c r="Z109" s="5">
        <f t="shared" si="45"/>
        <v>-1</v>
      </c>
    </row>
    <row r="110" spans="1:26" s="24" customFormat="1" hidden="1" outlineLevel="2" x14ac:dyDescent="0.25">
      <c r="A110" s="29"/>
      <c r="B110" s="11" t="str">
        <f>CONCATENATE("          ", "6336", " - ", "PROFESSIONAL SERVICES")</f>
        <v xml:space="preserve">          6336 - PROFESSIONAL SERVICES</v>
      </c>
      <c r="C110" s="11"/>
      <c r="D110" s="6"/>
      <c r="E110" s="2"/>
      <c r="F110" s="7">
        <f t="shared" si="38"/>
        <v>0</v>
      </c>
      <c r="G110" s="2"/>
      <c r="H110" s="6">
        <v>0</v>
      </c>
      <c r="I110" s="2"/>
      <c r="J110" s="7">
        <f t="shared" si="39"/>
        <v>0</v>
      </c>
      <c r="K110" s="2"/>
      <c r="L110" s="6">
        <f t="shared" si="40"/>
        <v>0</v>
      </c>
      <c r="M110" s="2"/>
      <c r="N110" s="7">
        <f t="shared" si="41"/>
        <v>0</v>
      </c>
      <c r="O110" s="11"/>
      <c r="P110" s="6"/>
      <c r="Q110" s="2"/>
      <c r="R110" s="7">
        <f t="shared" si="42"/>
        <v>0</v>
      </c>
      <c r="S110" s="2"/>
      <c r="T110" s="6">
        <v>5000</v>
      </c>
      <c r="U110" s="2"/>
      <c r="V110" s="7">
        <f t="shared" si="43"/>
        <v>6.2394397482261272E-3</v>
      </c>
      <c r="W110" s="2"/>
      <c r="X110" s="6">
        <f t="shared" si="44"/>
        <v>-5000</v>
      </c>
      <c r="Y110" s="2"/>
      <c r="Z110" s="7">
        <f t="shared" si="45"/>
        <v>-1</v>
      </c>
    </row>
    <row r="111" spans="1:26" s="28" customFormat="1" outlineLevel="1" collapsed="1" x14ac:dyDescent="0.25">
      <c r="A111" s="27"/>
      <c r="B111" s="14" t="str">
        <f>CONCATENATE("     ","Repair and Maintenance                            ")</f>
        <v xml:space="preserve">     Repair and Maintenance                            </v>
      </c>
      <c r="C111" s="14"/>
      <c r="D111" s="1">
        <f>SUM(OSRRefD22_11x_0)</f>
        <v>0</v>
      </c>
      <c r="E111" s="1"/>
      <c r="F111" s="5">
        <f t="shared" si="38"/>
        <v>0</v>
      </c>
      <c r="G111" s="1"/>
      <c r="H111" s="1">
        <f>SUM(OSRRefH22_11x_0)</f>
        <v>50</v>
      </c>
      <c r="I111" s="1"/>
      <c r="J111" s="5">
        <f t="shared" si="39"/>
        <v>1.6074792795920862E-4</v>
      </c>
      <c r="K111" s="1"/>
      <c r="L111" s="1">
        <f t="shared" si="40"/>
        <v>-50</v>
      </c>
      <c r="M111" s="1"/>
      <c r="N111" s="5">
        <f t="shared" si="41"/>
        <v>-1</v>
      </c>
      <c r="O111" s="14"/>
      <c r="P111" s="1">
        <f>SUM(OSRRefP22_11x_0)</f>
        <v>0</v>
      </c>
      <c r="Q111" s="1"/>
      <c r="R111" s="5">
        <f t="shared" si="42"/>
        <v>0</v>
      </c>
      <c r="S111" s="1"/>
      <c r="T111" s="1">
        <f>SUM(OSRRefT22_11x_0)</f>
        <v>400</v>
      </c>
      <c r="U111" s="1"/>
      <c r="V111" s="5">
        <f t="shared" si="43"/>
        <v>4.9915517985809016E-4</v>
      </c>
      <c r="W111" s="1"/>
      <c r="X111" s="1">
        <f t="shared" si="44"/>
        <v>-400</v>
      </c>
      <c r="Y111" s="1"/>
      <c r="Z111" s="5">
        <f t="shared" si="45"/>
        <v>-1</v>
      </c>
    </row>
    <row r="112" spans="1:26" s="24" customFormat="1" hidden="1" outlineLevel="2" x14ac:dyDescent="0.25">
      <c r="A112" s="29"/>
      <c r="B112" s="11" t="str">
        <f>CONCATENATE("          ", "6375", " - ", "OUTSIDE REPAIRS &amp; MAINTENANCE")</f>
        <v xml:space="preserve">          6375 - OUTSIDE REPAIRS &amp; MAINTENANCE</v>
      </c>
      <c r="C112" s="11"/>
      <c r="D112" s="6"/>
      <c r="E112" s="2"/>
      <c r="F112" s="7">
        <f t="shared" si="38"/>
        <v>0</v>
      </c>
      <c r="G112" s="2"/>
      <c r="H112" s="6">
        <v>50</v>
      </c>
      <c r="I112" s="2"/>
      <c r="J112" s="7">
        <f t="shared" si="39"/>
        <v>1.6074792795920862E-4</v>
      </c>
      <c r="K112" s="2"/>
      <c r="L112" s="6">
        <f t="shared" si="40"/>
        <v>-50</v>
      </c>
      <c r="M112" s="2"/>
      <c r="N112" s="7">
        <f t="shared" si="41"/>
        <v>-1</v>
      </c>
      <c r="O112" s="11"/>
      <c r="P112" s="6"/>
      <c r="Q112" s="2"/>
      <c r="R112" s="7">
        <f t="shared" si="42"/>
        <v>0</v>
      </c>
      <c r="S112" s="2"/>
      <c r="T112" s="6">
        <v>400</v>
      </c>
      <c r="U112" s="2"/>
      <c r="V112" s="7">
        <f t="shared" si="43"/>
        <v>4.9915517985809016E-4</v>
      </c>
      <c r="W112" s="2"/>
      <c r="X112" s="6">
        <f t="shared" si="44"/>
        <v>-400</v>
      </c>
      <c r="Y112" s="2"/>
      <c r="Z112" s="7">
        <f t="shared" si="45"/>
        <v>-1</v>
      </c>
    </row>
    <row r="113" spans="1:26" s="28" customFormat="1" outlineLevel="1" collapsed="1" x14ac:dyDescent="0.25">
      <c r="A113" s="27"/>
      <c r="B113" s="14" t="str">
        <f>CONCATENATE("     ","Royalty &amp; Commissions                             ")</f>
        <v xml:space="preserve">     Royalty &amp; Commissions                             </v>
      </c>
      <c r="C113" s="14"/>
      <c r="D113" s="1">
        <f>SUM(OSRRefD22_12x_0)</f>
        <v>0</v>
      </c>
      <c r="E113" s="1"/>
      <c r="F113" s="5">
        <f t="shared" si="38"/>
        <v>0</v>
      </c>
      <c r="G113" s="1"/>
      <c r="H113" s="1">
        <f>SUM(OSRRefH22_12x_0)</f>
        <v>6271</v>
      </c>
      <c r="I113" s="1"/>
      <c r="J113" s="5">
        <f t="shared" si="39"/>
        <v>2.0161005124643944E-2</v>
      </c>
      <c r="K113" s="1"/>
      <c r="L113" s="1">
        <f t="shared" si="40"/>
        <v>-6271</v>
      </c>
      <c r="M113" s="1"/>
      <c r="N113" s="5">
        <f t="shared" si="41"/>
        <v>-1</v>
      </c>
      <c r="O113" s="14"/>
      <c r="P113" s="1">
        <f>SUM(OSRRefP22_12x_0)</f>
        <v>7922.2</v>
      </c>
      <c r="Q113" s="1"/>
      <c r="R113" s="5">
        <f t="shared" si="42"/>
        <v>1.4948578339668108E-2</v>
      </c>
      <c r="S113" s="1"/>
      <c r="T113" s="1">
        <f>SUM(OSRRefT22_12x_0)</f>
        <v>18813</v>
      </c>
      <c r="U113" s="1"/>
      <c r="V113" s="5">
        <f t="shared" si="43"/>
        <v>2.3476515996675627E-2</v>
      </c>
      <c r="W113" s="1"/>
      <c r="X113" s="1">
        <f t="shared" si="44"/>
        <v>-10890.8</v>
      </c>
      <c r="Y113" s="1"/>
      <c r="Z113" s="5">
        <f t="shared" si="45"/>
        <v>-0.57889757082868221</v>
      </c>
    </row>
    <row r="114" spans="1:26" s="24" customFormat="1" hidden="1" outlineLevel="2" x14ac:dyDescent="0.25">
      <c r="A114" s="29"/>
      <c r="B114" s="11" t="str">
        <f>CONCATENATE("          ", "6252", " - ", "ROYALTY DUE CSTV")</f>
        <v xml:space="preserve">          6252 - ROYALTY DUE CSTV</v>
      </c>
      <c r="C114" s="11"/>
      <c r="D114" s="6"/>
      <c r="E114" s="2"/>
      <c r="F114" s="7">
        <f t="shared" si="38"/>
        <v>0</v>
      </c>
      <c r="G114" s="2"/>
      <c r="H114" s="6">
        <v>1085</v>
      </c>
      <c r="I114" s="2"/>
      <c r="J114" s="7">
        <f t="shared" si="39"/>
        <v>3.4882300367148266E-3</v>
      </c>
      <c r="K114" s="2"/>
      <c r="L114" s="6">
        <f t="shared" si="40"/>
        <v>-1085</v>
      </c>
      <c r="M114" s="2"/>
      <c r="N114" s="7">
        <f t="shared" si="41"/>
        <v>-1</v>
      </c>
      <c r="O114" s="11"/>
      <c r="P114" s="6"/>
      <c r="Q114" s="2"/>
      <c r="R114" s="7">
        <f t="shared" si="42"/>
        <v>0</v>
      </c>
      <c r="S114" s="2"/>
      <c r="T114" s="6">
        <v>3255</v>
      </c>
      <c r="U114" s="2"/>
      <c r="V114" s="7">
        <f t="shared" si="43"/>
        <v>4.0618752760952087E-3</v>
      </c>
      <c r="W114" s="2"/>
      <c r="X114" s="6">
        <f t="shared" si="44"/>
        <v>-3255</v>
      </c>
      <c r="Y114" s="2"/>
      <c r="Z114" s="7">
        <f t="shared" si="45"/>
        <v>-1</v>
      </c>
    </row>
    <row r="115" spans="1:26" s="24" customFormat="1" hidden="1" outlineLevel="2" x14ac:dyDescent="0.25">
      <c r="A115" s="29"/>
      <c r="B115" s="11" t="str">
        <f>CONCATENATE("          ", "6253", " - ", "ROYALTY DUE ATHLETICS-LRG")</f>
        <v xml:space="preserve">          6253 - ROYALTY DUE ATHLETICS-LRG</v>
      </c>
      <c r="C115" s="11"/>
      <c r="D115" s="6"/>
      <c r="E115" s="2"/>
      <c r="F115" s="7">
        <f t="shared" si="38"/>
        <v>0</v>
      </c>
      <c r="G115" s="2"/>
      <c r="H115" s="6">
        <v>4037</v>
      </c>
      <c r="I115" s="2"/>
      <c r="J115" s="7">
        <f t="shared" si="39"/>
        <v>1.2978787703426503E-2</v>
      </c>
      <c r="K115" s="2"/>
      <c r="L115" s="6">
        <f t="shared" si="40"/>
        <v>-4037</v>
      </c>
      <c r="M115" s="2"/>
      <c r="N115" s="7">
        <f t="shared" si="41"/>
        <v>-1</v>
      </c>
      <c r="O115" s="11"/>
      <c r="P115" s="6">
        <v>7922.2</v>
      </c>
      <c r="Q115" s="2"/>
      <c r="R115" s="7">
        <f t="shared" si="42"/>
        <v>1.4948578339668108E-2</v>
      </c>
      <c r="S115" s="2"/>
      <c r="T115" s="6">
        <v>12111</v>
      </c>
      <c r="U115" s="2"/>
      <c r="V115" s="7">
        <f t="shared" si="43"/>
        <v>1.5113170958153326E-2</v>
      </c>
      <c r="W115" s="2"/>
      <c r="X115" s="6">
        <f t="shared" si="44"/>
        <v>-4188.8</v>
      </c>
      <c r="Y115" s="2"/>
      <c r="Z115" s="7">
        <f t="shared" si="45"/>
        <v>-0.34586739327883742</v>
      </c>
    </row>
    <row r="116" spans="1:26" s="24" customFormat="1" hidden="1" outlineLevel="2" x14ac:dyDescent="0.25">
      <c r="A116" s="29"/>
      <c r="B116" s="11" t="str">
        <f>CONCATENATE("          ", "6254", " - ", "ROYALTY &amp; COMMISSIONS")</f>
        <v xml:space="preserve">          6254 - ROYALTY &amp; COMMISSIONS</v>
      </c>
      <c r="C116" s="11"/>
      <c r="D116" s="6"/>
      <c r="E116" s="2"/>
      <c r="F116" s="7">
        <f t="shared" si="38"/>
        <v>0</v>
      </c>
      <c r="G116" s="2"/>
      <c r="H116" s="6">
        <v>1149</v>
      </c>
      <c r="I116" s="2"/>
      <c r="J116" s="7">
        <f t="shared" si="39"/>
        <v>3.6939873845026139E-3</v>
      </c>
      <c r="K116" s="2"/>
      <c r="L116" s="6">
        <f t="shared" si="40"/>
        <v>-1149</v>
      </c>
      <c r="M116" s="2"/>
      <c r="N116" s="7">
        <f t="shared" si="41"/>
        <v>-1</v>
      </c>
      <c r="O116" s="11"/>
      <c r="P116" s="6"/>
      <c r="Q116" s="2"/>
      <c r="R116" s="7">
        <f t="shared" si="42"/>
        <v>0</v>
      </c>
      <c r="S116" s="2"/>
      <c r="T116" s="6">
        <v>3447</v>
      </c>
      <c r="U116" s="2"/>
      <c r="V116" s="7">
        <f t="shared" si="43"/>
        <v>4.3014697624270924E-3</v>
      </c>
      <c r="W116" s="2"/>
      <c r="X116" s="6">
        <f t="shared" si="44"/>
        <v>-3447</v>
      </c>
      <c r="Y116" s="2"/>
      <c r="Z116" s="7">
        <f t="shared" si="45"/>
        <v>-1</v>
      </c>
    </row>
    <row r="117" spans="1:26" s="28" customFormat="1" outlineLevel="1" collapsed="1" x14ac:dyDescent="0.25">
      <c r="A117" s="27"/>
      <c r="B117" s="14" t="str">
        <f>CONCATENATE("     ","Subscriptions &amp; Dues                              ")</f>
        <v xml:space="preserve">     Subscriptions &amp; Dues                              </v>
      </c>
      <c r="C117" s="14"/>
      <c r="D117" s="1">
        <f>SUM(OSRRefD22_13x_0)</f>
        <v>75.73</v>
      </c>
      <c r="E117" s="1"/>
      <c r="F117" s="5">
        <f t="shared" ref="F117:F119" si="46">IF(D$12=0,0,D117/D$12)</f>
        <v>8.0734428505681733E-4</v>
      </c>
      <c r="G117" s="1"/>
      <c r="H117" s="1">
        <f>SUM(OSRRefH22_13x_0)</f>
        <v>0</v>
      </c>
      <c r="I117" s="1"/>
      <c r="J117" s="5">
        <f t="shared" ref="J117:J119" si="47">IF(H$12=0,0,H117/H$12)</f>
        <v>0</v>
      </c>
      <c r="K117" s="1"/>
      <c r="L117" s="1">
        <f t="shared" ref="L117:L119" si="48">+D117-H117</f>
        <v>75.73</v>
      </c>
      <c r="M117" s="1"/>
      <c r="N117" s="5">
        <f t="shared" ref="N117:N119" si="49">IF(H117=0,0,L117/H117)</f>
        <v>0</v>
      </c>
      <c r="O117" s="14"/>
      <c r="P117" s="1">
        <f>SUM(OSRRefP22_13x_0)</f>
        <v>75.73</v>
      </c>
      <c r="Q117" s="1"/>
      <c r="R117" s="5">
        <f t="shared" ref="R117:R119" si="50">IF(P$12=0,0,P117/P$12)</f>
        <v>1.4289664962549115E-4</v>
      </c>
      <c r="S117" s="1"/>
      <c r="T117" s="1">
        <f>SUM(OSRRefT22_13x_0)</f>
        <v>1000</v>
      </c>
      <c r="U117" s="1"/>
      <c r="V117" s="5">
        <f t="shared" ref="V117:V119" si="51">IF(T$12=0,0,T117/T$12)</f>
        <v>1.2478879496452256E-3</v>
      </c>
      <c r="W117" s="1"/>
      <c r="X117" s="1">
        <f t="shared" ref="X117:X119" si="52">+P117-T117</f>
        <v>-924.27</v>
      </c>
      <c r="Y117" s="1"/>
      <c r="Z117" s="5">
        <f t="shared" ref="Z117:Z119" si="53">IF(T117=0,0,X117/T117)</f>
        <v>-0.92427000000000004</v>
      </c>
    </row>
    <row r="118" spans="1:26" s="24" customFormat="1" hidden="1" outlineLevel="2" x14ac:dyDescent="0.25">
      <c r="A118" s="29"/>
      <c r="B118" s="11" t="str">
        <f>CONCATENATE("          ", "6258", " - ", "MEMBERSHIP DUES")</f>
        <v xml:space="preserve">          6258 - MEMBERSHIP DUES</v>
      </c>
      <c r="C118" s="11"/>
      <c r="D118" s="6"/>
      <c r="E118" s="2"/>
      <c r="F118" s="7">
        <f t="shared" si="46"/>
        <v>0</v>
      </c>
      <c r="G118" s="2"/>
      <c r="H118" s="6">
        <v>0</v>
      </c>
      <c r="I118" s="2"/>
      <c r="J118" s="7">
        <f t="shared" si="47"/>
        <v>0</v>
      </c>
      <c r="K118" s="2"/>
      <c r="L118" s="6">
        <f t="shared" si="48"/>
        <v>0</v>
      </c>
      <c r="M118" s="2"/>
      <c r="N118" s="7">
        <f t="shared" si="49"/>
        <v>0</v>
      </c>
      <c r="O118" s="11"/>
      <c r="P118" s="6"/>
      <c r="Q118" s="2"/>
      <c r="R118" s="7">
        <f t="shared" si="50"/>
        <v>0</v>
      </c>
      <c r="S118" s="2"/>
      <c r="T118" s="6">
        <v>1000</v>
      </c>
      <c r="U118" s="2"/>
      <c r="V118" s="7">
        <f t="shared" si="51"/>
        <v>1.2478879496452256E-3</v>
      </c>
      <c r="W118" s="2"/>
      <c r="X118" s="6">
        <f t="shared" si="52"/>
        <v>-1000</v>
      </c>
      <c r="Y118" s="2"/>
      <c r="Z118" s="7">
        <f t="shared" si="53"/>
        <v>-1</v>
      </c>
    </row>
    <row r="119" spans="1:26" s="24" customFormat="1" hidden="1" outlineLevel="2" x14ac:dyDescent="0.25">
      <c r="A119" s="29"/>
      <c r="B119" s="11" t="str">
        <f>CONCATENATE("          ", "6275", " - ", "SUBSCRIPTIONS")</f>
        <v xml:space="preserve">          6275 - SUBSCRIPTIONS</v>
      </c>
      <c r="C119" s="11"/>
      <c r="D119" s="6">
        <v>75.73</v>
      </c>
      <c r="E119" s="2"/>
      <c r="F119" s="7">
        <f t="shared" si="46"/>
        <v>8.0734428505681733E-4</v>
      </c>
      <c r="G119" s="2"/>
      <c r="H119" s="6">
        <v>0</v>
      </c>
      <c r="I119" s="2"/>
      <c r="J119" s="7">
        <f t="shared" si="47"/>
        <v>0</v>
      </c>
      <c r="K119" s="2"/>
      <c r="L119" s="6">
        <f t="shared" si="48"/>
        <v>75.73</v>
      </c>
      <c r="M119" s="2"/>
      <c r="N119" s="7">
        <f t="shared" si="49"/>
        <v>0</v>
      </c>
      <c r="O119" s="11"/>
      <c r="P119" s="6">
        <v>75.73</v>
      </c>
      <c r="Q119" s="2"/>
      <c r="R119" s="7">
        <f t="shared" si="50"/>
        <v>1.4289664962549115E-4</v>
      </c>
      <c r="S119" s="2"/>
      <c r="T119" s="6">
        <v>0</v>
      </c>
      <c r="U119" s="2"/>
      <c r="V119" s="7">
        <f t="shared" si="51"/>
        <v>0</v>
      </c>
      <c r="W119" s="2"/>
      <c r="X119" s="6">
        <f t="shared" si="52"/>
        <v>75.73</v>
      </c>
      <c r="Y119" s="2"/>
      <c r="Z119" s="7">
        <f t="shared" si="53"/>
        <v>0</v>
      </c>
    </row>
    <row r="120" spans="1:26" s="28" customFormat="1" outlineLevel="1" collapsed="1" x14ac:dyDescent="0.25">
      <c r="A120" s="27"/>
      <c r="B120" s="14" t="str">
        <f>CONCATENATE("     ","Supplies                                          ")</f>
        <v xml:space="preserve">     Supplies                                          </v>
      </c>
      <c r="C120" s="14"/>
      <c r="D120" s="1">
        <f>SUM(OSRRefD22_14x_0)</f>
        <v>31.83</v>
      </c>
      <c r="E120" s="1"/>
      <c r="F120" s="5">
        <f t="shared" ref="F120:F127" si="54">IF(D$12=0,0,D120/D$12)</f>
        <v>3.3933406303127551E-4</v>
      </c>
      <c r="G120" s="1"/>
      <c r="H120" s="1">
        <f>SUM(OSRRefH22_14x_0)</f>
        <v>450</v>
      </c>
      <c r="I120" s="1"/>
      <c r="J120" s="5">
        <f t="shared" ref="J120:J127" si="55">IF(H$12=0,0,H120/H$12)</f>
        <v>1.4467313516328775E-3</v>
      </c>
      <c r="K120" s="1"/>
      <c r="L120" s="1">
        <f t="shared" ref="L120:L127" si="56">+D120-H120</f>
        <v>-418.17</v>
      </c>
      <c r="M120" s="1"/>
      <c r="N120" s="5">
        <f t="shared" ref="N120:N127" si="57">IF(H120=0,0,L120/H120)</f>
        <v>-0.92926666666666669</v>
      </c>
      <c r="O120" s="14"/>
      <c r="P120" s="1">
        <f>SUM(OSRRefP22_14x_0)</f>
        <v>1099.74</v>
      </c>
      <c r="Q120" s="1"/>
      <c r="R120" s="5">
        <f t="shared" ref="R120:R127" si="58">IF(P$12=0,0,P120/P$12)</f>
        <v>2.0751242764972615E-3</v>
      </c>
      <c r="S120" s="1"/>
      <c r="T120" s="1">
        <f>SUM(OSRRefT22_14x_0)</f>
        <v>1350</v>
      </c>
      <c r="U120" s="1"/>
      <c r="V120" s="5">
        <f t="shared" ref="V120:V127" si="59">IF(T$12=0,0,T120/T$12)</f>
        <v>1.6846487320210544E-3</v>
      </c>
      <c r="W120" s="1"/>
      <c r="X120" s="1">
        <f t="shared" ref="X120:X127" si="60">+P120-T120</f>
        <v>-250.26</v>
      </c>
      <c r="Y120" s="1"/>
      <c r="Z120" s="5">
        <f t="shared" ref="Z120:Z127" si="61">IF(T120=0,0,X120/T120)</f>
        <v>-0.18537777777777778</v>
      </c>
    </row>
    <row r="121" spans="1:26" s="24" customFormat="1" hidden="1" outlineLevel="2" x14ac:dyDescent="0.25">
      <c r="A121" s="29"/>
      <c r="B121" s="11" t="str">
        <f>CONCATENATE("          ", "6234", " - ", "EXPENDABLE SUPPLIES &amp; EQUIPMEN")</f>
        <v xml:space="preserve">          6234 - EXPENDABLE SUPPLIES &amp; EQUIPMEN</v>
      </c>
      <c r="C121" s="11"/>
      <c r="D121" s="6"/>
      <c r="E121" s="2"/>
      <c r="F121" s="7">
        <f t="shared" si="54"/>
        <v>0</v>
      </c>
      <c r="G121" s="2"/>
      <c r="H121" s="6">
        <v>50</v>
      </c>
      <c r="I121" s="2"/>
      <c r="J121" s="7">
        <f t="shared" si="55"/>
        <v>1.6074792795920862E-4</v>
      </c>
      <c r="K121" s="2"/>
      <c r="L121" s="6">
        <f t="shared" si="56"/>
        <v>-50</v>
      </c>
      <c r="M121" s="2"/>
      <c r="N121" s="7">
        <f t="shared" si="57"/>
        <v>-1</v>
      </c>
      <c r="O121" s="11"/>
      <c r="P121" s="6"/>
      <c r="Q121" s="2"/>
      <c r="R121" s="7">
        <f t="shared" si="58"/>
        <v>0</v>
      </c>
      <c r="S121" s="2"/>
      <c r="T121" s="6">
        <v>150</v>
      </c>
      <c r="U121" s="2"/>
      <c r="V121" s="7">
        <f t="shared" si="59"/>
        <v>1.8718319244678382E-4</v>
      </c>
      <c r="W121" s="2"/>
      <c r="X121" s="6">
        <f t="shared" si="60"/>
        <v>-150</v>
      </c>
      <c r="Y121" s="2"/>
      <c r="Z121" s="7">
        <f t="shared" si="61"/>
        <v>-1</v>
      </c>
    </row>
    <row r="122" spans="1:26" s="24" customFormat="1" hidden="1" outlineLevel="2" x14ac:dyDescent="0.25">
      <c r="A122" s="29"/>
      <c r="B122" s="11" t="str">
        <f>CONCATENATE("          ", "6235", " - ", "COVID-19 EXPENSES")</f>
        <v xml:space="preserve">          6235 - COVID-19 EXPENSES</v>
      </c>
      <c r="C122" s="11"/>
      <c r="D122" s="6"/>
      <c r="E122" s="2"/>
      <c r="F122" s="7">
        <f t="shared" si="54"/>
        <v>0</v>
      </c>
      <c r="G122" s="2"/>
      <c r="H122" s="6">
        <v>100</v>
      </c>
      <c r="I122" s="2"/>
      <c r="J122" s="7">
        <f t="shared" si="55"/>
        <v>3.2149585591841723E-4</v>
      </c>
      <c r="K122" s="2"/>
      <c r="L122" s="6">
        <f t="shared" si="56"/>
        <v>-100</v>
      </c>
      <c r="M122" s="2"/>
      <c r="N122" s="7">
        <f t="shared" si="57"/>
        <v>-1</v>
      </c>
      <c r="O122" s="11"/>
      <c r="P122" s="6">
        <v>961.38</v>
      </c>
      <c r="Q122" s="2"/>
      <c r="R122" s="7">
        <f t="shared" si="58"/>
        <v>1.814049663501316E-3</v>
      </c>
      <c r="S122" s="2"/>
      <c r="T122" s="6">
        <v>300</v>
      </c>
      <c r="U122" s="2"/>
      <c r="V122" s="7">
        <f t="shared" si="59"/>
        <v>3.7436638489356765E-4</v>
      </c>
      <c r="W122" s="2"/>
      <c r="X122" s="6">
        <f t="shared" si="60"/>
        <v>661.38</v>
      </c>
      <c r="Y122" s="2"/>
      <c r="Z122" s="7">
        <f t="shared" si="61"/>
        <v>2.2046000000000001</v>
      </c>
    </row>
    <row r="123" spans="1:26" s="24" customFormat="1" hidden="1" outlineLevel="2" x14ac:dyDescent="0.25">
      <c r="A123" s="29"/>
      <c r="B123" s="11" t="str">
        <f>CONCATENATE("          ", "6237", " - ", "JANITORIAL SUPPLIES")</f>
        <v xml:space="preserve">          6237 - JANITORIAL SUPPLIES</v>
      </c>
      <c r="C123" s="11"/>
      <c r="D123" s="6"/>
      <c r="E123" s="2"/>
      <c r="F123" s="7">
        <f t="shared" si="54"/>
        <v>0</v>
      </c>
      <c r="G123" s="2"/>
      <c r="H123" s="6">
        <v>50</v>
      </c>
      <c r="I123" s="2"/>
      <c r="J123" s="7">
        <f t="shared" si="55"/>
        <v>1.6074792795920862E-4</v>
      </c>
      <c r="K123" s="2"/>
      <c r="L123" s="6">
        <f t="shared" si="56"/>
        <v>-50</v>
      </c>
      <c r="M123" s="2"/>
      <c r="N123" s="7">
        <f t="shared" si="57"/>
        <v>-1</v>
      </c>
      <c r="O123" s="11"/>
      <c r="P123" s="6"/>
      <c r="Q123" s="2"/>
      <c r="R123" s="7">
        <f t="shared" si="58"/>
        <v>0</v>
      </c>
      <c r="S123" s="2"/>
      <c r="T123" s="6">
        <v>150</v>
      </c>
      <c r="U123" s="2"/>
      <c r="V123" s="7">
        <f t="shared" si="59"/>
        <v>1.8718319244678382E-4</v>
      </c>
      <c r="W123" s="2"/>
      <c r="X123" s="6">
        <f t="shared" si="60"/>
        <v>-150</v>
      </c>
      <c r="Y123" s="2"/>
      <c r="Z123" s="7">
        <f t="shared" si="61"/>
        <v>-1</v>
      </c>
    </row>
    <row r="124" spans="1:26" s="24" customFormat="1" hidden="1" outlineLevel="2" x14ac:dyDescent="0.25">
      <c r="A124" s="29"/>
      <c r="B124" s="11" t="str">
        <f>CONCATENATE("          ", "6241", " - ", "OFFICE EXPENSE")</f>
        <v xml:space="preserve">          6241 - OFFICE EXPENSE</v>
      </c>
      <c r="C124" s="11"/>
      <c r="D124" s="6">
        <v>31.83</v>
      </c>
      <c r="E124" s="2"/>
      <c r="F124" s="7">
        <f t="shared" si="54"/>
        <v>3.3933406303127551E-4</v>
      </c>
      <c r="G124" s="2"/>
      <c r="H124" s="6">
        <v>100</v>
      </c>
      <c r="I124" s="2"/>
      <c r="J124" s="7">
        <f t="shared" si="55"/>
        <v>3.2149585591841723E-4</v>
      </c>
      <c r="K124" s="2"/>
      <c r="L124" s="6">
        <f t="shared" si="56"/>
        <v>-68.17</v>
      </c>
      <c r="M124" s="2"/>
      <c r="N124" s="7">
        <f t="shared" si="57"/>
        <v>-0.68169999999999997</v>
      </c>
      <c r="O124" s="11"/>
      <c r="P124" s="6">
        <v>138.36000000000001</v>
      </c>
      <c r="Q124" s="2"/>
      <c r="R124" s="7">
        <f t="shared" si="58"/>
        <v>2.6107461299594554E-4</v>
      </c>
      <c r="S124" s="2"/>
      <c r="T124" s="6">
        <v>300</v>
      </c>
      <c r="U124" s="2"/>
      <c r="V124" s="7">
        <f t="shared" si="59"/>
        <v>3.7436638489356765E-4</v>
      </c>
      <c r="W124" s="2"/>
      <c r="X124" s="6">
        <f t="shared" si="60"/>
        <v>-161.63999999999999</v>
      </c>
      <c r="Y124" s="2"/>
      <c r="Z124" s="7">
        <f t="shared" si="61"/>
        <v>-0.53879999999999995</v>
      </c>
    </row>
    <row r="125" spans="1:26" s="24" customFormat="1" hidden="1" outlineLevel="2" x14ac:dyDescent="0.25">
      <c r="A125" s="29"/>
      <c r="B125" s="11" t="str">
        <f>CONCATENATE("          ", "6243", " - ", "PAPER SUPPLIES")</f>
        <v xml:space="preserve">          6243 - PAPER SUPPLIES</v>
      </c>
      <c r="C125" s="11"/>
      <c r="D125" s="6"/>
      <c r="E125" s="2"/>
      <c r="F125" s="7">
        <f t="shared" si="54"/>
        <v>0</v>
      </c>
      <c r="G125" s="2"/>
      <c r="H125" s="6">
        <v>50</v>
      </c>
      <c r="I125" s="2"/>
      <c r="J125" s="7">
        <f t="shared" si="55"/>
        <v>1.6074792795920862E-4</v>
      </c>
      <c r="K125" s="2"/>
      <c r="L125" s="6">
        <f t="shared" si="56"/>
        <v>-50</v>
      </c>
      <c r="M125" s="2"/>
      <c r="N125" s="7">
        <f t="shared" si="57"/>
        <v>-1</v>
      </c>
      <c r="O125" s="11"/>
      <c r="P125" s="6"/>
      <c r="Q125" s="2"/>
      <c r="R125" s="7">
        <f t="shared" si="58"/>
        <v>0</v>
      </c>
      <c r="S125" s="2"/>
      <c r="T125" s="6">
        <v>150</v>
      </c>
      <c r="U125" s="2"/>
      <c r="V125" s="7">
        <f t="shared" si="59"/>
        <v>1.8718319244678382E-4</v>
      </c>
      <c r="W125" s="2"/>
      <c r="X125" s="6">
        <f t="shared" si="60"/>
        <v>-150</v>
      </c>
      <c r="Y125" s="2"/>
      <c r="Z125" s="7">
        <f t="shared" si="61"/>
        <v>-1</v>
      </c>
    </row>
    <row r="126" spans="1:26" s="24" customFormat="1" hidden="1" outlineLevel="2" x14ac:dyDescent="0.25">
      <c r="A126" s="29"/>
      <c r="B126" s="11" t="str">
        <f>CONCATENATE("          ", "6245", " - ", "PRINTING")</f>
        <v xml:space="preserve">          6245 - PRINTING</v>
      </c>
      <c r="C126" s="11"/>
      <c r="D126" s="6"/>
      <c r="E126" s="2"/>
      <c r="F126" s="7">
        <f t="shared" si="54"/>
        <v>0</v>
      </c>
      <c r="G126" s="2"/>
      <c r="H126" s="6">
        <v>50</v>
      </c>
      <c r="I126" s="2"/>
      <c r="J126" s="7">
        <f t="shared" si="55"/>
        <v>1.6074792795920862E-4</v>
      </c>
      <c r="K126" s="2"/>
      <c r="L126" s="6">
        <f t="shared" si="56"/>
        <v>-50</v>
      </c>
      <c r="M126" s="2"/>
      <c r="N126" s="7">
        <f t="shared" si="57"/>
        <v>-1</v>
      </c>
      <c r="O126" s="11"/>
      <c r="P126" s="6"/>
      <c r="Q126" s="2"/>
      <c r="R126" s="7">
        <f t="shared" si="58"/>
        <v>0</v>
      </c>
      <c r="S126" s="2"/>
      <c r="T126" s="6">
        <v>150</v>
      </c>
      <c r="U126" s="2"/>
      <c r="V126" s="7">
        <f t="shared" si="59"/>
        <v>1.8718319244678382E-4</v>
      </c>
      <c r="W126" s="2"/>
      <c r="X126" s="6">
        <f t="shared" si="60"/>
        <v>-150</v>
      </c>
      <c r="Y126" s="2"/>
      <c r="Z126" s="7">
        <f t="shared" si="61"/>
        <v>-1</v>
      </c>
    </row>
    <row r="127" spans="1:26" s="24" customFormat="1" hidden="1" outlineLevel="2" x14ac:dyDescent="0.25">
      <c r="A127" s="29"/>
      <c r="B127" s="11" t="str">
        <f>CONCATENATE("          ", "6247", " - ", "STORE SUPPLIES")</f>
        <v xml:space="preserve">          6247 - STORE SUPPLIES</v>
      </c>
      <c r="C127" s="11"/>
      <c r="D127" s="6"/>
      <c r="E127" s="2"/>
      <c r="F127" s="7">
        <f t="shared" si="54"/>
        <v>0</v>
      </c>
      <c r="G127" s="2"/>
      <c r="H127" s="6">
        <v>50</v>
      </c>
      <c r="I127" s="2"/>
      <c r="J127" s="7">
        <f t="shared" si="55"/>
        <v>1.6074792795920862E-4</v>
      </c>
      <c r="K127" s="2"/>
      <c r="L127" s="6">
        <f t="shared" si="56"/>
        <v>-50</v>
      </c>
      <c r="M127" s="2"/>
      <c r="N127" s="7">
        <f t="shared" si="57"/>
        <v>-1</v>
      </c>
      <c r="O127" s="11"/>
      <c r="P127" s="6"/>
      <c r="Q127" s="2"/>
      <c r="R127" s="7">
        <f t="shared" si="58"/>
        <v>0</v>
      </c>
      <c r="S127" s="2"/>
      <c r="T127" s="6">
        <v>150</v>
      </c>
      <c r="U127" s="2"/>
      <c r="V127" s="7">
        <f t="shared" si="59"/>
        <v>1.8718319244678382E-4</v>
      </c>
      <c r="W127" s="2"/>
      <c r="X127" s="6">
        <f t="shared" si="60"/>
        <v>-150</v>
      </c>
      <c r="Y127" s="2"/>
      <c r="Z127" s="7">
        <f t="shared" si="61"/>
        <v>-1</v>
      </c>
    </row>
    <row r="128" spans="1:26" s="28" customFormat="1" outlineLevel="1" collapsed="1" x14ac:dyDescent="0.25">
      <c r="A128" s="27"/>
      <c r="B128" s="14" t="str">
        <f>CONCATENATE("     ","Telephone/Data Lines                              ")</f>
        <v xml:space="preserve">     Telephone/Data Lines                              </v>
      </c>
      <c r="C128" s="14"/>
      <c r="D128" s="1">
        <f>SUM(OSRRefD22_15x_0)</f>
        <v>750</v>
      </c>
      <c r="E128" s="1"/>
      <c r="F128" s="5">
        <f t="shared" ref="F128:F132" si="62">IF(D$12=0,0,D128/D$12)</f>
        <v>7.9956188273156339E-3</v>
      </c>
      <c r="G128" s="1"/>
      <c r="H128" s="1">
        <f>SUM(OSRRefH22_15x_0)</f>
        <v>600</v>
      </c>
      <c r="I128" s="1"/>
      <c r="J128" s="5">
        <f t="shared" ref="J128:J132" si="63">IF(H$12=0,0,H128/H$12)</f>
        <v>1.9289751355105033E-3</v>
      </c>
      <c r="K128" s="1"/>
      <c r="L128" s="1">
        <f t="shared" ref="L128:L132" si="64">+D128-H128</f>
        <v>150</v>
      </c>
      <c r="M128" s="1"/>
      <c r="N128" s="5">
        <f t="shared" ref="N128:N132" si="65">IF(H128=0,0,L128/H128)</f>
        <v>0.25</v>
      </c>
      <c r="O128" s="14"/>
      <c r="P128" s="1">
        <f>SUM(OSRRefP22_15x_0)</f>
        <v>1745.78</v>
      </c>
      <c r="Q128" s="1"/>
      <c r="R128" s="5">
        <f t="shared" ref="R128:R132" si="66">IF(P$12=0,0,P128/P$12)</f>
        <v>3.2941517626197004E-3</v>
      </c>
      <c r="S128" s="1"/>
      <c r="T128" s="1">
        <f>SUM(OSRRefT22_15x_0)</f>
        <v>1800</v>
      </c>
      <c r="U128" s="1"/>
      <c r="V128" s="5">
        <f t="shared" ref="V128:V132" si="67">IF(T$12=0,0,T128/T$12)</f>
        <v>2.2461983093614059E-3</v>
      </c>
      <c r="W128" s="1"/>
      <c r="X128" s="1">
        <f t="shared" ref="X128:X132" si="68">+P128-T128</f>
        <v>-54.220000000000027</v>
      </c>
      <c r="Y128" s="1"/>
      <c r="Z128" s="5">
        <f t="shared" ref="Z128:Z132" si="69">IF(T128=0,0,X128/T128)</f>
        <v>-3.0122222222222238E-2</v>
      </c>
    </row>
    <row r="129" spans="1:26" s="24" customFormat="1" hidden="1" outlineLevel="2" x14ac:dyDescent="0.25">
      <c r="A129" s="29"/>
      <c r="B129" s="11" t="str">
        <f>CONCATENATE("          ", "6309", " - ", "TELEPHONE")</f>
        <v xml:space="preserve">          6309 - TELEPHONE</v>
      </c>
      <c r="C129" s="11"/>
      <c r="D129" s="6">
        <v>750</v>
      </c>
      <c r="E129" s="2"/>
      <c r="F129" s="7">
        <f t="shared" si="62"/>
        <v>7.9956188273156339E-3</v>
      </c>
      <c r="G129" s="2"/>
      <c r="H129" s="6">
        <v>600</v>
      </c>
      <c r="I129" s="2"/>
      <c r="J129" s="7">
        <f t="shared" si="63"/>
        <v>1.9289751355105033E-3</v>
      </c>
      <c r="K129" s="2"/>
      <c r="L129" s="6">
        <f t="shared" si="64"/>
        <v>150</v>
      </c>
      <c r="M129" s="2"/>
      <c r="N129" s="7">
        <f t="shared" si="65"/>
        <v>0.25</v>
      </c>
      <c r="O129" s="11"/>
      <c r="P129" s="6">
        <v>1745.78</v>
      </c>
      <c r="Q129" s="2"/>
      <c r="R129" s="7">
        <f t="shared" si="66"/>
        <v>3.2941517626197004E-3</v>
      </c>
      <c r="S129" s="2"/>
      <c r="T129" s="6">
        <v>1800</v>
      </c>
      <c r="U129" s="2"/>
      <c r="V129" s="7">
        <f t="shared" si="67"/>
        <v>2.2461983093614059E-3</v>
      </c>
      <c r="W129" s="2"/>
      <c r="X129" s="6">
        <f t="shared" si="68"/>
        <v>-54.220000000000027</v>
      </c>
      <c r="Y129" s="2"/>
      <c r="Z129" s="7">
        <f t="shared" si="69"/>
        <v>-3.0122222222222238E-2</v>
      </c>
    </row>
    <row r="130" spans="1:26" s="28" customFormat="1" outlineLevel="1" collapsed="1" x14ac:dyDescent="0.25">
      <c r="A130" s="27"/>
      <c r="B130" s="14" t="str">
        <f>CONCATENATE("     ","Travel                                            ")</f>
        <v xml:space="preserve">     Travel                                            </v>
      </c>
      <c r="C130" s="14"/>
      <c r="D130" s="1">
        <f>SUM(OSRRefD22_16x_0)</f>
        <v>0</v>
      </c>
      <c r="E130" s="1"/>
      <c r="F130" s="5">
        <f t="shared" si="62"/>
        <v>0</v>
      </c>
      <c r="G130" s="1"/>
      <c r="H130" s="1">
        <f>SUM(OSRRefH22_16x_0)</f>
        <v>25</v>
      </c>
      <c r="I130" s="1"/>
      <c r="J130" s="5">
        <f t="shared" si="63"/>
        <v>8.0373963979604309E-5</v>
      </c>
      <c r="K130" s="1"/>
      <c r="L130" s="1">
        <f t="shared" si="64"/>
        <v>-25</v>
      </c>
      <c r="M130" s="1"/>
      <c r="N130" s="5">
        <f t="shared" si="65"/>
        <v>-1</v>
      </c>
      <c r="O130" s="14"/>
      <c r="P130" s="1">
        <f>SUM(OSRRefP22_16x_0)</f>
        <v>0</v>
      </c>
      <c r="Q130" s="1"/>
      <c r="R130" s="5">
        <f t="shared" si="66"/>
        <v>0</v>
      </c>
      <c r="S130" s="1"/>
      <c r="T130" s="1">
        <f>SUM(OSRRefT22_16x_0)</f>
        <v>75</v>
      </c>
      <c r="U130" s="1"/>
      <c r="V130" s="5">
        <f t="shared" si="67"/>
        <v>9.3591596223391912E-5</v>
      </c>
      <c r="W130" s="1"/>
      <c r="X130" s="1">
        <f t="shared" si="68"/>
        <v>-75</v>
      </c>
      <c r="Y130" s="1"/>
      <c r="Z130" s="5">
        <f t="shared" si="69"/>
        <v>-1</v>
      </c>
    </row>
    <row r="131" spans="1:26" s="24" customFormat="1" hidden="1" outlineLevel="2" x14ac:dyDescent="0.25">
      <c r="A131" s="29"/>
      <c r="B131" s="11" t="str">
        <f>CONCATENATE("          ", "6294", " - ", "TRAVEL OPERATIONAL")</f>
        <v xml:space="preserve">          6294 - TRAVEL OPERATIONAL</v>
      </c>
      <c r="C131" s="11"/>
      <c r="D131" s="6"/>
      <c r="E131" s="2"/>
      <c r="F131" s="7">
        <f t="shared" si="62"/>
        <v>0</v>
      </c>
      <c r="G131" s="2"/>
      <c r="H131" s="6">
        <v>25</v>
      </c>
      <c r="I131" s="2"/>
      <c r="J131" s="7">
        <f t="shared" si="63"/>
        <v>8.0373963979604309E-5</v>
      </c>
      <c r="K131" s="2"/>
      <c r="L131" s="6">
        <f t="shared" si="64"/>
        <v>-25</v>
      </c>
      <c r="M131" s="2"/>
      <c r="N131" s="7">
        <f t="shared" si="65"/>
        <v>-1</v>
      </c>
      <c r="O131" s="11"/>
      <c r="P131" s="6"/>
      <c r="Q131" s="2"/>
      <c r="R131" s="7">
        <f t="shared" si="66"/>
        <v>0</v>
      </c>
      <c r="S131" s="2"/>
      <c r="T131" s="6">
        <v>75</v>
      </c>
      <c r="U131" s="2"/>
      <c r="V131" s="7">
        <f t="shared" si="67"/>
        <v>9.3591596223391912E-5</v>
      </c>
      <c r="W131" s="2"/>
      <c r="X131" s="6">
        <f t="shared" si="68"/>
        <v>-75</v>
      </c>
      <c r="Y131" s="2"/>
      <c r="Z131" s="7">
        <f t="shared" si="69"/>
        <v>-1</v>
      </c>
    </row>
    <row r="132" spans="1:26" s="24" customFormat="1" hidden="1" outlineLevel="2" x14ac:dyDescent="0.25">
      <c r="A132" s="29"/>
      <c r="B132" s="11" t="str">
        <f>CONCATENATE("          ", "6298", " - ", "VEHICLE MILEAGE")</f>
        <v xml:space="preserve">          6298 - VEHICLE MILEAGE</v>
      </c>
      <c r="C132" s="11"/>
      <c r="D132" s="6"/>
      <c r="E132" s="2"/>
      <c r="F132" s="7">
        <f t="shared" si="62"/>
        <v>0</v>
      </c>
      <c r="G132" s="2"/>
      <c r="H132" s="6">
        <v>0</v>
      </c>
      <c r="I132" s="2"/>
      <c r="J132" s="7">
        <f t="shared" si="63"/>
        <v>0</v>
      </c>
      <c r="K132" s="2"/>
      <c r="L132" s="6">
        <f t="shared" si="64"/>
        <v>0</v>
      </c>
      <c r="M132" s="2"/>
      <c r="N132" s="7">
        <f t="shared" si="65"/>
        <v>0</v>
      </c>
      <c r="O132" s="11"/>
      <c r="P132" s="6"/>
      <c r="Q132" s="2"/>
      <c r="R132" s="7">
        <f t="shared" si="66"/>
        <v>0</v>
      </c>
      <c r="S132" s="2"/>
      <c r="T132" s="6">
        <v>0</v>
      </c>
      <c r="U132" s="2"/>
      <c r="V132" s="7">
        <f t="shared" si="67"/>
        <v>0</v>
      </c>
      <c r="W132" s="2"/>
      <c r="X132" s="6">
        <f t="shared" si="68"/>
        <v>0</v>
      </c>
      <c r="Y132" s="2"/>
      <c r="Z132" s="7">
        <f t="shared" si="69"/>
        <v>0</v>
      </c>
    </row>
    <row r="133" spans="1:26" s="61" customFormat="1" x14ac:dyDescent="0.25">
      <c r="A133" s="36"/>
      <c r="B133" s="36"/>
      <c r="C133" s="36"/>
      <c r="D133" s="1"/>
      <c r="E133" s="1"/>
      <c r="F133" s="5"/>
      <c r="G133" s="1"/>
      <c r="H133" s="1"/>
      <c r="I133" s="1"/>
      <c r="J133" s="5"/>
      <c r="K133" s="1"/>
      <c r="L133" s="1"/>
      <c r="M133" s="1"/>
      <c r="N133" s="5"/>
      <c r="O133" s="36"/>
      <c r="P133" s="1"/>
      <c r="Q133" s="1"/>
      <c r="R133" s="5"/>
      <c r="S133" s="1"/>
      <c r="T133" s="1"/>
      <c r="U133" s="1"/>
      <c r="V133" s="5"/>
      <c r="W133" s="1"/>
      <c r="X133" s="1"/>
      <c r="Y133" s="1"/>
      <c r="Z133" s="5"/>
    </row>
    <row r="134" spans="1:26" s="23" customFormat="1" collapsed="1" x14ac:dyDescent="0.25">
      <c r="A134" s="10"/>
      <c r="B134" s="25" t="s">
        <v>0</v>
      </c>
      <c r="C134" s="10"/>
      <c r="D134" s="4">
        <f>SUM(OSRRefD25x_0)</f>
        <v>0</v>
      </c>
      <c r="E134" s="4"/>
      <c r="F134" s="12">
        <f t="shared" ref="F134:F137" si="70">IF(D$12=0,0,D134/D$12)</f>
        <v>0</v>
      </c>
      <c r="G134" s="4"/>
      <c r="H134" s="4">
        <f>SUM(OSRRefH25x_0)</f>
        <v>8075</v>
      </c>
      <c r="I134" s="4"/>
      <c r="J134" s="12">
        <f t="shared" ref="J134:J137" si="71">IF(H$12=0,0,H134/H$12)</f>
        <v>2.5960790365412191E-2</v>
      </c>
      <c r="K134" s="4"/>
      <c r="L134" s="4">
        <f t="shared" ref="L134:L137" si="72">+D134-H134</f>
        <v>-8075</v>
      </c>
      <c r="M134" s="4"/>
      <c r="N134" s="12">
        <f t="shared" ref="N134:N137" si="73">IF(H134=0,0,L134/H134)</f>
        <v>-1</v>
      </c>
      <c r="O134" s="10"/>
      <c r="P134" s="4">
        <f>SUM(OSRRefP25x_0)</f>
        <v>172008.31</v>
      </c>
      <c r="Q134" s="4"/>
      <c r="R134" s="12">
        <f t="shared" ref="R134:R137" si="74">IF(P$12=0,0,P134/P$12)</f>
        <v>0.32456637008771771</v>
      </c>
      <c r="S134" s="4"/>
      <c r="T134" s="4">
        <f>SUM(OSRRefT25x_0)</f>
        <v>24225</v>
      </c>
      <c r="U134" s="4"/>
      <c r="V134" s="12">
        <f t="shared" ref="V134:V137" si="75">IF(T$12=0,0,T134/T$12)</f>
        <v>3.0230085580155587E-2</v>
      </c>
      <c r="W134" s="4"/>
      <c r="X134" s="4">
        <f t="shared" ref="X134:X137" si="76">+P134-T134</f>
        <v>147783.31</v>
      </c>
      <c r="Y134" s="4"/>
      <c r="Z134" s="12">
        <f t="shared" ref="Z134:Z137" si="77">IF(T134=0,0,X134/T134)</f>
        <v>6.1004462332301337</v>
      </c>
    </row>
    <row r="135" spans="1:26" s="24" customFormat="1" hidden="1" outlineLevel="1" x14ac:dyDescent="0.25">
      <c r="A135" s="51"/>
      <c r="B135" s="11" t="str">
        <f>CONCATENATE("          ", "9150", " - ", "MISC. INCOME")</f>
        <v xml:space="preserve">          9150 - MISC. INCOME</v>
      </c>
      <c r="C135" s="11"/>
      <c r="D135" s="2">
        <f t="shared" ref="D135:D137" si="78">0</f>
        <v>0</v>
      </c>
      <c r="E135" s="2"/>
      <c r="F135" s="22">
        <f t="shared" si="70"/>
        <v>0</v>
      </c>
      <c r="G135" s="2"/>
      <c r="H135" s="2">
        <v>8075</v>
      </c>
      <c r="I135" s="2"/>
      <c r="J135" s="22">
        <f t="shared" si="71"/>
        <v>2.5960790365412191E-2</v>
      </c>
      <c r="K135" s="2"/>
      <c r="L135" s="2">
        <f t="shared" si="72"/>
        <v>-8075</v>
      </c>
      <c r="M135" s="2"/>
      <c r="N135" s="22">
        <f t="shared" si="73"/>
        <v>-1</v>
      </c>
      <c r="O135" s="11"/>
      <c r="P135" s="2">
        <f>--11344.41</f>
        <v>11344.41</v>
      </c>
      <c r="Q135" s="2"/>
      <c r="R135" s="22">
        <f t="shared" si="74"/>
        <v>2.1406023781565003E-2</v>
      </c>
      <c r="S135" s="2"/>
      <c r="T135" s="2">
        <v>24225</v>
      </c>
      <c r="U135" s="2"/>
      <c r="V135" s="22">
        <f t="shared" si="75"/>
        <v>3.0230085580155587E-2</v>
      </c>
      <c r="W135" s="2"/>
      <c r="X135" s="2">
        <f t="shared" si="76"/>
        <v>-12880.59</v>
      </c>
      <c r="Y135" s="2"/>
      <c r="Z135" s="22">
        <f t="shared" si="77"/>
        <v>-0.5317065015479876</v>
      </c>
    </row>
    <row r="136" spans="1:26" s="24" customFormat="1" hidden="1" outlineLevel="1" x14ac:dyDescent="0.25">
      <c r="A136" s="51"/>
      <c r="B136" s="11" t="str">
        <f>CONCATENATE("          ", "9151", " - ", "MISC. INCOME")</f>
        <v xml:space="preserve">          9151 - MISC. INCOME</v>
      </c>
      <c r="C136" s="11"/>
      <c r="D136" s="2">
        <f t="shared" si="78"/>
        <v>0</v>
      </c>
      <c r="E136" s="2"/>
      <c r="F136" s="22">
        <f t="shared" si="70"/>
        <v>0</v>
      </c>
      <c r="G136" s="2"/>
      <c r="H136" s="2">
        <v>0</v>
      </c>
      <c r="I136" s="2"/>
      <c r="J136" s="22">
        <f t="shared" si="71"/>
        <v>0</v>
      </c>
      <c r="K136" s="2"/>
      <c r="L136" s="2">
        <f t="shared" si="72"/>
        <v>0</v>
      </c>
      <c r="M136" s="2"/>
      <c r="N136" s="22">
        <f t="shared" si="73"/>
        <v>0</v>
      </c>
      <c r="O136" s="11"/>
      <c r="P136" s="2">
        <f>0</f>
        <v>0</v>
      </c>
      <c r="Q136" s="2"/>
      <c r="R136" s="22">
        <f t="shared" si="74"/>
        <v>0</v>
      </c>
      <c r="S136" s="2"/>
      <c r="T136" s="2">
        <v>0</v>
      </c>
      <c r="U136" s="2"/>
      <c r="V136" s="22">
        <f t="shared" si="75"/>
        <v>0</v>
      </c>
      <c r="W136" s="2"/>
      <c r="X136" s="2">
        <f t="shared" si="76"/>
        <v>0</v>
      </c>
      <c r="Y136" s="2"/>
      <c r="Z136" s="22">
        <f t="shared" si="77"/>
        <v>0</v>
      </c>
    </row>
    <row r="137" spans="1:26" s="24" customFormat="1" hidden="1" outlineLevel="1" x14ac:dyDescent="0.25">
      <c r="A137" s="51"/>
      <c r="B137" s="11" t="str">
        <f>CONCATENATE("          ", "9163", " - ", "MISC. INCOME")</f>
        <v xml:space="preserve">          9163 - MISC. INCOME</v>
      </c>
      <c r="C137" s="11"/>
      <c r="D137" s="2">
        <f t="shared" si="78"/>
        <v>0</v>
      </c>
      <c r="E137" s="2"/>
      <c r="F137" s="22">
        <f t="shared" si="70"/>
        <v>0</v>
      </c>
      <c r="G137" s="2"/>
      <c r="H137" s="2"/>
      <c r="I137" s="2"/>
      <c r="J137" s="22">
        <f t="shared" si="71"/>
        <v>0</v>
      </c>
      <c r="K137" s="2"/>
      <c r="L137" s="2">
        <f t="shared" si="72"/>
        <v>0</v>
      </c>
      <c r="M137" s="2"/>
      <c r="N137" s="22">
        <f t="shared" si="73"/>
        <v>0</v>
      </c>
      <c r="O137" s="11"/>
      <c r="P137" s="2">
        <f>--160663.9</f>
        <v>160663.9</v>
      </c>
      <c r="Q137" s="2"/>
      <c r="R137" s="22">
        <f t="shared" si="74"/>
        <v>0.30316034630615268</v>
      </c>
      <c r="S137" s="2"/>
      <c r="T137" s="2"/>
      <c r="U137" s="2"/>
      <c r="V137" s="22">
        <f t="shared" si="75"/>
        <v>0</v>
      </c>
      <c r="W137" s="2"/>
      <c r="X137" s="2">
        <f t="shared" si="76"/>
        <v>160663.9</v>
      </c>
      <c r="Y137" s="2"/>
      <c r="Z137" s="22">
        <f t="shared" si="77"/>
        <v>0</v>
      </c>
    </row>
    <row r="138" spans="1:26" x14ac:dyDescent="0.25">
      <c r="A138" s="9"/>
      <c r="B138" s="10"/>
      <c r="C138" s="10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O138" s="10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25">
      <c r="A139" s="10"/>
      <c r="B139" s="26" t="s">
        <v>3</v>
      </c>
      <c r="C139" s="26"/>
      <c r="D139" s="20">
        <f>+D68-D70+D134</f>
        <v>-12611.210000000021</v>
      </c>
      <c r="E139" s="13"/>
      <c r="F139" s="21">
        <f>IF(D$12=0,0,D139/D$12)</f>
        <v>-0.13444590414830848</v>
      </c>
      <c r="G139" s="13"/>
      <c r="H139" s="20">
        <f>+H68-H70+H134</f>
        <v>74385.878626923106</v>
      </c>
      <c r="I139" s="13"/>
      <c r="J139" s="21">
        <f>IF(H$12=0,0,H139/H$12)</f>
        <v>0.23914751717406141</v>
      </c>
      <c r="K139" s="16"/>
      <c r="L139" s="20">
        <f>+D139-H139</f>
        <v>-86997.088626923127</v>
      </c>
      <c r="M139" s="16"/>
      <c r="N139" s="21">
        <f>IF(H139=0,0,L139/H139)</f>
        <v>-1.1695376895828657</v>
      </c>
      <c r="O139" s="25"/>
      <c r="P139" s="20">
        <f>+P68-P70+P134</f>
        <v>223793.45000000004</v>
      </c>
      <c r="Q139" s="13"/>
      <c r="R139" s="21">
        <f>IF(P$12=0,0,P139/P$12)</f>
        <v>0.42228092186887461</v>
      </c>
      <c r="S139" s="13"/>
      <c r="T139" s="20">
        <f>+T68-T70+T134</f>
        <v>155393.01533000002</v>
      </c>
      <c r="U139" s="13"/>
      <c r="V139" s="21">
        <f>IF(T$12=0,0,T139/T$12)</f>
        <v>0.19391307128934282</v>
      </c>
      <c r="W139" s="16"/>
      <c r="X139" s="20">
        <f>+P139-T139</f>
        <v>68400.434670000017</v>
      </c>
      <c r="Y139" s="16"/>
      <c r="Z139" s="21">
        <f>IF(T139=0,0,X139/T139)</f>
        <v>0.44017702162958605</v>
      </c>
    </row>
    <row r="140" spans="1:26" x14ac:dyDescent="0.25">
      <c r="A140" s="9"/>
      <c r="B140" s="10"/>
      <c r="C140" s="9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x14ac:dyDescent="0.25">
      <c r="A141" s="52"/>
      <c r="B141" s="10" t="s">
        <v>14</v>
      </c>
      <c r="C141" s="10"/>
      <c r="D141" s="4">
        <v>24538.2</v>
      </c>
      <c r="E141" s="4"/>
      <c r="F141" s="12">
        <f>IF(D$12=0,0,D141/D$12)</f>
        <v>0.261597458544582</v>
      </c>
      <c r="G141" s="4"/>
      <c r="H141" s="4">
        <v>35784</v>
      </c>
      <c r="I141" s="4"/>
      <c r="J141" s="12">
        <f>IF(H$12=0,0,H141/H$12)</f>
        <v>0.11504407708184641</v>
      </c>
      <c r="K141" s="4"/>
      <c r="L141" s="4">
        <f>+D141-H141</f>
        <v>-11245.8</v>
      </c>
      <c r="M141" s="4"/>
      <c r="N141" s="12">
        <f>IF(H141=0,0,L141/H141)</f>
        <v>-0.31426894701542585</v>
      </c>
      <c r="O141" s="10"/>
      <c r="P141" s="4">
        <v>98178.37000000001</v>
      </c>
      <c r="Q141" s="4"/>
      <c r="R141" s="12">
        <f>IF(P$12=0,0,P141/P$12)</f>
        <v>0.18525498664587126</v>
      </c>
      <c r="S141" s="4"/>
      <c r="T141" s="4">
        <v>115853</v>
      </c>
      <c r="U141" s="4"/>
      <c r="V141" s="12">
        <f>IF(T$12=0,0,T141/T$12)</f>
        <v>0.14457156263024831</v>
      </c>
      <c r="W141" s="4"/>
      <c r="X141" s="4">
        <f>+P141-T141</f>
        <v>-17674.62999999999</v>
      </c>
      <c r="Y141" s="4"/>
      <c r="Z141" s="12">
        <f>IF(T141=0,0,X141/T141)</f>
        <v>-0.15256083139840998</v>
      </c>
    </row>
    <row r="142" spans="1:26" x14ac:dyDescent="0.25">
      <c r="A142" s="9"/>
      <c r="B142" s="10"/>
      <c r="C142" s="10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O142" s="10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s="23" customFormat="1" ht="15.75" thickBot="1" x14ac:dyDescent="0.3">
      <c r="A143" s="10"/>
      <c r="B143" s="26" t="s">
        <v>4</v>
      </c>
      <c r="C143" s="26"/>
      <c r="D143" s="33">
        <f>+D139-D141</f>
        <v>-37149.410000000018</v>
      </c>
      <c r="E143" s="13"/>
      <c r="F143" s="34">
        <f>IF(D$12=0,0,D143/D$12)</f>
        <v>-0.39604336269289048</v>
      </c>
      <c r="G143" s="13"/>
      <c r="H143" s="33">
        <f>+H139-H141</f>
        <v>38601.878626923106</v>
      </c>
      <c r="I143" s="13"/>
      <c r="J143" s="34">
        <f>IF(H$12=0,0,H143/H$12)</f>
        <v>0.12410344009221499</v>
      </c>
      <c r="K143" s="16"/>
      <c r="L143" s="33">
        <f>D143-H143</f>
        <v>-75751.288626923124</v>
      </c>
      <c r="M143" s="16"/>
      <c r="N143" s="34">
        <f>IF(H143=0,0,L143/H143)</f>
        <v>-1.962373110361783</v>
      </c>
      <c r="O143" s="25"/>
      <c r="P143" s="33">
        <f>+P139-P141</f>
        <v>125615.08000000003</v>
      </c>
      <c r="Q143" s="13"/>
      <c r="R143" s="34">
        <f>IF(P$12=0,0,P143/P$12)</f>
        <v>0.23702593522300333</v>
      </c>
      <c r="S143" s="13"/>
      <c r="T143" s="33">
        <f>+T139-T141</f>
        <v>39540.015330000024</v>
      </c>
      <c r="U143" s="13"/>
      <c r="V143" s="34">
        <f>IF(T$12=0,0,T143/T$12)</f>
        <v>4.9341508659094514E-2</v>
      </c>
      <c r="W143" s="16"/>
      <c r="X143" s="33">
        <f>P143-T143</f>
        <v>86075.064670000007</v>
      </c>
      <c r="Y143" s="16"/>
      <c r="Z143" s="34">
        <f>IF(T143=0,0,X143/T143)</f>
        <v>2.1769102503279165</v>
      </c>
    </row>
    <row r="144" spans="1:26" ht="15.75" thickTop="1" x14ac:dyDescent="0.25">
      <c r="A144" s="9"/>
      <c r="B144" s="9"/>
      <c r="C144" s="9"/>
      <c r="D144" s="3"/>
      <c r="E144" s="3"/>
      <c r="F144" s="8"/>
      <c r="G144" s="3"/>
      <c r="H144" s="3"/>
      <c r="I144" s="3"/>
      <c r="J144" s="8"/>
      <c r="K144" s="3"/>
      <c r="L144" s="3"/>
      <c r="M144" s="3"/>
      <c r="N144" s="8"/>
      <c r="P144" s="3"/>
      <c r="Q144" s="3"/>
      <c r="R144" s="8"/>
      <c r="S144" s="3"/>
      <c r="T144" s="3"/>
      <c r="U144" s="3"/>
      <c r="V144" s="8"/>
      <c r="W144" s="3"/>
      <c r="X144" s="3"/>
      <c r="Y144" s="3"/>
      <c r="Z144" s="8"/>
    </row>
    <row r="145" spans="1:26" x14ac:dyDescent="0.25">
      <c r="A145" s="9"/>
      <c r="B145" s="9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s="23" customFormat="1" ht="15.75" thickBot="1" x14ac:dyDescent="0.3">
      <c r="A146" s="10"/>
      <c r="B146" s="26" t="s">
        <v>5</v>
      </c>
      <c r="C146" s="26"/>
      <c r="D146" s="31">
        <f>SUM(D143:D145)</f>
        <v>-37149.410000000018</v>
      </c>
      <c r="E146" s="13"/>
      <c r="F146" s="32">
        <f>IF(D$12=0,0,D146/D$12)</f>
        <v>-0.39604336269289048</v>
      </c>
      <c r="G146" s="13"/>
      <c r="H146" s="31">
        <f>SUM(H143:H145)</f>
        <v>38601.878626923106</v>
      </c>
      <c r="I146" s="13"/>
      <c r="J146" s="32">
        <f>IF(H$12=0,0,H146/H$12)</f>
        <v>0.12410344009221499</v>
      </c>
      <c r="K146" s="16"/>
      <c r="L146" s="31">
        <f>+D146-H146</f>
        <v>-75751.288626923124</v>
      </c>
      <c r="M146" s="16"/>
      <c r="N146" s="32">
        <f>IF(H146=0,0,L146/H146)</f>
        <v>-1.962373110361783</v>
      </c>
      <c r="O146" s="25"/>
      <c r="P146" s="31">
        <f>SUM(P143:P145)</f>
        <v>125615.08000000003</v>
      </c>
      <c r="Q146" s="13"/>
      <c r="R146" s="32">
        <f>IF(P$12=0,0,P146/P$12)</f>
        <v>0.23702593522300333</v>
      </c>
      <c r="S146" s="13"/>
      <c r="T146" s="31">
        <f>SUM(T143:T145)</f>
        <v>39540.015330000024</v>
      </c>
      <c r="U146" s="13"/>
      <c r="V146" s="32">
        <f>IF(T$12=0,0,T146/T$12)</f>
        <v>4.9341508659094514E-2</v>
      </c>
      <c r="W146" s="16"/>
      <c r="X146" s="31">
        <f>+P146-T146</f>
        <v>86075.064670000007</v>
      </c>
      <c r="Y146" s="16"/>
      <c r="Z146" s="32">
        <f>IF(T146=0,0,X146/T146)</f>
        <v>2.1769102503279165</v>
      </c>
    </row>
    <row r="147" spans="1:26" ht="15.75" thickTop="1" x14ac:dyDescent="0.25">
      <c r="A147" s="9"/>
      <c r="C147" s="9"/>
      <c r="D147" s="17"/>
      <c r="E147" s="17"/>
      <c r="G147" s="17"/>
      <c r="H147" s="17"/>
      <c r="I147" s="17"/>
      <c r="J147" s="43"/>
      <c r="K147" s="17"/>
      <c r="L147" s="17"/>
      <c r="M147" s="17"/>
      <c r="P147" s="17"/>
      <c r="Q147" s="17"/>
      <c r="R147" s="43"/>
      <c r="S147" s="17"/>
      <c r="T147" s="17"/>
      <c r="U147" s="17"/>
      <c r="V147" s="43"/>
      <c r="W147" s="17"/>
      <c r="X147" s="17"/>
    </row>
    <row r="148" spans="1:26" x14ac:dyDescent="0.25">
      <c r="A148" s="9"/>
      <c r="B148" s="55">
        <v>44123.572031018521</v>
      </c>
      <c r="D148" s="17"/>
      <c r="E148" s="17"/>
      <c r="G148" s="17"/>
      <c r="H148" s="17"/>
      <c r="I148" s="17"/>
      <c r="J148" s="43"/>
      <c r="K148" s="17"/>
      <c r="L148" s="17"/>
      <c r="M148" s="17"/>
      <c r="P148" s="17"/>
      <c r="Q148" s="17"/>
      <c r="R148" s="43"/>
      <c r="S148" s="17"/>
      <c r="T148" s="17"/>
      <c r="U148" s="17"/>
      <c r="V148" s="43"/>
      <c r="W148" s="17"/>
      <c r="X148" s="17"/>
    </row>
    <row r="149" spans="1:26" x14ac:dyDescent="0.25">
      <c r="A149" s="9"/>
      <c r="B149" s="53" t="s">
        <v>314</v>
      </c>
      <c r="D149" s="17"/>
      <c r="E149" s="17"/>
      <c r="G149" s="17"/>
      <c r="H149" s="17"/>
      <c r="I149" s="17"/>
      <c r="J149" s="43"/>
      <c r="K149" s="17"/>
      <c r="L149" s="17"/>
      <c r="M149" s="17"/>
      <c r="P149" s="17"/>
      <c r="Q149" s="17"/>
      <c r="R149" s="43"/>
      <c r="S149" s="17"/>
      <c r="T149" s="17"/>
      <c r="U149" s="17"/>
      <c r="V149" s="43"/>
      <c r="W149" s="17"/>
      <c r="X149" s="17"/>
    </row>
    <row r="150" spans="1:26" x14ac:dyDescent="0.25">
      <c r="A150" s="9"/>
      <c r="B150" s="62"/>
      <c r="D150" s="17"/>
      <c r="E150" s="17"/>
      <c r="G150" s="17"/>
      <c r="H150" s="17"/>
      <c r="I150" s="17"/>
      <c r="J150" s="43"/>
      <c r="K150" s="17"/>
      <c r="L150" s="17"/>
      <c r="M150" s="17"/>
      <c r="P150" s="17"/>
      <c r="Q150" s="17"/>
      <c r="R150" s="43"/>
      <c r="S150" s="17"/>
      <c r="T150" s="17"/>
      <c r="U150" s="17"/>
      <c r="V150" s="43"/>
      <c r="W150" s="17"/>
      <c r="X150" s="17"/>
    </row>
    <row r="151" spans="1:26" x14ac:dyDescent="0.25">
      <c r="D151" s="17"/>
      <c r="E151" s="17"/>
      <c r="G151" s="17"/>
      <c r="H151" s="17"/>
      <c r="I151" s="17"/>
      <c r="J151" s="43"/>
      <c r="K151" s="17"/>
      <c r="L151" s="17"/>
      <c r="M151" s="17"/>
      <c r="P151" s="17"/>
      <c r="Q151" s="17"/>
      <c r="R151" s="43"/>
      <c r="S151" s="17"/>
      <c r="T151" s="17"/>
      <c r="U151" s="17"/>
      <c r="V151" s="43"/>
      <c r="W151" s="17"/>
      <c r="X151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","326", " - ", "2nd Street Store")</f>
        <v>Department 326 - 2nd Street Store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19966.789999999997</v>
      </c>
      <c r="E12" s="4"/>
      <c r="F12" s="12"/>
      <c r="G12" s="4"/>
      <c r="H12" s="4">
        <f>SUM(OSRRefH13x_0)</f>
        <v>30935</v>
      </c>
      <c r="I12" s="4"/>
      <c r="J12" s="12"/>
      <c r="K12" s="4"/>
      <c r="L12" s="4">
        <f t="shared" ref="L12:L31" si="0">+D12-H12</f>
        <v>-10968.210000000003</v>
      </c>
      <c r="M12" s="4"/>
      <c r="N12" s="12">
        <f t="shared" ref="N12:N31" si="1">IF(H12=0,0,L12/H12)</f>
        <v>-0.35455665104250855</v>
      </c>
      <c r="O12" s="10"/>
      <c r="P12" s="4">
        <f>SUM(OSRRefP13x_0)</f>
        <v>69643.879999999976</v>
      </c>
      <c r="Q12" s="4"/>
      <c r="R12" s="12"/>
      <c r="S12" s="4"/>
      <c r="T12" s="4">
        <f>SUM(OSRRefT13x_0)</f>
        <v>145862</v>
      </c>
      <c r="U12" s="4"/>
      <c r="V12" s="12"/>
      <c r="W12" s="4"/>
      <c r="X12" s="4">
        <f t="shared" ref="X12:X31" si="2">+P12-T12</f>
        <v>-76218.120000000024</v>
      </c>
      <c r="Y12" s="4"/>
      <c r="Z12" s="12">
        <f t="shared" ref="Z12:Z31" si="3">IF(T12=0,0,X12/T12)</f>
        <v>-0.52253582152993938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30935</v>
      </c>
      <c r="I13" s="2"/>
      <c r="J13" s="22"/>
      <c r="K13" s="2"/>
      <c r="L13" s="2">
        <f t="shared" si="0"/>
        <v>-30935</v>
      </c>
      <c r="M13" s="2"/>
      <c r="N13" s="22">
        <f t="shared" si="1"/>
        <v>-1</v>
      </c>
      <c r="O13" s="11"/>
      <c r="P13" s="2">
        <f>-646</f>
        <v>-646</v>
      </c>
      <c r="Q13" s="2"/>
      <c r="R13" s="22"/>
      <c r="S13" s="2"/>
      <c r="T13" s="2">
        <v>145862</v>
      </c>
      <c r="U13" s="2"/>
      <c r="V13" s="22"/>
      <c r="W13" s="2"/>
      <c r="X13" s="2">
        <f t="shared" si="2"/>
        <v>-146508</v>
      </c>
      <c r="Y13" s="2"/>
      <c r="Z13" s="22">
        <f t="shared" si="3"/>
        <v>-1.0044288437015809</v>
      </c>
    </row>
    <row r="14" spans="1:26" s="24" customFormat="1" hidden="1" outlineLevel="1" x14ac:dyDescent="0.25">
      <c r="A14" s="51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--3.96</f>
        <v>3.96</v>
      </c>
      <c r="E14" s="2"/>
      <c r="F14" s="22"/>
      <c r="G14" s="2"/>
      <c r="H14" s="2"/>
      <c r="I14" s="2"/>
      <c r="J14" s="22"/>
      <c r="K14" s="2"/>
      <c r="L14" s="2">
        <f t="shared" si="0"/>
        <v>3.96</v>
      </c>
      <c r="M14" s="2"/>
      <c r="N14" s="22">
        <f t="shared" si="1"/>
        <v>0</v>
      </c>
      <c r="O14" s="11"/>
      <c r="P14" s="2">
        <f>--18.53</f>
        <v>18.53</v>
      </c>
      <c r="Q14" s="2"/>
      <c r="R14" s="22"/>
      <c r="S14" s="2"/>
      <c r="T14" s="2"/>
      <c r="U14" s="2"/>
      <c r="V14" s="22"/>
      <c r="W14" s="2"/>
      <c r="X14" s="2">
        <f t="shared" si="2"/>
        <v>18.53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--2.13</f>
        <v>2.13</v>
      </c>
      <c r="E15" s="2"/>
      <c r="F15" s="22"/>
      <c r="G15" s="2"/>
      <c r="H15" s="2"/>
      <c r="I15" s="2"/>
      <c r="J15" s="22"/>
      <c r="K15" s="2"/>
      <c r="L15" s="2">
        <f t="shared" si="0"/>
        <v>2.13</v>
      </c>
      <c r="M15" s="2"/>
      <c r="N15" s="22">
        <f t="shared" si="1"/>
        <v>0</v>
      </c>
      <c r="O15" s="11"/>
      <c r="P15" s="2">
        <f>--11.12</f>
        <v>11.12</v>
      </c>
      <c r="Q15" s="2"/>
      <c r="R15" s="22"/>
      <c r="S15" s="2"/>
      <c r="T15" s="2"/>
      <c r="U15" s="2"/>
      <c r="V15" s="22"/>
      <c r="W15" s="2"/>
      <c r="X15" s="2">
        <f t="shared" si="2"/>
        <v>11.12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"4040", " - ", "TAXABLE SALES-LOGO CLOTHING")</f>
        <v xml:space="preserve">          4040 - TAXABLE SALES-LOGO CLOTHING</v>
      </c>
      <c r="C16" s="11"/>
      <c r="D16" s="2">
        <f>--15948.83</f>
        <v>15948.83</v>
      </c>
      <c r="E16" s="2"/>
      <c r="F16" s="22"/>
      <c r="G16" s="2"/>
      <c r="H16" s="2"/>
      <c r="I16" s="2"/>
      <c r="J16" s="22"/>
      <c r="K16" s="2"/>
      <c r="L16" s="2">
        <f t="shared" si="0"/>
        <v>15948.83</v>
      </c>
      <c r="M16" s="2"/>
      <c r="N16" s="22">
        <f t="shared" si="1"/>
        <v>0</v>
      </c>
      <c r="O16" s="11"/>
      <c r="P16" s="2">
        <f>--57034.9</f>
        <v>57034.9</v>
      </c>
      <c r="Q16" s="2"/>
      <c r="R16" s="22"/>
      <c r="S16" s="2"/>
      <c r="T16" s="2"/>
      <c r="U16" s="2"/>
      <c r="V16" s="22"/>
      <c r="W16" s="2"/>
      <c r="X16" s="2">
        <f t="shared" si="2"/>
        <v>57034.9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"4041", " - ", "TAXABLE SALES-LOGO GIFTS")</f>
        <v xml:space="preserve">          4041 - TAXABLE SALES-LOGO GIFTS</v>
      </c>
      <c r="C17" s="11"/>
      <c r="D17" s="2">
        <f>--2496</f>
        <v>2496</v>
      </c>
      <c r="E17" s="2"/>
      <c r="F17" s="22"/>
      <c r="G17" s="2"/>
      <c r="H17" s="2"/>
      <c r="I17" s="2"/>
      <c r="J17" s="22"/>
      <c r="K17" s="2"/>
      <c r="L17" s="2">
        <f t="shared" si="0"/>
        <v>2496</v>
      </c>
      <c r="M17" s="2"/>
      <c r="N17" s="22">
        <f t="shared" si="1"/>
        <v>0</v>
      </c>
      <c r="O17" s="11"/>
      <c r="P17" s="2">
        <f>--9525.35</f>
        <v>9525.35</v>
      </c>
      <c r="Q17" s="2"/>
      <c r="R17" s="22"/>
      <c r="S17" s="2"/>
      <c r="T17" s="2"/>
      <c r="U17" s="2"/>
      <c r="V17" s="22"/>
      <c r="W17" s="2"/>
      <c r="X17" s="2">
        <f t="shared" si="2"/>
        <v>9525.35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--1438.73</f>
        <v>1438.73</v>
      </c>
      <c r="E18" s="2"/>
      <c r="F18" s="22"/>
      <c r="G18" s="2"/>
      <c r="H18" s="2"/>
      <c r="I18" s="2"/>
      <c r="J18" s="22"/>
      <c r="K18" s="2"/>
      <c r="L18" s="2">
        <f t="shared" si="0"/>
        <v>1438.73</v>
      </c>
      <c r="M18" s="2"/>
      <c r="N18" s="22">
        <f t="shared" si="1"/>
        <v>0</v>
      </c>
      <c r="O18" s="11"/>
      <c r="P18" s="2">
        <f>--4287.56</f>
        <v>4287.5600000000004</v>
      </c>
      <c r="Q18" s="2"/>
      <c r="R18" s="22"/>
      <c r="S18" s="2"/>
      <c r="T18" s="2"/>
      <c r="U18" s="2"/>
      <c r="V18" s="22"/>
      <c r="W18" s="2"/>
      <c r="X18" s="2">
        <f t="shared" si="2"/>
        <v>4287.5600000000004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"4043", " - ", "TAXABLE SALES-CARDS")</f>
        <v xml:space="preserve">          4043 - TAXABLE SALES-CARDS</v>
      </c>
      <c r="C19" s="11"/>
      <c r="D19" s="2">
        <f>--247.77</f>
        <v>247.77</v>
      </c>
      <c r="E19" s="2"/>
      <c r="F19" s="22"/>
      <c r="G19" s="2"/>
      <c r="H19" s="2"/>
      <c r="I19" s="2"/>
      <c r="J19" s="22"/>
      <c r="K19" s="2"/>
      <c r="L19" s="2">
        <f t="shared" si="0"/>
        <v>247.77</v>
      </c>
      <c r="M19" s="2"/>
      <c r="N19" s="22">
        <f t="shared" si="1"/>
        <v>0</v>
      </c>
      <c r="O19" s="11"/>
      <c r="P19" s="2">
        <f>--627.41</f>
        <v>627.41</v>
      </c>
      <c r="Q19" s="2"/>
      <c r="R19" s="22"/>
      <c r="S19" s="2"/>
      <c r="T19" s="2"/>
      <c r="U19" s="2"/>
      <c r="V19" s="22"/>
      <c r="W19" s="2"/>
      <c r="X19" s="2">
        <f t="shared" si="2"/>
        <v>627.41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"4044", " - ", "TAXABLE SALES-ACCESSORIES")</f>
        <v xml:space="preserve">          4044 - TAXABLE SALES-ACCESSORIES</v>
      </c>
      <c r="C20" s="11"/>
      <c r="D20" s="2">
        <f>--290.39</f>
        <v>290.39</v>
      </c>
      <c r="E20" s="2"/>
      <c r="F20" s="22"/>
      <c r="G20" s="2"/>
      <c r="H20" s="2"/>
      <c r="I20" s="2"/>
      <c r="J20" s="22"/>
      <c r="K20" s="2"/>
      <c r="L20" s="2">
        <f t="shared" si="0"/>
        <v>290.39</v>
      </c>
      <c r="M20" s="2"/>
      <c r="N20" s="22">
        <f t="shared" si="1"/>
        <v>0</v>
      </c>
      <c r="O20" s="11"/>
      <c r="P20" s="2">
        <f>--782.47</f>
        <v>782.47</v>
      </c>
      <c r="Q20" s="2"/>
      <c r="R20" s="22"/>
      <c r="S20" s="2"/>
      <c r="T20" s="2"/>
      <c r="U20" s="2"/>
      <c r="V20" s="22"/>
      <c r="W20" s="2"/>
      <c r="X20" s="2">
        <f t="shared" si="2"/>
        <v>782.47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"4045", " - ", "TAXABLE SALES-SPECIAL ORDERS")</f>
        <v xml:space="preserve">          4045 - TAXABLE SALES-SPECIAL ORDERS</v>
      </c>
      <c r="C21" s="11"/>
      <c r="D21" s="2">
        <f>--34.9</f>
        <v>34.9</v>
      </c>
      <c r="E21" s="2"/>
      <c r="F21" s="22"/>
      <c r="G21" s="2"/>
      <c r="H21" s="2"/>
      <c r="I21" s="2"/>
      <c r="J21" s="22"/>
      <c r="K21" s="2"/>
      <c r="L21" s="2">
        <f t="shared" si="0"/>
        <v>34.9</v>
      </c>
      <c r="M21" s="2"/>
      <c r="N21" s="22">
        <f t="shared" si="1"/>
        <v>0</v>
      </c>
      <c r="O21" s="11"/>
      <c r="P21" s="2">
        <f>--34.9</f>
        <v>34.9</v>
      </c>
      <c r="Q21" s="2"/>
      <c r="R21" s="22"/>
      <c r="S21" s="2"/>
      <c r="T21" s="2"/>
      <c r="U21" s="2"/>
      <c r="V21" s="22"/>
      <c r="W21" s="2"/>
      <c r="X21" s="2">
        <f t="shared" si="2"/>
        <v>34.9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"4131", " - ", "NON-TAXABLE SALES-FOOD")</f>
        <v xml:space="preserve">          4131 - NON-TAXABLE SALES-FOOD</v>
      </c>
      <c r="C22" s="11"/>
      <c r="D22" s="2">
        <f>--12</f>
        <v>12</v>
      </c>
      <c r="E22" s="2"/>
      <c r="F22" s="22"/>
      <c r="G22" s="2"/>
      <c r="H22" s="2"/>
      <c r="I22" s="2"/>
      <c r="J22" s="22"/>
      <c r="K22" s="2"/>
      <c r="L22" s="2">
        <f t="shared" si="0"/>
        <v>12</v>
      </c>
      <c r="M22" s="2"/>
      <c r="N22" s="22">
        <f t="shared" si="1"/>
        <v>0</v>
      </c>
      <c r="O22" s="11"/>
      <c r="P22" s="2">
        <f>--22.5</f>
        <v>22.5</v>
      </c>
      <c r="Q22" s="2"/>
      <c r="R22" s="22"/>
      <c r="S22" s="2"/>
      <c r="T22" s="2"/>
      <c r="U22" s="2"/>
      <c r="V22" s="22"/>
      <c r="W22" s="2"/>
      <c r="X22" s="2">
        <f t="shared" si="2"/>
        <v>22.5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"4137", " - ", "NON-TAXABLE SALES-WATER")</f>
        <v xml:space="preserve">          4137 - NON-TAXABLE SALES-WATER</v>
      </c>
      <c r="C23" s="11"/>
      <c r="D23" s="2">
        <f>0</f>
        <v>0</v>
      </c>
      <c r="E23" s="2"/>
      <c r="F23" s="22"/>
      <c r="G23" s="2"/>
      <c r="H23" s="2"/>
      <c r="I23" s="2"/>
      <c r="J23" s="22"/>
      <c r="K23" s="2"/>
      <c r="L23" s="2">
        <f t="shared" si="0"/>
        <v>0</v>
      </c>
      <c r="M23" s="2"/>
      <c r="N23" s="22">
        <f t="shared" si="1"/>
        <v>0</v>
      </c>
      <c r="O23" s="11"/>
      <c r="P23" s="2">
        <f>--9</f>
        <v>9</v>
      </c>
      <c r="Q23" s="2"/>
      <c r="R23" s="22"/>
      <c r="S23" s="2"/>
      <c r="T23" s="2"/>
      <c r="U23" s="2"/>
      <c r="V23" s="22"/>
      <c r="W23" s="2"/>
      <c r="X23" s="2">
        <f t="shared" si="2"/>
        <v>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"4140", " - ", "NON-TAXABLE SALES-LOGO CLOTHIN")</f>
        <v xml:space="preserve">          4140 - NON-TAXABLE SALES-LOGO CLOTHIN</v>
      </c>
      <c r="C24" s="11"/>
      <c r="D24" s="2">
        <f>--7.49</f>
        <v>7.49</v>
      </c>
      <c r="E24" s="2"/>
      <c r="F24" s="22"/>
      <c r="G24" s="2"/>
      <c r="H24" s="2"/>
      <c r="I24" s="2"/>
      <c r="J24" s="22"/>
      <c r="K24" s="2"/>
      <c r="L24" s="2">
        <f t="shared" si="0"/>
        <v>7.49</v>
      </c>
      <c r="M24" s="2"/>
      <c r="N24" s="22">
        <f t="shared" si="1"/>
        <v>0</v>
      </c>
      <c r="O24" s="11"/>
      <c r="P24" s="2">
        <f>--90.93</f>
        <v>90.93</v>
      </c>
      <c r="Q24" s="2"/>
      <c r="R24" s="22"/>
      <c r="S24" s="2"/>
      <c r="T24" s="2"/>
      <c r="U24" s="2"/>
      <c r="V24" s="22"/>
      <c r="W24" s="2"/>
      <c r="X24" s="2">
        <f t="shared" si="2"/>
        <v>90.93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"4145", " - ", "NON-TAXABLE SALES-SPECIAL ORDE")</f>
        <v xml:space="preserve">          4145 - NON-TAXABLE SALES-SPECIAL ORDE</v>
      </c>
      <c r="C25" s="11"/>
      <c r="D25" s="2">
        <f>0</f>
        <v>0</v>
      </c>
      <c r="E25" s="2"/>
      <c r="F25" s="22"/>
      <c r="G25" s="2"/>
      <c r="H25" s="2"/>
      <c r="I25" s="2"/>
      <c r="J25" s="22"/>
      <c r="K25" s="2"/>
      <c r="L25" s="2">
        <f t="shared" si="0"/>
        <v>0</v>
      </c>
      <c r="M25" s="2"/>
      <c r="N25" s="22">
        <f t="shared" si="1"/>
        <v>0</v>
      </c>
      <c r="O25" s="11"/>
      <c r="P25" s="2">
        <f>--7</f>
        <v>7</v>
      </c>
      <c r="Q25" s="2"/>
      <c r="R25" s="22"/>
      <c r="S25" s="2"/>
      <c r="T25" s="2"/>
      <c r="U25" s="2"/>
      <c r="V25" s="22"/>
      <c r="W25" s="2"/>
      <c r="X25" s="2">
        <f t="shared" si="2"/>
        <v>7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"4226", " - ", "SALES RETURN TAXABLE-WRITING I")</f>
        <v xml:space="preserve">          4226 - SALES RETURN TAXABLE-WRITING I</v>
      </c>
      <c r="C26" s="11"/>
      <c r="D26" s="2">
        <f>-22.49</f>
        <v>-22.49</v>
      </c>
      <c r="E26" s="2"/>
      <c r="F26" s="22"/>
      <c r="G26" s="2"/>
      <c r="H26" s="2"/>
      <c r="I26" s="2"/>
      <c r="J26" s="22"/>
      <c r="K26" s="2"/>
      <c r="L26" s="2">
        <f t="shared" si="0"/>
        <v>-22.49</v>
      </c>
      <c r="M26" s="2"/>
      <c r="N26" s="22">
        <f t="shared" si="1"/>
        <v>0</v>
      </c>
      <c r="O26" s="11"/>
      <c r="P26" s="2">
        <f>-22.49</f>
        <v>-22.49</v>
      </c>
      <c r="Q26" s="2"/>
      <c r="R26" s="22"/>
      <c r="S26" s="2"/>
      <c r="T26" s="2"/>
      <c r="U26" s="2"/>
      <c r="V26" s="22"/>
      <c r="W26" s="2"/>
      <c r="X26" s="2">
        <f t="shared" si="2"/>
        <v>-22.49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"4227", " - ", "SALES RETURN TAXABLE-SCHOOL SU")</f>
        <v xml:space="preserve">          4227 - SALES RETURN TAXABLE-SCHOOL SU</v>
      </c>
      <c r="C27" s="11"/>
      <c r="D27" s="2">
        <f>0</f>
        <v>0</v>
      </c>
      <c r="E27" s="2"/>
      <c r="F27" s="22"/>
      <c r="G27" s="2"/>
      <c r="H27" s="2"/>
      <c r="I27" s="2"/>
      <c r="J27" s="22"/>
      <c r="K27" s="2"/>
      <c r="L27" s="2">
        <f t="shared" si="0"/>
        <v>0</v>
      </c>
      <c r="M27" s="2"/>
      <c r="N27" s="22">
        <f t="shared" si="1"/>
        <v>0</v>
      </c>
      <c r="O27" s="11"/>
      <c r="P27" s="2">
        <f>-30</f>
        <v>-30</v>
      </c>
      <c r="Q27" s="2"/>
      <c r="R27" s="22"/>
      <c r="S27" s="2"/>
      <c r="T27" s="2"/>
      <c r="U27" s="2"/>
      <c r="V27" s="22"/>
      <c r="W27" s="2"/>
      <c r="X27" s="2">
        <f t="shared" si="2"/>
        <v>-30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"4240", " - ", "SALES RETURN TAXABLE-LOGO CLOT")</f>
        <v xml:space="preserve">          4240 - SALES RETURN TAXABLE-LOGO CLOT</v>
      </c>
      <c r="C28" s="11"/>
      <c r="D28" s="2">
        <f>-453.78</f>
        <v>-453.78</v>
      </c>
      <c r="E28" s="2"/>
      <c r="F28" s="22"/>
      <c r="G28" s="2"/>
      <c r="H28" s="2"/>
      <c r="I28" s="2"/>
      <c r="J28" s="22"/>
      <c r="K28" s="2"/>
      <c r="L28" s="2">
        <f t="shared" si="0"/>
        <v>-453.78</v>
      </c>
      <c r="M28" s="2"/>
      <c r="N28" s="22">
        <f t="shared" si="1"/>
        <v>0</v>
      </c>
      <c r="O28" s="11"/>
      <c r="P28" s="2">
        <f>-1903.88</f>
        <v>-1903.88</v>
      </c>
      <c r="Q28" s="2"/>
      <c r="R28" s="22"/>
      <c r="S28" s="2"/>
      <c r="T28" s="2"/>
      <c r="U28" s="2"/>
      <c r="V28" s="22"/>
      <c r="W28" s="2"/>
      <c r="X28" s="2">
        <f t="shared" si="2"/>
        <v>-1903.88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"4241", " - ", "SALES RETURN TAXABLE-LOGO GIFT")</f>
        <v xml:space="preserve">          4241 - SALES RETURN TAXABLE-LOGO GIFT</v>
      </c>
      <c r="C29" s="11"/>
      <c r="D29" s="2">
        <f>-31.9</f>
        <v>-31.9</v>
      </c>
      <c r="E29" s="2"/>
      <c r="F29" s="22"/>
      <c r="G29" s="2"/>
      <c r="H29" s="2"/>
      <c r="I29" s="2"/>
      <c r="J29" s="22"/>
      <c r="K29" s="2"/>
      <c r="L29" s="2">
        <f t="shared" si="0"/>
        <v>-31.9</v>
      </c>
      <c r="M29" s="2"/>
      <c r="N29" s="22">
        <f t="shared" si="1"/>
        <v>0</v>
      </c>
      <c r="O29" s="11"/>
      <c r="P29" s="2">
        <f>-94.6</f>
        <v>-94.6</v>
      </c>
      <c r="Q29" s="2"/>
      <c r="R29" s="22"/>
      <c r="S29" s="2"/>
      <c r="T29" s="2"/>
      <c r="U29" s="2"/>
      <c r="V29" s="22"/>
      <c r="W29" s="2"/>
      <c r="X29" s="2">
        <f t="shared" si="2"/>
        <v>-94.6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"4242", " - ", "SALES RETURN TAXABLE-EVERYDAY")</f>
        <v xml:space="preserve">          4242 - SALES RETURN TAXABLE-EVERYDAY</v>
      </c>
      <c r="C30" s="11"/>
      <c r="D30" s="2">
        <f>-7.24</f>
        <v>-7.24</v>
      </c>
      <c r="E30" s="2"/>
      <c r="F30" s="22"/>
      <c r="G30" s="2"/>
      <c r="H30" s="2"/>
      <c r="I30" s="2"/>
      <c r="J30" s="22"/>
      <c r="K30" s="2"/>
      <c r="L30" s="2">
        <f t="shared" si="0"/>
        <v>-7.24</v>
      </c>
      <c r="M30" s="2"/>
      <c r="N30" s="22">
        <f t="shared" si="1"/>
        <v>0</v>
      </c>
      <c r="O30" s="11"/>
      <c r="P30" s="2">
        <f>-103.82</f>
        <v>-103.82</v>
      </c>
      <c r="Q30" s="2"/>
      <c r="R30" s="22"/>
      <c r="S30" s="2"/>
      <c r="T30" s="2"/>
      <c r="U30" s="2"/>
      <c r="V30" s="22"/>
      <c r="W30" s="2"/>
      <c r="X30" s="2">
        <f t="shared" si="2"/>
        <v>-103.82</v>
      </c>
      <c r="Y30" s="2"/>
      <c r="Z30" s="22">
        <f t="shared" si="3"/>
        <v>0</v>
      </c>
    </row>
    <row r="31" spans="1:26" s="24" customFormat="1" hidden="1" outlineLevel="1" x14ac:dyDescent="0.25">
      <c r="A31" s="51"/>
      <c r="B31" s="11" t="str">
        <f>CONCATENATE("          ", "4245", " - ", "SALES RETURN TAXABLE-SPECIAL O")</f>
        <v xml:space="preserve">          4245 - SALES RETURN TAXABLE-SPECIAL O</v>
      </c>
      <c r="C31" s="11"/>
      <c r="D31" s="2">
        <f>0</f>
        <v>0</v>
      </c>
      <c r="E31" s="2"/>
      <c r="F31" s="22"/>
      <c r="G31" s="2"/>
      <c r="H31" s="2"/>
      <c r="I31" s="2"/>
      <c r="J31" s="22"/>
      <c r="K31" s="2"/>
      <c r="L31" s="2">
        <f t="shared" si="0"/>
        <v>0</v>
      </c>
      <c r="M31" s="2"/>
      <c r="N31" s="22">
        <f t="shared" si="1"/>
        <v>0</v>
      </c>
      <c r="O31" s="11"/>
      <c r="P31" s="2">
        <f>-7</f>
        <v>-7</v>
      </c>
      <c r="Q31" s="2"/>
      <c r="R31" s="22"/>
      <c r="S31" s="2"/>
      <c r="T31" s="2"/>
      <c r="U31" s="2"/>
      <c r="V31" s="22"/>
      <c r="W31" s="2"/>
      <c r="X31" s="2">
        <f t="shared" si="2"/>
        <v>-7</v>
      </c>
      <c r="Y31" s="2"/>
      <c r="Z31" s="22">
        <f t="shared" si="3"/>
        <v>0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5" t="s">
        <v>8</v>
      </c>
      <c r="C33" s="10"/>
      <c r="D33" s="4">
        <f>SUM(OSRRefD16x_0)</f>
        <v>9366</v>
      </c>
      <c r="E33" s="4"/>
      <c r="F33" s="12">
        <f t="shared" ref="F33:F35" si="4">IF(D$12=0,0,D33/D$12)</f>
        <v>0.46907890552262038</v>
      </c>
      <c r="G33" s="4"/>
      <c r="H33" s="4">
        <f>SUM(OSRRefH16x_0)</f>
        <v>13302</v>
      </c>
      <c r="I33" s="4"/>
      <c r="J33" s="12">
        <f t="shared" ref="J33:J35" si="5">IF(H$12=0,0,H33/H$12)</f>
        <v>0.42999838370777438</v>
      </c>
      <c r="K33" s="4"/>
      <c r="L33" s="4">
        <f t="shared" ref="L33:L35" si="6">+D33-H33</f>
        <v>-3936</v>
      </c>
      <c r="M33" s="4"/>
      <c r="N33" s="12">
        <f t="shared" ref="N33:N35" si="7">IF(H33=0,0,L33/H33)</f>
        <v>-0.29589535408209294</v>
      </c>
      <c r="O33" s="10"/>
      <c r="P33" s="4">
        <f>SUM(OSRRefP16x_0)</f>
        <v>28006</v>
      </c>
      <c r="Q33" s="4"/>
      <c r="R33" s="12">
        <f t="shared" ref="R33:R35" si="8">IF(P$12=0,0,P33/P$12)</f>
        <v>0.40213152971948157</v>
      </c>
      <c r="S33" s="4"/>
      <c r="T33" s="4">
        <f>SUM(OSRRefT16x_0)</f>
        <v>62720</v>
      </c>
      <c r="U33" s="4"/>
      <c r="V33" s="12">
        <f t="shared" ref="V33:V35" si="9">IF(T$12=0,0,T33/T$12)</f>
        <v>0.42999547517516556</v>
      </c>
      <c r="W33" s="4"/>
      <c r="X33" s="4">
        <f t="shared" ref="X33:X35" si="10">+P33-T33</f>
        <v>-34714</v>
      </c>
      <c r="Y33" s="4"/>
      <c r="Z33" s="12">
        <f t="shared" ref="Z33:Z35" si="11">IF(T33=0,0,X33/T33)</f>
        <v>-0.55347576530612241</v>
      </c>
    </row>
    <row r="34" spans="1:26" s="24" customFormat="1" hidden="1" outlineLevel="1" x14ac:dyDescent="0.25">
      <c r="A34" s="51"/>
      <c r="B34" s="11" t="str">
        <f>CONCATENATE("          ", "5000", " - ", "PURCHASES @ COST")</f>
        <v xml:space="preserve">          5000 - PURCHASES @ COST</v>
      </c>
      <c r="C34" s="11"/>
      <c r="D34" s="2"/>
      <c r="E34" s="2"/>
      <c r="F34" s="22">
        <f t="shared" si="4"/>
        <v>0</v>
      </c>
      <c r="G34" s="2"/>
      <c r="H34" s="2">
        <v>13302</v>
      </c>
      <c r="I34" s="2"/>
      <c r="J34" s="22">
        <f t="shared" si="5"/>
        <v>0.42999838370777438</v>
      </c>
      <c r="K34" s="2"/>
      <c r="L34" s="2">
        <f t="shared" si="6"/>
        <v>-13302</v>
      </c>
      <c r="M34" s="2"/>
      <c r="N34" s="22">
        <f t="shared" si="7"/>
        <v>-1</v>
      </c>
      <c r="O34" s="11"/>
      <c r="P34" s="2"/>
      <c r="Q34" s="2"/>
      <c r="R34" s="22">
        <f t="shared" si="8"/>
        <v>0</v>
      </c>
      <c r="S34" s="2"/>
      <c r="T34" s="2">
        <v>62720</v>
      </c>
      <c r="U34" s="2"/>
      <c r="V34" s="22">
        <f t="shared" si="9"/>
        <v>0.42999547517516556</v>
      </c>
      <c r="W34" s="2"/>
      <c r="X34" s="2">
        <f t="shared" si="10"/>
        <v>-62720</v>
      </c>
      <c r="Y34" s="2"/>
      <c r="Z34" s="22">
        <f t="shared" si="11"/>
        <v>-1</v>
      </c>
    </row>
    <row r="35" spans="1:26" s="24" customFormat="1" hidden="1" outlineLevel="1" x14ac:dyDescent="0.25">
      <c r="A35" s="51"/>
      <c r="B35" s="11" t="str">
        <f>CONCATENATE("          ", "5300", " - ", "COG$ OFFSET")</f>
        <v xml:space="preserve">          5300 - COG$ OFFSET</v>
      </c>
      <c r="C35" s="11"/>
      <c r="D35" s="2">
        <v>9366</v>
      </c>
      <c r="E35" s="2"/>
      <c r="F35" s="22">
        <f t="shared" si="4"/>
        <v>0.46907890552262038</v>
      </c>
      <c r="G35" s="2"/>
      <c r="H35" s="2"/>
      <c r="I35" s="2"/>
      <c r="J35" s="22">
        <f t="shared" si="5"/>
        <v>0</v>
      </c>
      <c r="K35" s="2"/>
      <c r="L35" s="2">
        <f t="shared" si="6"/>
        <v>9366</v>
      </c>
      <c r="M35" s="2"/>
      <c r="N35" s="22">
        <f t="shared" si="7"/>
        <v>0</v>
      </c>
      <c r="O35" s="11"/>
      <c r="P35" s="2">
        <v>28006</v>
      </c>
      <c r="Q35" s="2"/>
      <c r="R35" s="22">
        <f t="shared" si="8"/>
        <v>0.40213152971948157</v>
      </c>
      <c r="S35" s="2"/>
      <c r="T35" s="2"/>
      <c r="U35" s="2"/>
      <c r="V35" s="22">
        <f t="shared" si="9"/>
        <v>0</v>
      </c>
      <c r="W35" s="2"/>
      <c r="X35" s="2">
        <f t="shared" si="10"/>
        <v>28006</v>
      </c>
      <c r="Y35" s="2"/>
      <c r="Z35" s="22">
        <f t="shared" si="11"/>
        <v>0</v>
      </c>
    </row>
    <row r="36" spans="1:26" x14ac:dyDescent="0.25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10"/>
      <c r="B37" s="26" t="s">
        <v>6</v>
      </c>
      <c r="C37" s="26"/>
      <c r="D37" s="20">
        <f>D12-D33</f>
        <v>10600.789999999997</v>
      </c>
      <c r="E37" s="13"/>
      <c r="F37" s="21">
        <f>IF(D$12=0,0,D37/D$12)</f>
        <v>0.53092109447737967</v>
      </c>
      <c r="G37" s="13"/>
      <c r="H37" s="20">
        <f>H12-H33</f>
        <v>17633</v>
      </c>
      <c r="I37" s="13"/>
      <c r="J37" s="21">
        <f>IF(H$12=0,0,H37/H$12)</f>
        <v>0.57000161629222568</v>
      </c>
      <c r="K37" s="16"/>
      <c r="L37" s="20">
        <f>+D37-H37</f>
        <v>-7032.2100000000028</v>
      </c>
      <c r="M37" s="16"/>
      <c r="N37" s="21">
        <f>IF(H37=0,0,L37/H37)</f>
        <v>-0.39880961832926914</v>
      </c>
      <c r="O37" s="25"/>
      <c r="P37" s="20">
        <f>P12-P33</f>
        <v>41637.879999999976</v>
      </c>
      <c r="Q37" s="13"/>
      <c r="R37" s="21">
        <f>IF(P$12=0,0,P37/P$12)</f>
        <v>0.59786847028051837</v>
      </c>
      <c r="S37" s="13"/>
      <c r="T37" s="20">
        <f>T12-T33</f>
        <v>83142</v>
      </c>
      <c r="U37" s="13"/>
      <c r="V37" s="21">
        <f>IF(T$12=0,0,T37/T$12)</f>
        <v>0.57000452482483444</v>
      </c>
      <c r="W37" s="16"/>
      <c r="X37" s="20">
        <f>+P37-T37</f>
        <v>-41504.120000000024</v>
      </c>
      <c r="Y37" s="16"/>
      <c r="Z37" s="21">
        <f>IF(T37=0,0,X37/T37)</f>
        <v>-0.4991955930817159</v>
      </c>
    </row>
    <row r="38" spans="1:26" x14ac:dyDescent="0.25">
      <c r="A38" s="9"/>
      <c r="B38" s="10"/>
      <c r="C38" s="9"/>
      <c r="D38" s="1"/>
      <c r="E38" s="1"/>
      <c r="F38" s="5"/>
      <c r="G38" s="1"/>
      <c r="H38" s="1"/>
      <c r="I38" s="1"/>
      <c r="J38" s="5"/>
      <c r="K38" s="1"/>
      <c r="L38" s="1"/>
      <c r="M38" s="1"/>
      <c r="N38" s="5"/>
      <c r="O38" s="36"/>
      <c r="P38" s="1"/>
      <c r="Q38" s="1"/>
      <c r="R38" s="5"/>
      <c r="S38" s="1"/>
      <c r="T38" s="1"/>
      <c r="U38" s="1"/>
      <c r="V38" s="5"/>
      <c r="W38" s="1"/>
      <c r="X38" s="1"/>
      <c r="Y38" s="1"/>
      <c r="Z38" s="5"/>
    </row>
    <row r="39" spans="1:26" s="23" customFormat="1" x14ac:dyDescent="0.25">
      <c r="A39" s="10"/>
      <c r="B39" s="25" t="s">
        <v>9</v>
      </c>
      <c r="C39" s="10"/>
      <c r="D39" s="19">
        <f>SUM(OSRRefD22x_0)</f>
        <v>21661.780000000002</v>
      </c>
      <c r="E39" s="19"/>
      <c r="F39" s="35">
        <f t="shared" ref="F39:F49" si="12">IF(D$12=0,0,D39/D$12)</f>
        <v>1.0848904606098428</v>
      </c>
      <c r="G39" s="19"/>
      <c r="H39" s="19">
        <f>SUM(OSRRefH22x_0)</f>
        <v>22460.595253846153</v>
      </c>
      <c r="I39" s="19"/>
      <c r="J39" s="35">
        <f t="shared" ref="J39:J49" si="13">IF(H$12=0,0,H39/H$12)</f>
        <v>0.72605770983824647</v>
      </c>
      <c r="K39" s="4"/>
      <c r="L39" s="19">
        <f t="shared" ref="L39:L49" si="14">+D39-H39</f>
        <v>-798.81525384615088</v>
      </c>
      <c r="M39" s="4"/>
      <c r="N39" s="35">
        <f t="shared" ref="N39:N49" si="15">IF(H39=0,0,L39/H39)</f>
        <v>-3.5565186265905477E-2</v>
      </c>
      <c r="O39" s="10"/>
      <c r="P39" s="19">
        <f>SUM(OSRRefP22x_0)</f>
        <v>63098.049999999981</v>
      </c>
      <c r="Q39" s="19"/>
      <c r="R39" s="35">
        <f t="shared" ref="R39:R49" si="16">IF(P$12=0,0,P39/P$12)</f>
        <v>0.90600997532015737</v>
      </c>
      <c r="S39" s="19"/>
      <c r="T39" s="19">
        <f>SUM(OSRRefT22x_0)</f>
        <v>77389.641724999994</v>
      </c>
      <c r="U39" s="19"/>
      <c r="V39" s="35">
        <f t="shared" ref="V39:V49" si="17">IF(T$12=0,0,T39/T$12)</f>
        <v>0.53056753455320782</v>
      </c>
      <c r="W39" s="4"/>
      <c r="X39" s="19">
        <f t="shared" ref="X39:X49" si="18">+P39-T39</f>
        <v>-14291.591725000013</v>
      </c>
      <c r="Y39" s="4"/>
      <c r="Z39" s="35">
        <f t="shared" ref="Z39:Z49" si="19">IF(T39=0,0,X39/T39)</f>
        <v>-0.18467060198811139</v>
      </c>
    </row>
    <row r="40" spans="1:26" s="28" customFormat="1" outlineLevel="1" collapsed="1" x14ac:dyDescent="0.25">
      <c r="A40" s="27"/>
      <c r="B40" s="14" t="str">
        <f>CONCATENATE("     ","*Benefits                                         ")</f>
        <v xml:space="preserve">     *Benefits                                         </v>
      </c>
      <c r="C40" s="14"/>
      <c r="D40" s="1">
        <f>SUM(OSRRefD22_0x_0)</f>
        <v>5184.3499999999995</v>
      </c>
      <c r="E40" s="1"/>
      <c r="F40" s="5">
        <f t="shared" si="12"/>
        <v>0.25964864657764219</v>
      </c>
      <c r="G40" s="1"/>
      <c r="H40" s="1">
        <f>SUM(OSRRefH22_0x_0)</f>
        <v>2132.5183307692323</v>
      </c>
      <c r="I40" s="1"/>
      <c r="J40" s="5">
        <f t="shared" si="13"/>
        <v>6.8935455980902935E-2</v>
      </c>
      <c r="K40" s="1"/>
      <c r="L40" s="1">
        <f t="shared" si="14"/>
        <v>3051.8316692307671</v>
      </c>
      <c r="M40" s="1"/>
      <c r="N40" s="5">
        <f t="shared" si="15"/>
        <v>1.4310928188504359</v>
      </c>
      <c r="O40" s="14"/>
      <c r="P40" s="1">
        <f>SUM(OSRRefP22_0x_0)</f>
        <v>14977.500000000002</v>
      </c>
      <c r="Q40" s="1"/>
      <c r="R40" s="5">
        <f t="shared" si="16"/>
        <v>0.21505837986051332</v>
      </c>
      <c r="S40" s="1"/>
      <c r="T40" s="1">
        <f>SUM(OSRRefT22_0x_0)</f>
        <v>7531.3917250000022</v>
      </c>
      <c r="U40" s="1"/>
      <c r="V40" s="5">
        <f t="shared" si="17"/>
        <v>5.1633679265333E-2</v>
      </c>
      <c r="W40" s="1"/>
      <c r="X40" s="1">
        <f t="shared" si="18"/>
        <v>7446.1082749999996</v>
      </c>
      <c r="Y40" s="1"/>
      <c r="Z40" s="5">
        <f t="shared" si="19"/>
        <v>0.98867626952440812</v>
      </c>
    </row>
    <row r="41" spans="1:26" s="24" customFormat="1" hidden="1" outlineLevel="2" x14ac:dyDescent="0.25">
      <c r="A41" s="29"/>
      <c r="B41" s="11" t="str">
        <f>CONCATENATE("          ", "6111", " - ", "F.I.C.A.")</f>
        <v xml:space="preserve">          6111 - F.I.C.A.</v>
      </c>
      <c r="C41" s="11"/>
      <c r="D41" s="6">
        <v>669.38</v>
      </c>
      <c r="E41" s="2"/>
      <c r="F41" s="7">
        <f t="shared" si="12"/>
        <v>3.3524667710733674E-2</v>
      </c>
      <c r="G41" s="2"/>
      <c r="H41" s="6">
        <v>280.276407692308</v>
      </c>
      <c r="I41" s="2"/>
      <c r="J41" s="7">
        <f t="shared" si="13"/>
        <v>9.0601715756362701E-3</v>
      </c>
      <c r="K41" s="2"/>
      <c r="L41" s="6">
        <f t="shared" si="14"/>
        <v>389.103592307692</v>
      </c>
      <c r="M41" s="2"/>
      <c r="N41" s="7">
        <f t="shared" si="15"/>
        <v>1.3882852128419465</v>
      </c>
      <c r="O41" s="11"/>
      <c r="P41" s="6">
        <v>2210.0100000000002</v>
      </c>
      <c r="Q41" s="2"/>
      <c r="R41" s="7">
        <f t="shared" si="16"/>
        <v>3.1733010854650849E-2</v>
      </c>
      <c r="S41" s="2"/>
      <c r="T41" s="6">
        <v>1802.855475000001</v>
      </c>
      <c r="U41" s="2"/>
      <c r="V41" s="7">
        <f t="shared" si="17"/>
        <v>1.2360007918443466E-2</v>
      </c>
      <c r="W41" s="2"/>
      <c r="X41" s="6">
        <f t="shared" si="18"/>
        <v>407.15452499999924</v>
      </c>
      <c r="Y41" s="2"/>
      <c r="Z41" s="7">
        <f t="shared" si="19"/>
        <v>0.22583869347596985</v>
      </c>
    </row>
    <row r="42" spans="1:26" s="24" customFormat="1" hidden="1" outlineLevel="2" x14ac:dyDescent="0.25">
      <c r="A42" s="29"/>
      <c r="B42" s="11" t="str">
        <f>CONCATENATE("          ", "6112", " - ", "COMPENSATION INSURANCE")</f>
        <v xml:space="preserve">          6112 - COMPENSATION INSURANCE</v>
      </c>
      <c r="C42" s="11"/>
      <c r="D42" s="6">
        <v>245.98</v>
      </c>
      <c r="E42" s="2"/>
      <c r="F42" s="7">
        <f t="shared" si="12"/>
        <v>1.2319456457447593E-2</v>
      </c>
      <c r="G42" s="2"/>
      <c r="H42" s="6">
        <v>163.58269230769201</v>
      </c>
      <c r="I42" s="2"/>
      <c r="J42" s="7">
        <f t="shared" si="13"/>
        <v>5.2879486765053177E-3</v>
      </c>
      <c r="K42" s="2"/>
      <c r="L42" s="6">
        <f t="shared" si="14"/>
        <v>82.397307692307976</v>
      </c>
      <c r="M42" s="2"/>
      <c r="N42" s="7">
        <f t="shared" si="15"/>
        <v>0.50370431327369392</v>
      </c>
      <c r="O42" s="11"/>
      <c r="P42" s="6">
        <v>858.02</v>
      </c>
      <c r="Q42" s="2"/>
      <c r="R42" s="7">
        <f t="shared" si="16"/>
        <v>1.2320106231875655E-2</v>
      </c>
      <c r="S42" s="2"/>
      <c r="T42" s="6">
        <v>531.64374999999893</v>
      </c>
      <c r="U42" s="2"/>
      <c r="V42" s="7">
        <f t="shared" si="17"/>
        <v>3.6448406713194591E-3</v>
      </c>
      <c r="W42" s="2"/>
      <c r="X42" s="6">
        <f t="shared" si="18"/>
        <v>326.37625000000105</v>
      </c>
      <c r="Y42" s="2"/>
      <c r="Z42" s="7">
        <f t="shared" si="19"/>
        <v>0.61390028567062382</v>
      </c>
    </row>
    <row r="43" spans="1:26" s="24" customFormat="1" hidden="1" outlineLevel="2" x14ac:dyDescent="0.25">
      <c r="A43" s="29"/>
      <c r="B43" s="11" t="str">
        <f>CONCATENATE("          ", "6113", " - ", "GROUP INSURANCE")</f>
        <v xml:space="preserve">          6113 - GROUP INSURANCE</v>
      </c>
      <c r="C43" s="11"/>
      <c r="D43" s="6">
        <v>2714.98</v>
      </c>
      <c r="E43" s="2"/>
      <c r="F43" s="7">
        <f t="shared" si="12"/>
        <v>0.13597478613237282</v>
      </c>
      <c r="G43" s="2"/>
      <c r="H43" s="6">
        <v>990</v>
      </c>
      <c r="I43" s="2"/>
      <c r="J43" s="7">
        <f t="shared" si="13"/>
        <v>3.2002586067561012E-2</v>
      </c>
      <c r="K43" s="2"/>
      <c r="L43" s="6">
        <f t="shared" si="14"/>
        <v>1724.98</v>
      </c>
      <c r="M43" s="2"/>
      <c r="N43" s="7">
        <f t="shared" si="15"/>
        <v>1.7424040404040404</v>
      </c>
      <c r="O43" s="11"/>
      <c r="P43" s="6">
        <v>7442.43</v>
      </c>
      <c r="Q43" s="2"/>
      <c r="R43" s="7">
        <f t="shared" si="16"/>
        <v>0.10686409200636154</v>
      </c>
      <c r="S43" s="2"/>
      <c r="T43" s="6">
        <v>2970</v>
      </c>
      <c r="U43" s="2"/>
      <c r="V43" s="7">
        <f t="shared" si="17"/>
        <v>2.0361711754946457E-2</v>
      </c>
      <c r="W43" s="2"/>
      <c r="X43" s="6">
        <f t="shared" si="18"/>
        <v>4472.43</v>
      </c>
      <c r="Y43" s="2"/>
      <c r="Z43" s="7">
        <f t="shared" si="19"/>
        <v>1.505868686868687</v>
      </c>
    </row>
    <row r="44" spans="1:26" s="24" customFormat="1" hidden="1" outlineLevel="2" x14ac:dyDescent="0.25">
      <c r="A44" s="29"/>
      <c r="B44" s="11" t="str">
        <f>CONCATENATE("          ", "6114", " - ", "STATE UNEMPLOYMENT INSURANCE")</f>
        <v xml:space="preserve">          6114 - STATE UNEMPLOYMENT INSURANCE</v>
      </c>
      <c r="C44" s="11"/>
      <c r="D44" s="6">
        <v>34.57</v>
      </c>
      <c r="E44" s="2"/>
      <c r="F44" s="7">
        <f t="shared" si="12"/>
        <v>1.7313749481013224E-3</v>
      </c>
      <c r="G44" s="2"/>
      <c r="H44" s="6">
        <v>22.99</v>
      </c>
      <c r="I44" s="2"/>
      <c r="J44" s="7">
        <f t="shared" si="13"/>
        <v>7.4317116534669461E-4</v>
      </c>
      <c r="K44" s="2"/>
      <c r="L44" s="6">
        <f t="shared" si="14"/>
        <v>11.580000000000002</v>
      </c>
      <c r="M44" s="2"/>
      <c r="N44" s="7">
        <f t="shared" si="15"/>
        <v>0.50369725967812107</v>
      </c>
      <c r="O44" s="11"/>
      <c r="P44" s="6">
        <v>94.24</v>
      </c>
      <c r="Q44" s="2"/>
      <c r="R44" s="7">
        <f t="shared" si="16"/>
        <v>1.3531698693409963E-3</v>
      </c>
      <c r="S44" s="2"/>
      <c r="T44" s="6">
        <v>74.717500000000001</v>
      </c>
      <c r="U44" s="2"/>
      <c r="V44" s="7">
        <f t="shared" si="17"/>
        <v>5.1224787813138452E-4</v>
      </c>
      <c r="W44" s="2"/>
      <c r="X44" s="6">
        <f t="shared" si="18"/>
        <v>19.522499999999994</v>
      </c>
      <c r="Y44" s="2"/>
      <c r="Z44" s="7">
        <f t="shared" si="19"/>
        <v>0.26128417037507939</v>
      </c>
    </row>
    <row r="45" spans="1:26" s="24" customFormat="1" hidden="1" outlineLevel="2" x14ac:dyDescent="0.25">
      <c r="A45" s="29"/>
      <c r="B45" s="11" t="str">
        <f>CONCATENATE("          ", "6115", " - ", "P.E.R.S.")</f>
        <v xml:space="preserve">          6115 - P.E.R.S.</v>
      </c>
      <c r="C45" s="11"/>
      <c r="D45" s="6">
        <v>362.12</v>
      </c>
      <c r="E45" s="2"/>
      <c r="F45" s="7">
        <f t="shared" si="12"/>
        <v>1.8136115018989034E-2</v>
      </c>
      <c r="G45" s="2"/>
      <c r="H45" s="6">
        <v>201.43846153846201</v>
      </c>
      <c r="I45" s="2"/>
      <c r="J45" s="7">
        <f t="shared" si="13"/>
        <v>6.5116683865673831E-3</v>
      </c>
      <c r="K45" s="2"/>
      <c r="L45" s="6">
        <f t="shared" si="14"/>
        <v>160.681538461538</v>
      </c>
      <c r="M45" s="2"/>
      <c r="N45" s="7">
        <f t="shared" si="15"/>
        <v>0.79767059991598466</v>
      </c>
      <c r="O45" s="11"/>
      <c r="P45" s="6">
        <v>1267.42</v>
      </c>
      <c r="Q45" s="2"/>
      <c r="R45" s="7">
        <f t="shared" si="16"/>
        <v>1.8198583996181725E-2</v>
      </c>
      <c r="S45" s="2"/>
      <c r="T45" s="6">
        <v>654.67500000000098</v>
      </c>
      <c r="U45" s="2"/>
      <c r="V45" s="7">
        <f t="shared" si="17"/>
        <v>4.4883177249729267E-3</v>
      </c>
      <c r="W45" s="2"/>
      <c r="X45" s="6">
        <f t="shared" si="18"/>
        <v>612.7449999999991</v>
      </c>
      <c r="Y45" s="2"/>
      <c r="Z45" s="7">
        <f t="shared" si="19"/>
        <v>0.93595295375567755</v>
      </c>
    </row>
    <row r="46" spans="1:26" s="24" customFormat="1" hidden="1" outlineLevel="2" x14ac:dyDescent="0.25">
      <c r="A46" s="29"/>
      <c r="B46" s="11" t="str">
        <f>CONCATENATE("          ", "6116", " - ", "EDUCATIONAL BENEFITS")</f>
        <v xml:space="preserve">          6116 - EDUCATIONAL BENEFITS</v>
      </c>
      <c r="C46" s="11"/>
      <c r="D46" s="6"/>
      <c r="E46" s="2"/>
      <c r="F46" s="7">
        <f t="shared" si="12"/>
        <v>0</v>
      </c>
      <c r="G46" s="2"/>
      <c r="H46" s="6">
        <v>0</v>
      </c>
      <c r="I46" s="2"/>
      <c r="J46" s="7">
        <f t="shared" si="13"/>
        <v>0</v>
      </c>
      <c r="K46" s="2"/>
      <c r="L46" s="6">
        <f t="shared" si="14"/>
        <v>0</v>
      </c>
      <c r="M46" s="2"/>
      <c r="N46" s="7">
        <f t="shared" si="15"/>
        <v>0</v>
      </c>
      <c r="O46" s="11"/>
      <c r="P46" s="6"/>
      <c r="Q46" s="2"/>
      <c r="R46" s="7">
        <f t="shared" si="16"/>
        <v>0</v>
      </c>
      <c r="S46" s="2"/>
      <c r="T46" s="6">
        <v>0</v>
      </c>
      <c r="U46" s="2"/>
      <c r="V46" s="7">
        <f t="shared" si="17"/>
        <v>0</v>
      </c>
      <c r="W46" s="2"/>
      <c r="X46" s="6">
        <f t="shared" si="18"/>
        <v>0</v>
      </c>
      <c r="Y46" s="2"/>
      <c r="Z46" s="7">
        <f t="shared" si="19"/>
        <v>0</v>
      </c>
    </row>
    <row r="47" spans="1:26" s="24" customFormat="1" hidden="1" outlineLevel="2" x14ac:dyDescent="0.25">
      <c r="A47" s="29"/>
      <c r="B47" s="11" t="str">
        <f>CONCATENATE("          ", "6118", " - ", "VACATION")</f>
        <v xml:space="preserve">          6118 - VACATION</v>
      </c>
      <c r="C47" s="11"/>
      <c r="D47" s="6">
        <v>498.76</v>
      </c>
      <c r="E47" s="2"/>
      <c r="F47" s="7">
        <f t="shared" si="12"/>
        <v>2.4979478423922927E-2</v>
      </c>
      <c r="G47" s="2"/>
      <c r="H47" s="6">
        <v>117.11538461538501</v>
      </c>
      <c r="I47" s="2"/>
      <c r="J47" s="7">
        <f t="shared" si="13"/>
        <v>3.7858537131205757E-3</v>
      </c>
      <c r="K47" s="2"/>
      <c r="L47" s="6">
        <f t="shared" si="14"/>
        <v>381.64461538461501</v>
      </c>
      <c r="M47" s="2"/>
      <c r="N47" s="7">
        <f t="shared" si="15"/>
        <v>3.2587060755336474</v>
      </c>
      <c r="O47" s="11"/>
      <c r="P47" s="6">
        <v>1400.03</v>
      </c>
      <c r="Q47" s="2"/>
      <c r="R47" s="7">
        <f t="shared" si="16"/>
        <v>2.0102699619837384E-2</v>
      </c>
      <c r="S47" s="2"/>
      <c r="T47" s="6">
        <v>380.62500000000102</v>
      </c>
      <c r="U47" s="2"/>
      <c r="V47" s="7">
        <f t="shared" si="17"/>
        <v>2.6094870494028674E-3</v>
      </c>
      <c r="W47" s="2"/>
      <c r="X47" s="6">
        <f t="shared" si="18"/>
        <v>1019.4049999999989</v>
      </c>
      <c r="Y47" s="2"/>
      <c r="Z47" s="7">
        <f t="shared" si="19"/>
        <v>2.6782397372742102</v>
      </c>
    </row>
    <row r="48" spans="1:26" s="24" customFormat="1" hidden="1" outlineLevel="2" x14ac:dyDescent="0.25">
      <c r="A48" s="29"/>
      <c r="B48" s="11" t="str">
        <f>CONCATENATE("          ", "6119", " - ", "SICK LEAVE")</f>
        <v xml:space="preserve">          6119 - SICK LEAVE</v>
      </c>
      <c r="C48" s="11"/>
      <c r="D48" s="6">
        <v>446.7</v>
      </c>
      <c r="E48" s="2"/>
      <c r="F48" s="7">
        <f t="shared" si="12"/>
        <v>2.2372148953337018E-2</v>
      </c>
      <c r="G48" s="2"/>
      <c r="H48" s="6">
        <v>182.11538461538501</v>
      </c>
      <c r="I48" s="2"/>
      <c r="J48" s="7">
        <f t="shared" si="13"/>
        <v>5.8870336064452888E-3</v>
      </c>
      <c r="K48" s="2"/>
      <c r="L48" s="6">
        <f t="shared" si="14"/>
        <v>264.58461538461495</v>
      </c>
      <c r="M48" s="2"/>
      <c r="N48" s="7">
        <f t="shared" si="15"/>
        <v>1.4528405491024232</v>
      </c>
      <c r="O48" s="11"/>
      <c r="P48" s="6">
        <v>1116.75</v>
      </c>
      <c r="Q48" s="2"/>
      <c r="R48" s="7">
        <f t="shared" si="16"/>
        <v>1.6035149104271625E-2</v>
      </c>
      <c r="S48" s="2"/>
      <c r="T48" s="6">
        <v>591.87500000000102</v>
      </c>
      <c r="U48" s="2"/>
      <c r="V48" s="7">
        <f t="shared" si="17"/>
        <v>4.057773786181466E-3</v>
      </c>
      <c r="W48" s="2"/>
      <c r="X48" s="6">
        <f t="shared" si="18"/>
        <v>524.87499999999898</v>
      </c>
      <c r="Y48" s="2"/>
      <c r="Z48" s="7">
        <f t="shared" si="19"/>
        <v>0.88680042238648038</v>
      </c>
    </row>
    <row r="49" spans="1:26" s="24" customFormat="1" hidden="1" outlineLevel="2" x14ac:dyDescent="0.25">
      <c r="A49" s="29"/>
      <c r="B49" s="11" t="str">
        <f>CONCATENATE("          ", "6156", " - ", "EMPLOYEE MEALS")</f>
        <v xml:space="preserve">          6156 - EMPLOYEE MEALS</v>
      </c>
      <c r="C49" s="11"/>
      <c r="D49" s="6">
        <v>211.86</v>
      </c>
      <c r="E49" s="2"/>
      <c r="F49" s="7">
        <f t="shared" si="12"/>
        <v>1.0610618932737813E-2</v>
      </c>
      <c r="G49" s="2"/>
      <c r="H49" s="6">
        <v>175</v>
      </c>
      <c r="I49" s="2"/>
      <c r="J49" s="7">
        <f t="shared" si="13"/>
        <v>5.6570227897203814E-3</v>
      </c>
      <c r="K49" s="2"/>
      <c r="L49" s="6">
        <f t="shared" si="14"/>
        <v>36.860000000000014</v>
      </c>
      <c r="M49" s="2"/>
      <c r="N49" s="7">
        <f t="shared" si="15"/>
        <v>0.2106285714285715</v>
      </c>
      <c r="O49" s="11"/>
      <c r="P49" s="6">
        <v>588.6</v>
      </c>
      <c r="Q49" s="2"/>
      <c r="R49" s="7">
        <f t="shared" si="16"/>
        <v>8.4515681779935327E-3</v>
      </c>
      <c r="S49" s="2"/>
      <c r="T49" s="6">
        <v>525</v>
      </c>
      <c r="U49" s="2"/>
      <c r="V49" s="7">
        <f t="shared" si="17"/>
        <v>3.5992924819349798E-3</v>
      </c>
      <c r="W49" s="2"/>
      <c r="X49" s="6">
        <f t="shared" si="18"/>
        <v>63.600000000000023</v>
      </c>
      <c r="Y49" s="2"/>
      <c r="Z49" s="7">
        <f t="shared" si="19"/>
        <v>0.12114285714285719</v>
      </c>
    </row>
    <row r="50" spans="1:26" s="28" customFormat="1" outlineLevel="1" collapsed="1" x14ac:dyDescent="0.25">
      <c r="A50" s="27"/>
      <c r="B50" s="14" t="str">
        <f>CONCATENATE("     ","*Payroll                                          ")</f>
        <v xml:space="preserve">     *Payroll                                          </v>
      </c>
      <c r="C50" s="14"/>
      <c r="D50" s="1">
        <f>SUM(OSRRefD22_1x_0)</f>
        <v>7185.8399999999992</v>
      </c>
      <c r="E50" s="1"/>
      <c r="F50" s="5">
        <f t="shared" ref="F50:F60" si="20">IF(D$12=0,0,D50/D$12)</f>
        <v>0.35988959667527931</v>
      </c>
      <c r="G50" s="1"/>
      <c r="H50" s="1">
        <f>SUM(OSRRefH22_1x_0)</f>
        <v>8608.0769230769201</v>
      </c>
      <c r="I50" s="1"/>
      <c r="J50" s="5">
        <f t="shared" ref="J50:J60" si="21">IF(H$12=0,0,H50/H$12)</f>
        <v>0.27826335616864134</v>
      </c>
      <c r="K50" s="1"/>
      <c r="L50" s="1">
        <f t="shared" ref="L50:L60" si="22">+D50-H50</f>
        <v>-1422.2369230769209</v>
      </c>
      <c r="M50" s="1"/>
      <c r="N50" s="5">
        <f t="shared" ref="N50:N60" si="23">IF(H50=0,0,L50/H50)</f>
        <v>-0.16522121442294785</v>
      </c>
      <c r="O50" s="14"/>
      <c r="P50" s="1">
        <f>SUM(OSRRefP22_1x_0)</f>
        <v>22934.48</v>
      </c>
      <c r="Q50" s="1"/>
      <c r="R50" s="5">
        <f t="shared" ref="R50:R60" si="24">IF(P$12=0,0,P50/P$12)</f>
        <v>0.3293107736099713</v>
      </c>
      <c r="S50" s="1"/>
      <c r="T50" s="1">
        <f>SUM(OSRRefT22_1x_0)</f>
        <v>27976.249999999989</v>
      </c>
      <c r="U50" s="1"/>
      <c r="V50" s="5">
        <f t="shared" ref="V50:V60" si="25">IF(T$12=0,0,T50/T$12)</f>
        <v>0.19179944056711132</v>
      </c>
      <c r="W50" s="1"/>
      <c r="X50" s="1">
        <f t="shared" ref="X50:X60" si="26">+P50-T50</f>
        <v>-5041.7699999999895</v>
      </c>
      <c r="Y50" s="1"/>
      <c r="Z50" s="5">
        <f t="shared" ref="Z50:Z60" si="27">IF(T50=0,0,X50/T50)</f>
        <v>-0.18021607613600793</v>
      </c>
    </row>
    <row r="51" spans="1:26" s="24" customFormat="1" hidden="1" outlineLevel="2" x14ac:dyDescent="0.25">
      <c r="A51" s="29"/>
      <c r="B51" s="11" t="str">
        <f>CONCATENATE("          ", "6001", " - ", "ADMINISTRATIVE SALARIES")</f>
        <v xml:space="preserve">          6001 - ADMINISTRATIVE SALARIES</v>
      </c>
      <c r="C51" s="11"/>
      <c r="D51" s="6"/>
      <c r="E51" s="2"/>
      <c r="F51" s="7">
        <f t="shared" si="20"/>
        <v>0</v>
      </c>
      <c r="G51" s="2"/>
      <c r="H51" s="6">
        <v>0</v>
      </c>
      <c r="I51" s="2"/>
      <c r="J51" s="7">
        <f t="shared" si="21"/>
        <v>0</v>
      </c>
      <c r="K51" s="2"/>
      <c r="L51" s="6">
        <f t="shared" si="22"/>
        <v>0</v>
      </c>
      <c r="M51" s="2"/>
      <c r="N51" s="7">
        <f t="shared" si="23"/>
        <v>0</v>
      </c>
      <c r="O51" s="11"/>
      <c r="P51" s="6"/>
      <c r="Q51" s="2"/>
      <c r="R51" s="7">
        <f t="shared" si="24"/>
        <v>0</v>
      </c>
      <c r="S51" s="2"/>
      <c r="T51" s="6">
        <v>0</v>
      </c>
      <c r="U51" s="2"/>
      <c r="V51" s="7">
        <f t="shared" si="25"/>
        <v>0</v>
      </c>
      <c r="W51" s="2"/>
      <c r="X51" s="6">
        <f t="shared" si="26"/>
        <v>0</v>
      </c>
      <c r="Y51" s="2"/>
      <c r="Z51" s="7">
        <f t="shared" si="27"/>
        <v>0</v>
      </c>
    </row>
    <row r="52" spans="1:26" s="24" customFormat="1" hidden="1" outlineLevel="2" x14ac:dyDescent="0.25">
      <c r="A52" s="29"/>
      <c r="B52" s="11" t="str">
        <f>CONCATENATE("          ", "6002", " - ", "STAFF SALARIES")</f>
        <v xml:space="preserve">          6002 - STAFF SALARIES</v>
      </c>
      <c r="C52" s="11"/>
      <c r="D52" s="6">
        <v>4684.62</v>
      </c>
      <c r="E52" s="2"/>
      <c r="F52" s="7">
        <f t="shared" si="20"/>
        <v>0.23462058748551973</v>
      </c>
      <c r="G52" s="2"/>
      <c r="H52" s="6">
        <v>2108.0769230769201</v>
      </c>
      <c r="I52" s="2"/>
      <c r="J52" s="7">
        <f t="shared" si="21"/>
        <v>6.8145366836170035E-2</v>
      </c>
      <c r="K52" s="2"/>
      <c r="L52" s="6">
        <f t="shared" si="22"/>
        <v>2576.5430769230798</v>
      </c>
      <c r="M52" s="2"/>
      <c r="N52" s="7">
        <f t="shared" si="23"/>
        <v>1.2222244116037251</v>
      </c>
      <c r="O52" s="11"/>
      <c r="P52" s="6">
        <v>15224.86</v>
      </c>
      <c r="Q52" s="2"/>
      <c r="R52" s="7">
        <f t="shared" si="24"/>
        <v>0.21861016359226404</v>
      </c>
      <c r="S52" s="2"/>
      <c r="T52" s="6">
        <v>6851.24999999999</v>
      </c>
      <c r="U52" s="2"/>
      <c r="V52" s="7">
        <f t="shared" si="25"/>
        <v>4.6970766889251413E-2</v>
      </c>
      <c r="W52" s="2"/>
      <c r="X52" s="6">
        <f t="shared" si="26"/>
        <v>8373.6100000000115</v>
      </c>
      <c r="Y52" s="2"/>
      <c r="Z52" s="7">
        <f t="shared" si="27"/>
        <v>1.222201787994895</v>
      </c>
    </row>
    <row r="53" spans="1:26" s="24" customFormat="1" hidden="1" outlineLevel="2" x14ac:dyDescent="0.25">
      <c r="A53" s="29"/>
      <c r="B53" s="11" t="str">
        <f>CONCATENATE("          ", "6003", " - ", "STAFF HOURLY-9 MONTH")</f>
        <v xml:space="preserve">          6003 - STAFF HOURLY-9 MONTH</v>
      </c>
      <c r="C53" s="11"/>
      <c r="D53" s="6"/>
      <c r="E53" s="2"/>
      <c r="F53" s="7">
        <f t="shared" si="20"/>
        <v>0</v>
      </c>
      <c r="G53" s="2"/>
      <c r="H53" s="6">
        <v>0</v>
      </c>
      <c r="I53" s="2"/>
      <c r="J53" s="7">
        <f t="shared" si="21"/>
        <v>0</v>
      </c>
      <c r="K53" s="2"/>
      <c r="L53" s="6">
        <f t="shared" si="22"/>
        <v>0</v>
      </c>
      <c r="M53" s="2"/>
      <c r="N53" s="7">
        <f t="shared" si="23"/>
        <v>0</v>
      </c>
      <c r="O53" s="11"/>
      <c r="P53" s="6"/>
      <c r="Q53" s="2"/>
      <c r="R53" s="7">
        <f t="shared" si="24"/>
        <v>0</v>
      </c>
      <c r="S53" s="2"/>
      <c r="T53" s="6">
        <v>0</v>
      </c>
      <c r="U53" s="2"/>
      <c r="V53" s="7">
        <f t="shared" si="25"/>
        <v>0</v>
      </c>
      <c r="W53" s="2"/>
      <c r="X53" s="6">
        <f t="shared" si="26"/>
        <v>0</v>
      </c>
      <c r="Y53" s="2"/>
      <c r="Z53" s="7">
        <f t="shared" si="27"/>
        <v>0</v>
      </c>
    </row>
    <row r="54" spans="1:26" s="24" customFormat="1" hidden="1" outlineLevel="2" x14ac:dyDescent="0.25">
      <c r="A54" s="29"/>
      <c r="B54" s="11" t="str">
        <f>CONCATENATE("          ", "6004", " - ", "STAFF HOURLY")</f>
        <v xml:space="preserve">          6004 - STAFF HOURLY</v>
      </c>
      <c r="C54" s="11"/>
      <c r="D54" s="6">
        <v>-207.97</v>
      </c>
      <c r="E54" s="2"/>
      <c r="F54" s="7">
        <f t="shared" si="20"/>
        <v>-1.0415795428308708E-2</v>
      </c>
      <c r="G54" s="2"/>
      <c r="H54" s="6">
        <v>1320</v>
      </c>
      <c r="I54" s="2"/>
      <c r="J54" s="7">
        <f t="shared" si="21"/>
        <v>4.267011475674802E-2</v>
      </c>
      <c r="K54" s="2"/>
      <c r="L54" s="6">
        <f t="shared" si="22"/>
        <v>-1527.97</v>
      </c>
      <c r="M54" s="2"/>
      <c r="N54" s="7">
        <f t="shared" si="23"/>
        <v>-1.1575530303030304</v>
      </c>
      <c r="O54" s="11"/>
      <c r="P54" s="6">
        <v>-369.06</v>
      </c>
      <c r="Q54" s="2"/>
      <c r="R54" s="7">
        <f t="shared" si="24"/>
        <v>-5.2992452459570049E-3</v>
      </c>
      <c r="S54" s="2"/>
      <c r="T54" s="6">
        <v>4290</v>
      </c>
      <c r="U54" s="2"/>
      <c r="V54" s="7">
        <f t="shared" si="25"/>
        <v>2.9411361423811549E-2</v>
      </c>
      <c r="W54" s="2"/>
      <c r="X54" s="6">
        <f t="shared" si="26"/>
        <v>-4659.0600000000004</v>
      </c>
      <c r="Y54" s="2"/>
      <c r="Z54" s="7">
        <f t="shared" si="27"/>
        <v>-1.0860279720279722</v>
      </c>
    </row>
    <row r="55" spans="1:26" s="24" customFormat="1" hidden="1" outlineLevel="2" x14ac:dyDescent="0.25">
      <c r="A55" s="29"/>
      <c r="B55" s="11" t="str">
        <f>CONCATENATE("          ", "6005", " - ", "TEMPORARY WAGES-HOURLY")</f>
        <v xml:space="preserve">          6005 - TEMPORARY WAGES-HOURLY</v>
      </c>
      <c r="C55" s="11"/>
      <c r="D55" s="6">
        <v>1332.13</v>
      </c>
      <c r="E55" s="2"/>
      <c r="F55" s="7">
        <f t="shared" si="20"/>
        <v>6.6717284050165318E-2</v>
      </c>
      <c r="G55" s="2"/>
      <c r="H55" s="6">
        <v>0</v>
      </c>
      <c r="I55" s="2"/>
      <c r="J55" s="7">
        <f t="shared" si="21"/>
        <v>0</v>
      </c>
      <c r="K55" s="2"/>
      <c r="L55" s="6">
        <f t="shared" si="22"/>
        <v>1332.13</v>
      </c>
      <c r="M55" s="2"/>
      <c r="N55" s="7">
        <f t="shared" si="23"/>
        <v>0</v>
      </c>
      <c r="O55" s="11"/>
      <c r="P55" s="6">
        <v>3629.77</v>
      </c>
      <c r="Q55" s="2"/>
      <c r="R55" s="7">
        <f t="shared" si="24"/>
        <v>5.2119008877736295E-2</v>
      </c>
      <c r="S55" s="2"/>
      <c r="T55" s="6">
        <v>0</v>
      </c>
      <c r="U55" s="2"/>
      <c r="V55" s="7">
        <f t="shared" si="25"/>
        <v>0</v>
      </c>
      <c r="W55" s="2"/>
      <c r="X55" s="6">
        <f t="shared" si="26"/>
        <v>3629.77</v>
      </c>
      <c r="Y55" s="2"/>
      <c r="Z55" s="7">
        <f t="shared" si="27"/>
        <v>0</v>
      </c>
    </row>
    <row r="56" spans="1:26" s="24" customFormat="1" hidden="1" outlineLevel="2" x14ac:dyDescent="0.25">
      <c r="A56" s="29"/>
      <c r="B56" s="11" t="str">
        <f>CONCATENATE("          ", "6006", " - ", "TEMPORARY PART TIME")</f>
        <v xml:space="preserve">          6006 - TEMPORARY PART TIME</v>
      </c>
      <c r="C56" s="11"/>
      <c r="D56" s="6"/>
      <c r="E56" s="2"/>
      <c r="F56" s="7">
        <f t="shared" si="20"/>
        <v>0</v>
      </c>
      <c r="G56" s="2"/>
      <c r="H56" s="6">
        <v>0</v>
      </c>
      <c r="I56" s="2"/>
      <c r="J56" s="7">
        <f t="shared" si="21"/>
        <v>0</v>
      </c>
      <c r="K56" s="2"/>
      <c r="L56" s="6">
        <f t="shared" si="22"/>
        <v>0</v>
      </c>
      <c r="M56" s="2"/>
      <c r="N56" s="7">
        <f t="shared" si="23"/>
        <v>0</v>
      </c>
      <c r="O56" s="11"/>
      <c r="P56" s="6"/>
      <c r="Q56" s="2"/>
      <c r="R56" s="7">
        <f t="shared" si="24"/>
        <v>0</v>
      </c>
      <c r="S56" s="2"/>
      <c r="T56" s="6">
        <v>0</v>
      </c>
      <c r="U56" s="2"/>
      <c r="V56" s="7">
        <f t="shared" si="25"/>
        <v>0</v>
      </c>
      <c r="W56" s="2"/>
      <c r="X56" s="6">
        <f t="shared" si="26"/>
        <v>0</v>
      </c>
      <c r="Y56" s="2"/>
      <c r="Z56" s="7">
        <f t="shared" si="27"/>
        <v>0</v>
      </c>
    </row>
    <row r="57" spans="1:26" s="24" customFormat="1" hidden="1" outlineLevel="2" x14ac:dyDescent="0.25">
      <c r="A57" s="29"/>
      <c r="B57" s="11" t="str">
        <f>CONCATENATE("          ", "6007", " - ", "STUDENT HOURLY")</f>
        <v xml:space="preserve">          6007 - STUDENT HOURLY</v>
      </c>
      <c r="C57" s="11"/>
      <c r="D57" s="6">
        <v>1005.91</v>
      </c>
      <c r="E57" s="2"/>
      <c r="F57" s="7">
        <f t="shared" si="20"/>
        <v>5.0379154586190376E-2</v>
      </c>
      <c r="G57" s="2"/>
      <c r="H57" s="6">
        <v>0</v>
      </c>
      <c r="I57" s="2"/>
      <c r="J57" s="7">
        <f t="shared" si="21"/>
        <v>0</v>
      </c>
      <c r="K57" s="2"/>
      <c r="L57" s="6">
        <f t="shared" si="22"/>
        <v>1005.91</v>
      </c>
      <c r="M57" s="2"/>
      <c r="N57" s="7">
        <f t="shared" si="23"/>
        <v>0</v>
      </c>
      <c r="O57" s="11"/>
      <c r="P57" s="6">
        <v>3983.77</v>
      </c>
      <c r="Q57" s="2"/>
      <c r="R57" s="7">
        <f t="shared" si="24"/>
        <v>5.7202011145846575E-2</v>
      </c>
      <c r="S57" s="2"/>
      <c r="T57" s="6">
        <v>11655</v>
      </c>
      <c r="U57" s="2"/>
      <c r="V57" s="7">
        <f t="shared" si="25"/>
        <v>7.9904293098956553E-2</v>
      </c>
      <c r="W57" s="2"/>
      <c r="X57" s="6">
        <f t="shared" si="26"/>
        <v>-7671.23</v>
      </c>
      <c r="Y57" s="2"/>
      <c r="Z57" s="7">
        <f t="shared" si="27"/>
        <v>-0.65819219219219216</v>
      </c>
    </row>
    <row r="58" spans="1:26" s="24" customFormat="1" hidden="1" outlineLevel="2" x14ac:dyDescent="0.25">
      <c r="A58" s="29"/>
      <c r="B58" s="11" t="str">
        <f>CONCATENATE("          ", "6008", " - ", "STUDENT HOURLY-FICA EXEMPT")</f>
        <v xml:space="preserve">          6008 - STUDENT HOURLY-FICA EXEMPT</v>
      </c>
      <c r="C58" s="11"/>
      <c r="D58" s="6">
        <v>371.15</v>
      </c>
      <c r="E58" s="2"/>
      <c r="F58" s="7">
        <f t="shared" si="20"/>
        <v>1.8588365981712634E-2</v>
      </c>
      <c r="G58" s="2"/>
      <c r="H58" s="6">
        <v>5180</v>
      </c>
      <c r="I58" s="2"/>
      <c r="J58" s="7">
        <f t="shared" si="21"/>
        <v>0.1674478745757233</v>
      </c>
      <c r="K58" s="2"/>
      <c r="L58" s="6">
        <f t="shared" si="22"/>
        <v>-4808.8500000000004</v>
      </c>
      <c r="M58" s="2"/>
      <c r="N58" s="7">
        <f t="shared" si="23"/>
        <v>-0.92834942084942096</v>
      </c>
      <c r="O58" s="11"/>
      <c r="P58" s="6">
        <v>465.14</v>
      </c>
      <c r="Q58" s="2"/>
      <c r="R58" s="7">
        <f t="shared" si="24"/>
        <v>6.6788352400813994E-3</v>
      </c>
      <c r="S58" s="2"/>
      <c r="T58" s="6">
        <v>5180</v>
      </c>
      <c r="U58" s="2"/>
      <c r="V58" s="7">
        <f t="shared" si="25"/>
        <v>3.55130191550918E-2</v>
      </c>
      <c r="W58" s="2"/>
      <c r="X58" s="6">
        <f t="shared" si="26"/>
        <v>-4714.8599999999997</v>
      </c>
      <c r="Y58" s="2"/>
      <c r="Z58" s="7">
        <f t="shared" si="27"/>
        <v>-0.91020463320463318</v>
      </c>
    </row>
    <row r="59" spans="1:26" s="24" customFormat="1" hidden="1" outlineLevel="2" x14ac:dyDescent="0.25">
      <c r="A59" s="29"/>
      <c r="B59" s="11" t="str">
        <f>CONCATENATE("          ", "6009", " - ", "TEMPORARY-SEASONAL")</f>
        <v xml:space="preserve">          6009 - TEMPORARY-SEASONAL</v>
      </c>
      <c r="C59" s="11"/>
      <c r="D59" s="6"/>
      <c r="E59" s="2"/>
      <c r="F59" s="7">
        <f t="shared" si="20"/>
        <v>0</v>
      </c>
      <c r="G59" s="2"/>
      <c r="H59" s="6">
        <v>0</v>
      </c>
      <c r="I59" s="2"/>
      <c r="J59" s="7">
        <f t="shared" si="21"/>
        <v>0</v>
      </c>
      <c r="K59" s="2"/>
      <c r="L59" s="6">
        <f t="shared" si="22"/>
        <v>0</v>
      </c>
      <c r="M59" s="2"/>
      <c r="N59" s="7">
        <f t="shared" si="23"/>
        <v>0</v>
      </c>
      <c r="O59" s="11"/>
      <c r="P59" s="6"/>
      <c r="Q59" s="2"/>
      <c r="R59" s="7">
        <f t="shared" si="24"/>
        <v>0</v>
      </c>
      <c r="S59" s="2"/>
      <c r="T59" s="6">
        <v>0</v>
      </c>
      <c r="U59" s="2"/>
      <c r="V59" s="7">
        <f t="shared" si="25"/>
        <v>0</v>
      </c>
      <c r="W59" s="2"/>
      <c r="X59" s="6">
        <f t="shared" si="26"/>
        <v>0</v>
      </c>
      <c r="Y59" s="2"/>
      <c r="Z59" s="7">
        <f t="shared" si="27"/>
        <v>0</v>
      </c>
    </row>
    <row r="60" spans="1:26" s="24" customFormat="1" hidden="1" outlineLevel="2" x14ac:dyDescent="0.25">
      <c r="A60" s="29"/>
      <c r="B60" s="11" t="str">
        <f>CONCATENATE("          ", "6010", " - ", "GRATUITY")</f>
        <v xml:space="preserve">          6010 - GRATUITY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8" customFormat="1" outlineLevel="1" collapsed="1" x14ac:dyDescent="0.25">
      <c r="A61" s="27"/>
      <c r="B61" s="14" t="str">
        <f>CONCATENATE("     ","Advertising/Promo                                 ")</f>
        <v xml:space="preserve">     Advertising/Promo                                 </v>
      </c>
      <c r="C61" s="14"/>
      <c r="D61" s="1">
        <f>SUM(OSRRefD22_2x_0)</f>
        <v>0</v>
      </c>
      <c r="E61" s="1"/>
      <c r="F61" s="5">
        <f t="shared" ref="F61:F75" si="28">IF(D$12=0,0,D61/D$12)</f>
        <v>0</v>
      </c>
      <c r="G61" s="1"/>
      <c r="H61" s="1">
        <f>SUM(OSRRefH22_2x_0)</f>
        <v>50</v>
      </c>
      <c r="I61" s="1"/>
      <c r="J61" s="5">
        <f t="shared" ref="J61:J75" si="29">IF(H$12=0,0,H61/H$12)</f>
        <v>1.6162922256343947E-3</v>
      </c>
      <c r="K61" s="1"/>
      <c r="L61" s="1">
        <f t="shared" ref="L61:L75" si="30">+D61-H61</f>
        <v>-50</v>
      </c>
      <c r="M61" s="1"/>
      <c r="N61" s="5">
        <f t="shared" ref="N61:N75" si="31">IF(H61=0,0,L61/H61)</f>
        <v>-1</v>
      </c>
      <c r="O61" s="14"/>
      <c r="P61" s="1">
        <f>SUM(OSRRefP22_2x_0)</f>
        <v>0</v>
      </c>
      <c r="Q61" s="1"/>
      <c r="R61" s="5">
        <f t="shared" ref="R61:R75" si="32">IF(P$12=0,0,P61/P$12)</f>
        <v>0</v>
      </c>
      <c r="S61" s="1"/>
      <c r="T61" s="1">
        <f>SUM(OSRRefT22_2x_0)</f>
        <v>150</v>
      </c>
      <c r="U61" s="1"/>
      <c r="V61" s="5">
        <f t="shared" ref="V61:V75" si="33">IF(T$12=0,0,T61/T$12)</f>
        <v>1.0283692805528512E-3</v>
      </c>
      <c r="W61" s="1"/>
      <c r="X61" s="1">
        <f t="shared" ref="X61:X75" si="34">+P61-T61</f>
        <v>-150</v>
      </c>
      <c r="Y61" s="1"/>
      <c r="Z61" s="5">
        <f t="shared" ref="Z61:Z75" si="35">IF(T61=0,0,X61/T61)</f>
        <v>-1</v>
      </c>
    </row>
    <row r="62" spans="1:26" s="24" customFormat="1" hidden="1" outlineLevel="2" x14ac:dyDescent="0.25">
      <c r="A62" s="29"/>
      <c r="B62" s="11" t="str">
        <f>CONCATENATE("          ", "6362", " - ", "ADVERTISING EXPENSE")</f>
        <v xml:space="preserve">          6362 - ADVERTISING EXPENSE</v>
      </c>
      <c r="C62" s="11"/>
      <c r="D62" s="6"/>
      <c r="E62" s="2"/>
      <c r="F62" s="7">
        <f t="shared" si="28"/>
        <v>0</v>
      </c>
      <c r="G62" s="2"/>
      <c r="H62" s="6">
        <v>50</v>
      </c>
      <c r="I62" s="2"/>
      <c r="J62" s="7">
        <f t="shared" si="29"/>
        <v>1.6162922256343947E-3</v>
      </c>
      <c r="K62" s="2"/>
      <c r="L62" s="6">
        <f t="shared" si="30"/>
        <v>-50</v>
      </c>
      <c r="M62" s="2"/>
      <c r="N62" s="7">
        <f t="shared" si="31"/>
        <v>-1</v>
      </c>
      <c r="O62" s="11"/>
      <c r="P62" s="6"/>
      <c r="Q62" s="2"/>
      <c r="R62" s="7">
        <f t="shared" si="32"/>
        <v>0</v>
      </c>
      <c r="S62" s="2"/>
      <c r="T62" s="6">
        <v>150</v>
      </c>
      <c r="U62" s="2"/>
      <c r="V62" s="7">
        <f t="shared" si="33"/>
        <v>1.0283692805528512E-3</v>
      </c>
      <c r="W62" s="2"/>
      <c r="X62" s="6">
        <f t="shared" si="34"/>
        <v>-150</v>
      </c>
      <c r="Y62" s="2"/>
      <c r="Z62" s="7">
        <f t="shared" si="35"/>
        <v>-1</v>
      </c>
    </row>
    <row r="63" spans="1:26" s="28" customFormat="1" outlineLevel="1" collapsed="1" x14ac:dyDescent="0.25">
      <c r="A63" s="27"/>
      <c r="B63" s="14" t="str">
        <f>CONCATENATE("     ","Bad Debts/Over/Short                              ")</f>
        <v xml:space="preserve">     Bad Debts/Over/Short                              </v>
      </c>
      <c r="C63" s="14"/>
      <c r="D63" s="1">
        <f>SUM(OSRRefD22_3x_0)</f>
        <v>-2.96</v>
      </c>
      <c r="E63" s="1"/>
      <c r="F63" s="5">
        <f t="shared" si="28"/>
        <v>-1.4824616275325178E-4</v>
      </c>
      <c r="G63" s="1"/>
      <c r="H63" s="1">
        <f>SUM(OSRRefH22_3x_0)</f>
        <v>10</v>
      </c>
      <c r="I63" s="1"/>
      <c r="J63" s="5">
        <f t="shared" si="29"/>
        <v>3.2325844512687892E-4</v>
      </c>
      <c r="K63" s="1"/>
      <c r="L63" s="1">
        <f t="shared" si="30"/>
        <v>-12.96</v>
      </c>
      <c r="M63" s="1"/>
      <c r="N63" s="5">
        <f t="shared" si="31"/>
        <v>-1.296</v>
      </c>
      <c r="O63" s="14"/>
      <c r="P63" s="1">
        <f>SUM(OSRRefP22_3x_0)</f>
        <v>0.7</v>
      </c>
      <c r="Q63" s="1"/>
      <c r="R63" s="5">
        <f t="shared" si="32"/>
        <v>1.0051134428466653E-5</v>
      </c>
      <c r="S63" s="1"/>
      <c r="T63" s="1">
        <f>SUM(OSRRefT22_3x_0)</f>
        <v>30</v>
      </c>
      <c r="U63" s="1"/>
      <c r="V63" s="5">
        <f t="shared" si="33"/>
        <v>2.0567385611057026E-4</v>
      </c>
      <c r="W63" s="1"/>
      <c r="X63" s="1">
        <f t="shared" si="34"/>
        <v>-29.3</v>
      </c>
      <c r="Y63" s="1"/>
      <c r="Z63" s="5">
        <f t="shared" si="35"/>
        <v>-0.97666666666666668</v>
      </c>
    </row>
    <row r="64" spans="1:26" s="24" customFormat="1" hidden="1" outlineLevel="2" x14ac:dyDescent="0.25">
      <c r="A64" s="29"/>
      <c r="B64" s="11" t="str">
        <f>CONCATENATE("          ", "6272", " - ", "CASH (OVER/SHORT)")</f>
        <v xml:space="preserve">          6272 - CASH (OVER/SHORT)</v>
      </c>
      <c r="C64" s="11"/>
      <c r="D64" s="6">
        <v>-2.96</v>
      </c>
      <c r="E64" s="2"/>
      <c r="F64" s="7">
        <f t="shared" si="28"/>
        <v>-1.4824616275325178E-4</v>
      </c>
      <c r="G64" s="2"/>
      <c r="H64" s="6">
        <v>10</v>
      </c>
      <c r="I64" s="2"/>
      <c r="J64" s="7">
        <f t="shared" si="29"/>
        <v>3.2325844512687892E-4</v>
      </c>
      <c r="K64" s="2"/>
      <c r="L64" s="6">
        <f t="shared" si="30"/>
        <v>-12.96</v>
      </c>
      <c r="M64" s="2"/>
      <c r="N64" s="7">
        <f t="shared" si="31"/>
        <v>-1.296</v>
      </c>
      <c r="O64" s="11"/>
      <c r="P64" s="6">
        <v>0.7</v>
      </c>
      <c r="Q64" s="2"/>
      <c r="R64" s="7">
        <f t="shared" si="32"/>
        <v>1.0051134428466653E-5</v>
      </c>
      <c r="S64" s="2"/>
      <c r="T64" s="6">
        <v>30</v>
      </c>
      <c r="U64" s="2"/>
      <c r="V64" s="7">
        <f t="shared" si="33"/>
        <v>2.0567385611057026E-4</v>
      </c>
      <c r="W64" s="2"/>
      <c r="X64" s="6">
        <f t="shared" si="34"/>
        <v>-29.3</v>
      </c>
      <c r="Y64" s="2"/>
      <c r="Z64" s="7">
        <f t="shared" si="35"/>
        <v>-0.97666666666666668</v>
      </c>
    </row>
    <row r="65" spans="1:26" s="28" customFormat="1" outlineLevel="1" collapsed="1" x14ac:dyDescent="0.25">
      <c r="A65" s="27"/>
      <c r="B65" s="14" t="str">
        <f>CONCATENATE("     ","Bank/card Fees                                    ")</f>
        <v xml:space="preserve">     Bank/card Fees                                    </v>
      </c>
      <c r="C65" s="14"/>
      <c r="D65" s="1">
        <f>SUM(OSRRefD22_4x_0)</f>
        <v>306.45</v>
      </c>
      <c r="E65" s="1"/>
      <c r="F65" s="5">
        <f t="shared" si="28"/>
        <v>1.5347985329639869E-2</v>
      </c>
      <c r="G65" s="1"/>
      <c r="H65" s="1">
        <f>SUM(OSRRefH22_4x_0)</f>
        <v>470</v>
      </c>
      <c r="I65" s="1"/>
      <c r="J65" s="5">
        <f t="shared" si="29"/>
        <v>1.519314692096331E-2</v>
      </c>
      <c r="K65" s="1"/>
      <c r="L65" s="1">
        <f t="shared" si="30"/>
        <v>-163.55000000000001</v>
      </c>
      <c r="M65" s="1"/>
      <c r="N65" s="5">
        <f t="shared" si="31"/>
        <v>-0.34797872340425534</v>
      </c>
      <c r="O65" s="14"/>
      <c r="P65" s="1">
        <f>SUM(OSRRefP22_4x_0)</f>
        <v>1066.17</v>
      </c>
      <c r="Q65" s="1"/>
      <c r="R65" s="5">
        <f t="shared" si="32"/>
        <v>1.5308882847997562E-2</v>
      </c>
      <c r="S65" s="1"/>
      <c r="T65" s="1">
        <f>SUM(OSRRefT22_4x_0)</f>
        <v>1696</v>
      </c>
      <c r="U65" s="1"/>
      <c r="V65" s="5">
        <f t="shared" si="33"/>
        <v>1.1627428665450905E-2</v>
      </c>
      <c r="W65" s="1"/>
      <c r="X65" s="1">
        <f t="shared" si="34"/>
        <v>-629.82999999999993</v>
      </c>
      <c r="Y65" s="1"/>
      <c r="Z65" s="5">
        <f t="shared" si="35"/>
        <v>-0.37136202830188675</v>
      </c>
    </row>
    <row r="66" spans="1:26" s="24" customFormat="1" hidden="1" outlineLevel="2" x14ac:dyDescent="0.25">
      <c r="A66" s="29"/>
      <c r="B66" s="11" t="str">
        <f>CONCATENATE("          ", "6381", " - ", "BANK/CREDIT CARD FEES")</f>
        <v xml:space="preserve">          6381 - BANK/CREDIT CARD FEES</v>
      </c>
      <c r="C66" s="11"/>
      <c r="D66" s="6">
        <v>306.45</v>
      </c>
      <c r="E66" s="2"/>
      <c r="F66" s="7">
        <f t="shared" si="28"/>
        <v>1.5347985329639869E-2</v>
      </c>
      <c r="G66" s="2"/>
      <c r="H66" s="6">
        <v>470</v>
      </c>
      <c r="I66" s="2"/>
      <c r="J66" s="7">
        <f t="shared" si="29"/>
        <v>1.519314692096331E-2</v>
      </c>
      <c r="K66" s="2"/>
      <c r="L66" s="6">
        <f t="shared" si="30"/>
        <v>-163.55000000000001</v>
      </c>
      <c r="M66" s="2"/>
      <c r="N66" s="7">
        <f t="shared" si="31"/>
        <v>-0.34797872340425534</v>
      </c>
      <c r="O66" s="11"/>
      <c r="P66" s="6">
        <v>1066.17</v>
      </c>
      <c r="Q66" s="2"/>
      <c r="R66" s="7">
        <f t="shared" si="32"/>
        <v>1.5308882847997562E-2</v>
      </c>
      <c r="S66" s="2"/>
      <c r="T66" s="6">
        <v>1696</v>
      </c>
      <c r="U66" s="2"/>
      <c r="V66" s="7">
        <f t="shared" si="33"/>
        <v>1.1627428665450905E-2</v>
      </c>
      <c r="W66" s="2"/>
      <c r="X66" s="6">
        <f t="shared" si="34"/>
        <v>-629.82999999999993</v>
      </c>
      <c r="Y66" s="2"/>
      <c r="Z66" s="7">
        <f t="shared" si="35"/>
        <v>-0.37136202830188675</v>
      </c>
    </row>
    <row r="67" spans="1:26" s="28" customFormat="1" outlineLevel="1" collapsed="1" x14ac:dyDescent="0.25">
      <c r="A67" s="27"/>
      <c r="B67" s="14" t="str">
        <f>CONCATENATE("     ","Discounts and Markdowns                           ")</f>
        <v xml:space="preserve">     Discounts and Markdowns                           </v>
      </c>
      <c r="C67" s="14"/>
      <c r="D67" s="1">
        <f>SUM(OSRRefD22_5x_0)</f>
        <v>830.95</v>
      </c>
      <c r="E67" s="1"/>
      <c r="F67" s="5">
        <f t="shared" si="28"/>
        <v>4.161660437155898E-2</v>
      </c>
      <c r="G67" s="1"/>
      <c r="H67" s="1">
        <f>SUM(OSRRefH22_5x_0)</f>
        <v>3093</v>
      </c>
      <c r="I67" s="1"/>
      <c r="J67" s="5">
        <f t="shared" si="29"/>
        <v>9.9983837077743651E-2</v>
      </c>
      <c r="K67" s="1"/>
      <c r="L67" s="1">
        <f t="shared" si="30"/>
        <v>-2262.0500000000002</v>
      </c>
      <c r="M67" s="1"/>
      <c r="N67" s="5">
        <f t="shared" si="31"/>
        <v>-0.73134497251859043</v>
      </c>
      <c r="O67" s="14"/>
      <c r="P67" s="1">
        <f>SUM(OSRRefP22_5x_0)</f>
        <v>830.95</v>
      </c>
      <c r="Q67" s="1"/>
      <c r="R67" s="5">
        <f t="shared" si="32"/>
        <v>1.1931414504763382E-2</v>
      </c>
      <c r="S67" s="1"/>
      <c r="T67" s="1">
        <f>SUM(OSRRefT22_5x_0)</f>
        <v>14587</v>
      </c>
      <c r="U67" s="1"/>
      <c r="V67" s="5">
        <f t="shared" si="33"/>
        <v>0.10000548463616295</v>
      </c>
      <c r="W67" s="1"/>
      <c r="X67" s="1">
        <f t="shared" si="34"/>
        <v>-13756.05</v>
      </c>
      <c r="Y67" s="1"/>
      <c r="Z67" s="5">
        <f t="shared" si="35"/>
        <v>-0.94303489408377317</v>
      </c>
    </row>
    <row r="68" spans="1:26" s="24" customFormat="1" hidden="1" outlineLevel="2" x14ac:dyDescent="0.25">
      <c r="A68" s="29"/>
      <c r="B68" s="11" t="str">
        <f>CONCATENATE("          ", "6382", " - ", "DISCOUNTS/MARK DOWNS")</f>
        <v xml:space="preserve">          6382 - DISCOUNTS/MARK DOWNS</v>
      </c>
      <c r="C68" s="11"/>
      <c r="D68" s="6">
        <v>830.95</v>
      </c>
      <c r="E68" s="2"/>
      <c r="F68" s="7">
        <f t="shared" si="28"/>
        <v>4.161660437155898E-2</v>
      </c>
      <c r="G68" s="2"/>
      <c r="H68" s="6">
        <v>3093</v>
      </c>
      <c r="I68" s="2"/>
      <c r="J68" s="7">
        <f t="shared" si="29"/>
        <v>9.9983837077743651E-2</v>
      </c>
      <c r="K68" s="2"/>
      <c r="L68" s="6">
        <f t="shared" si="30"/>
        <v>-2262.0500000000002</v>
      </c>
      <c r="M68" s="2"/>
      <c r="N68" s="7">
        <f t="shared" si="31"/>
        <v>-0.73134497251859043</v>
      </c>
      <c r="O68" s="11"/>
      <c r="P68" s="6">
        <v>830.95</v>
      </c>
      <c r="Q68" s="2"/>
      <c r="R68" s="7">
        <f t="shared" si="32"/>
        <v>1.1931414504763382E-2</v>
      </c>
      <c r="S68" s="2"/>
      <c r="T68" s="6">
        <v>14587</v>
      </c>
      <c r="U68" s="2"/>
      <c r="V68" s="7">
        <f t="shared" si="33"/>
        <v>0.10000548463616295</v>
      </c>
      <c r="W68" s="2"/>
      <c r="X68" s="6">
        <f t="shared" si="34"/>
        <v>-13756.05</v>
      </c>
      <c r="Y68" s="2"/>
      <c r="Z68" s="7">
        <f t="shared" si="35"/>
        <v>-0.94303489408377317</v>
      </c>
    </row>
    <row r="69" spans="1:26" s="28" customFormat="1" outlineLevel="1" collapsed="1" x14ac:dyDescent="0.25">
      <c r="A69" s="27"/>
      <c r="B69" s="14" t="str">
        <f>CONCATENATE("     ","Donations                                         ")</f>
        <v xml:space="preserve">     Donations                                         </v>
      </c>
      <c r="C69" s="14"/>
      <c r="D69" s="1">
        <f>SUM(OSRRefD22_6x_0)</f>
        <v>0</v>
      </c>
      <c r="E69" s="1"/>
      <c r="F69" s="5">
        <f t="shared" si="28"/>
        <v>0</v>
      </c>
      <c r="G69" s="1"/>
      <c r="H69" s="1">
        <f>SUM(OSRRefH22_6x_0)</f>
        <v>0</v>
      </c>
      <c r="I69" s="1"/>
      <c r="J69" s="5">
        <f t="shared" si="29"/>
        <v>0</v>
      </c>
      <c r="K69" s="1"/>
      <c r="L69" s="1">
        <f t="shared" si="30"/>
        <v>0</v>
      </c>
      <c r="M69" s="1"/>
      <c r="N69" s="5">
        <f t="shared" si="31"/>
        <v>0</v>
      </c>
      <c r="O69" s="14"/>
      <c r="P69" s="1">
        <f>SUM(OSRRefP22_6x_0)</f>
        <v>0</v>
      </c>
      <c r="Q69" s="1"/>
      <c r="R69" s="5">
        <f t="shared" si="32"/>
        <v>0</v>
      </c>
      <c r="S69" s="1"/>
      <c r="T69" s="1">
        <f>SUM(OSRRefT22_6x_0)</f>
        <v>0</v>
      </c>
      <c r="U69" s="1"/>
      <c r="V69" s="5">
        <f t="shared" si="33"/>
        <v>0</v>
      </c>
      <c r="W69" s="1"/>
      <c r="X69" s="1">
        <f t="shared" si="34"/>
        <v>0</v>
      </c>
      <c r="Y69" s="1"/>
      <c r="Z69" s="5">
        <f t="shared" si="35"/>
        <v>0</v>
      </c>
    </row>
    <row r="70" spans="1:26" s="24" customFormat="1" hidden="1" outlineLevel="2" x14ac:dyDescent="0.25">
      <c r="A70" s="29"/>
      <c r="B70" s="11" t="str">
        <f>CONCATENATE("          ", "6395", " - ", "DONATION-OFF CAMPUS")</f>
        <v xml:space="preserve">          6395 - DONATION-OFF CAMPUS</v>
      </c>
      <c r="C70" s="11"/>
      <c r="D70" s="6"/>
      <c r="E70" s="2"/>
      <c r="F70" s="7">
        <f t="shared" si="28"/>
        <v>0</v>
      </c>
      <c r="G70" s="2"/>
      <c r="H70" s="6"/>
      <c r="I70" s="2"/>
      <c r="J70" s="7">
        <f t="shared" si="29"/>
        <v>0</v>
      </c>
      <c r="K70" s="2"/>
      <c r="L70" s="6">
        <f t="shared" si="30"/>
        <v>0</v>
      </c>
      <c r="M70" s="2"/>
      <c r="N70" s="7">
        <f t="shared" si="31"/>
        <v>0</v>
      </c>
      <c r="O70" s="11"/>
      <c r="P70" s="6"/>
      <c r="Q70" s="2"/>
      <c r="R70" s="7">
        <f t="shared" si="32"/>
        <v>0</v>
      </c>
      <c r="S70" s="2"/>
      <c r="T70" s="6">
        <v>0</v>
      </c>
      <c r="U70" s="2"/>
      <c r="V70" s="7">
        <f t="shared" si="33"/>
        <v>0</v>
      </c>
      <c r="W70" s="2"/>
      <c r="X70" s="6">
        <f t="shared" si="34"/>
        <v>0</v>
      </c>
      <c r="Y70" s="2"/>
      <c r="Z70" s="7">
        <f t="shared" si="35"/>
        <v>0</v>
      </c>
    </row>
    <row r="71" spans="1:26" s="28" customFormat="1" outlineLevel="1" collapsed="1" x14ac:dyDescent="0.25">
      <c r="A71" s="27"/>
      <c r="B71" s="14" t="str">
        <f>CONCATENATE("     ","Employees' Appreciation                           ")</f>
        <v xml:space="preserve">     Employees' Appreciation                           </v>
      </c>
      <c r="C71" s="14"/>
      <c r="D71" s="1">
        <f>SUM(OSRRefD22_7x_0)</f>
        <v>0</v>
      </c>
      <c r="E71" s="1"/>
      <c r="F71" s="5">
        <f t="shared" si="28"/>
        <v>0</v>
      </c>
      <c r="G71" s="1"/>
      <c r="H71" s="1">
        <f>SUM(OSRRefH22_7x_0)</f>
        <v>50</v>
      </c>
      <c r="I71" s="1"/>
      <c r="J71" s="5">
        <f t="shared" si="29"/>
        <v>1.6162922256343947E-3</v>
      </c>
      <c r="K71" s="1"/>
      <c r="L71" s="1">
        <f t="shared" si="30"/>
        <v>-50</v>
      </c>
      <c r="M71" s="1"/>
      <c r="N71" s="5">
        <f t="shared" si="31"/>
        <v>-1</v>
      </c>
      <c r="O71" s="14"/>
      <c r="P71" s="1">
        <f>SUM(OSRRefP22_7x_0)</f>
        <v>0</v>
      </c>
      <c r="Q71" s="1"/>
      <c r="R71" s="5">
        <f t="shared" si="32"/>
        <v>0</v>
      </c>
      <c r="S71" s="1"/>
      <c r="T71" s="1">
        <f>SUM(OSRRefT22_7x_0)</f>
        <v>150</v>
      </c>
      <c r="U71" s="1"/>
      <c r="V71" s="5">
        <f t="shared" si="33"/>
        <v>1.0283692805528512E-3</v>
      </c>
      <c r="W71" s="1"/>
      <c r="X71" s="1">
        <f t="shared" si="34"/>
        <v>-150</v>
      </c>
      <c r="Y71" s="1"/>
      <c r="Z71" s="5">
        <f t="shared" si="35"/>
        <v>-1</v>
      </c>
    </row>
    <row r="72" spans="1:26" s="24" customFormat="1" hidden="1" outlineLevel="2" x14ac:dyDescent="0.25">
      <c r="A72" s="29"/>
      <c r="B72" s="11" t="str">
        <f>CONCATENATE("          ", "6277", " - ", "EMPLOYEE APPRECIATION")</f>
        <v xml:space="preserve">          6277 - EMPLOYEE APPRECIATION</v>
      </c>
      <c r="C72" s="11"/>
      <c r="D72" s="6"/>
      <c r="E72" s="2"/>
      <c r="F72" s="7">
        <f t="shared" si="28"/>
        <v>0</v>
      </c>
      <c r="G72" s="2"/>
      <c r="H72" s="6">
        <v>50</v>
      </c>
      <c r="I72" s="2"/>
      <c r="J72" s="7">
        <f t="shared" si="29"/>
        <v>1.6162922256343947E-3</v>
      </c>
      <c r="K72" s="2"/>
      <c r="L72" s="6">
        <f t="shared" si="30"/>
        <v>-50</v>
      </c>
      <c r="M72" s="2"/>
      <c r="N72" s="7">
        <f t="shared" si="31"/>
        <v>-1</v>
      </c>
      <c r="O72" s="11"/>
      <c r="P72" s="6"/>
      <c r="Q72" s="2"/>
      <c r="R72" s="7">
        <f t="shared" si="32"/>
        <v>0</v>
      </c>
      <c r="S72" s="2"/>
      <c r="T72" s="6">
        <v>150</v>
      </c>
      <c r="U72" s="2"/>
      <c r="V72" s="7">
        <f t="shared" si="33"/>
        <v>1.0283692805528512E-3</v>
      </c>
      <c r="W72" s="2"/>
      <c r="X72" s="6">
        <f t="shared" si="34"/>
        <v>-150</v>
      </c>
      <c r="Y72" s="2"/>
      <c r="Z72" s="7">
        <f t="shared" si="35"/>
        <v>-1</v>
      </c>
    </row>
    <row r="73" spans="1:26" s="28" customFormat="1" outlineLevel="1" collapsed="1" x14ac:dyDescent="0.25">
      <c r="A73" s="27"/>
      <c r="B73" s="14" t="str">
        <f>CONCATENATE("     ","General                                           ")</f>
        <v xml:space="preserve">     General                                           </v>
      </c>
      <c r="C73" s="14"/>
      <c r="D73" s="1">
        <f>SUM(OSRRefD22_8x_0)</f>
        <v>0</v>
      </c>
      <c r="E73" s="1"/>
      <c r="F73" s="5">
        <f t="shared" si="28"/>
        <v>0</v>
      </c>
      <c r="G73" s="1"/>
      <c r="H73" s="1">
        <f>SUM(OSRRefH22_8x_0)</f>
        <v>0</v>
      </c>
      <c r="I73" s="1"/>
      <c r="J73" s="5">
        <f t="shared" si="29"/>
        <v>0</v>
      </c>
      <c r="K73" s="1"/>
      <c r="L73" s="1">
        <f t="shared" si="30"/>
        <v>0</v>
      </c>
      <c r="M73" s="1"/>
      <c r="N73" s="5">
        <f t="shared" si="31"/>
        <v>0</v>
      </c>
      <c r="O73" s="14"/>
      <c r="P73" s="1">
        <f>SUM(OSRRefP22_8x_0)</f>
        <v>0</v>
      </c>
      <c r="Q73" s="1"/>
      <c r="R73" s="5">
        <f t="shared" si="32"/>
        <v>0</v>
      </c>
      <c r="S73" s="1"/>
      <c r="T73" s="1">
        <f>SUM(OSRRefT22_8x_0)</f>
        <v>150</v>
      </c>
      <c r="U73" s="1"/>
      <c r="V73" s="5">
        <f t="shared" si="33"/>
        <v>1.0283692805528512E-3</v>
      </c>
      <c r="W73" s="1"/>
      <c r="X73" s="1">
        <f t="shared" si="34"/>
        <v>-150</v>
      </c>
      <c r="Y73" s="1"/>
      <c r="Z73" s="5">
        <f t="shared" si="35"/>
        <v>-1</v>
      </c>
    </row>
    <row r="74" spans="1:26" s="24" customFormat="1" hidden="1" outlineLevel="2" x14ac:dyDescent="0.25">
      <c r="A74" s="29"/>
      <c r="B74" s="11" t="str">
        <f>CONCATENATE("          ", "6276", " - ", "PROPERTY TAX")</f>
        <v xml:space="preserve">          6276 - PROPERTY TAX</v>
      </c>
      <c r="C74" s="11"/>
      <c r="D74" s="6"/>
      <c r="E74" s="2"/>
      <c r="F74" s="7">
        <f t="shared" si="28"/>
        <v>0</v>
      </c>
      <c r="G74" s="2"/>
      <c r="H74" s="6"/>
      <c r="I74" s="2"/>
      <c r="J74" s="7">
        <f t="shared" si="29"/>
        <v>0</v>
      </c>
      <c r="K74" s="2"/>
      <c r="L74" s="6">
        <f t="shared" si="30"/>
        <v>0</v>
      </c>
      <c r="M74" s="2"/>
      <c r="N74" s="7">
        <f t="shared" si="31"/>
        <v>0</v>
      </c>
      <c r="O74" s="11"/>
      <c r="P74" s="6"/>
      <c r="Q74" s="2"/>
      <c r="R74" s="7">
        <f t="shared" si="32"/>
        <v>0</v>
      </c>
      <c r="S74" s="2"/>
      <c r="T74" s="6">
        <v>150</v>
      </c>
      <c r="U74" s="2"/>
      <c r="V74" s="7">
        <f t="shared" si="33"/>
        <v>1.0283692805528512E-3</v>
      </c>
      <c r="W74" s="2"/>
      <c r="X74" s="6">
        <f t="shared" si="34"/>
        <v>-150</v>
      </c>
      <c r="Y74" s="2"/>
      <c r="Z74" s="7">
        <f t="shared" si="35"/>
        <v>-1</v>
      </c>
    </row>
    <row r="75" spans="1:26" s="24" customFormat="1" hidden="1" outlineLevel="2" x14ac:dyDescent="0.25">
      <c r="A75" s="29"/>
      <c r="B75" s="11" t="str">
        <f>CONCATENATE("          ", "6279", " - ", "GENERAL EXPENSE")</f>
        <v xml:space="preserve">          6279 - GENERAL EXPENSE</v>
      </c>
      <c r="C75" s="11"/>
      <c r="D75" s="6"/>
      <c r="E75" s="2"/>
      <c r="F75" s="7">
        <f t="shared" si="28"/>
        <v>0</v>
      </c>
      <c r="G75" s="2"/>
      <c r="H75" s="6">
        <v>0</v>
      </c>
      <c r="I75" s="2"/>
      <c r="J75" s="7">
        <f t="shared" si="29"/>
        <v>0</v>
      </c>
      <c r="K75" s="2"/>
      <c r="L75" s="6">
        <f t="shared" si="30"/>
        <v>0</v>
      </c>
      <c r="M75" s="2"/>
      <c r="N75" s="7">
        <f t="shared" si="31"/>
        <v>0</v>
      </c>
      <c r="O75" s="11"/>
      <c r="P75" s="6"/>
      <c r="Q75" s="2"/>
      <c r="R75" s="7">
        <f t="shared" si="32"/>
        <v>0</v>
      </c>
      <c r="S75" s="2"/>
      <c r="T75" s="6">
        <v>0</v>
      </c>
      <c r="U75" s="2"/>
      <c r="V75" s="7">
        <f t="shared" si="33"/>
        <v>0</v>
      </c>
      <c r="W75" s="2"/>
      <c r="X75" s="6">
        <f t="shared" si="34"/>
        <v>0</v>
      </c>
      <c r="Y75" s="2"/>
      <c r="Z75" s="7">
        <f t="shared" si="35"/>
        <v>0</v>
      </c>
    </row>
    <row r="76" spans="1:26" s="28" customFormat="1" outlineLevel="1" collapsed="1" x14ac:dyDescent="0.25">
      <c r="A76" s="27"/>
      <c r="B76" s="14" t="str">
        <f>CONCATENATE("     ","Insurance                                         ")</f>
        <v xml:space="preserve">     Insurance                                         </v>
      </c>
      <c r="C76" s="14"/>
      <c r="D76" s="1">
        <f>SUM(OSRRefD22_9x_0)</f>
        <v>161.18</v>
      </c>
      <c r="E76" s="1"/>
      <c r="F76" s="5">
        <f t="shared" ref="F76:F86" si="36">IF(D$12=0,0,D76/D$12)</f>
        <v>8.072404227219299E-3</v>
      </c>
      <c r="G76" s="1"/>
      <c r="H76" s="1">
        <f>SUM(OSRRefH22_9x_0)</f>
        <v>176</v>
      </c>
      <c r="I76" s="1"/>
      <c r="J76" s="5">
        <f t="shared" ref="J76:J86" si="37">IF(H$12=0,0,H76/H$12)</f>
        <v>5.6893486342330692E-3</v>
      </c>
      <c r="K76" s="1"/>
      <c r="L76" s="1">
        <f t="shared" ref="L76:L86" si="38">+D76-H76</f>
        <v>-14.819999999999993</v>
      </c>
      <c r="M76" s="1"/>
      <c r="N76" s="5">
        <f t="shared" ref="N76:N86" si="39">IF(H76=0,0,L76/H76)</f>
        <v>-8.4204545454545421E-2</v>
      </c>
      <c r="O76" s="14"/>
      <c r="P76" s="1">
        <f>SUM(OSRRefP22_9x_0)</f>
        <v>483.54</v>
      </c>
      <c r="Q76" s="1"/>
      <c r="R76" s="5">
        <f t="shared" ref="R76:R86" si="40">IF(P$12=0,0,P76/P$12)</f>
        <v>6.9430364879153805E-3</v>
      </c>
      <c r="S76" s="1"/>
      <c r="T76" s="1">
        <f>SUM(OSRRefT22_9x_0)</f>
        <v>528</v>
      </c>
      <c r="U76" s="1"/>
      <c r="V76" s="5">
        <f t="shared" ref="V76:V86" si="41">IF(T$12=0,0,T76/T$12)</f>
        <v>3.6198598675460368E-3</v>
      </c>
      <c r="W76" s="1"/>
      <c r="X76" s="1">
        <f t="shared" ref="X76:X86" si="42">+P76-T76</f>
        <v>-44.45999999999998</v>
      </c>
      <c r="Y76" s="1"/>
      <c r="Z76" s="5">
        <f t="shared" ref="Z76:Z86" si="43">IF(T76=0,0,X76/T76)</f>
        <v>-8.4204545454545421E-2</v>
      </c>
    </row>
    <row r="77" spans="1:26" s="24" customFormat="1" hidden="1" outlineLevel="2" x14ac:dyDescent="0.25">
      <c r="A77" s="29"/>
      <c r="B77" s="11" t="str">
        <f>CONCATENATE("          ", "6314", " - ", "LIABILITY INSURANCE")</f>
        <v xml:space="preserve">          6314 - LIABILITY INSURANCE</v>
      </c>
      <c r="C77" s="11"/>
      <c r="D77" s="6">
        <v>161.18</v>
      </c>
      <c r="E77" s="2"/>
      <c r="F77" s="7">
        <f t="shared" si="36"/>
        <v>8.072404227219299E-3</v>
      </c>
      <c r="G77" s="2"/>
      <c r="H77" s="6">
        <v>176</v>
      </c>
      <c r="I77" s="2"/>
      <c r="J77" s="7">
        <f t="shared" si="37"/>
        <v>5.6893486342330692E-3</v>
      </c>
      <c r="K77" s="2"/>
      <c r="L77" s="6">
        <f t="shared" si="38"/>
        <v>-14.819999999999993</v>
      </c>
      <c r="M77" s="2"/>
      <c r="N77" s="7">
        <f t="shared" si="39"/>
        <v>-8.4204545454545421E-2</v>
      </c>
      <c r="O77" s="11"/>
      <c r="P77" s="6">
        <v>483.54</v>
      </c>
      <c r="Q77" s="2"/>
      <c r="R77" s="7">
        <f t="shared" si="40"/>
        <v>6.9430364879153805E-3</v>
      </c>
      <c r="S77" s="2"/>
      <c r="T77" s="6">
        <v>528</v>
      </c>
      <c r="U77" s="2"/>
      <c r="V77" s="7">
        <f t="shared" si="41"/>
        <v>3.6198598675460368E-3</v>
      </c>
      <c r="W77" s="2"/>
      <c r="X77" s="6">
        <f t="shared" si="42"/>
        <v>-44.45999999999998</v>
      </c>
      <c r="Y77" s="2"/>
      <c r="Z77" s="7">
        <f t="shared" si="43"/>
        <v>-8.4204545454545421E-2</v>
      </c>
    </row>
    <row r="78" spans="1:26" s="28" customFormat="1" outlineLevel="1" collapsed="1" x14ac:dyDescent="0.25">
      <c r="A78" s="27"/>
      <c r="B78" s="14" t="str">
        <f>CONCATENATE("     ","Inventory Adjustment                              ")</f>
        <v xml:space="preserve">     Inventory Adjustment                              </v>
      </c>
      <c r="C78" s="14"/>
      <c r="D78" s="1">
        <f>SUM(OSRRefD22_10x_0)</f>
        <v>100</v>
      </c>
      <c r="E78" s="1"/>
      <c r="F78" s="5">
        <f t="shared" si="36"/>
        <v>5.0083163092314795E-3</v>
      </c>
      <c r="G78" s="1"/>
      <c r="H78" s="1">
        <f>SUM(OSRRefH22_10x_0)</f>
        <v>100</v>
      </c>
      <c r="I78" s="1"/>
      <c r="J78" s="5">
        <f t="shared" si="37"/>
        <v>3.2325844512687894E-3</v>
      </c>
      <c r="K78" s="1"/>
      <c r="L78" s="1">
        <f t="shared" si="38"/>
        <v>0</v>
      </c>
      <c r="M78" s="1"/>
      <c r="N78" s="5">
        <f t="shared" si="39"/>
        <v>0</v>
      </c>
      <c r="O78" s="14"/>
      <c r="P78" s="1">
        <f>SUM(OSRRefP22_10x_0)</f>
        <v>300</v>
      </c>
      <c r="Q78" s="1"/>
      <c r="R78" s="5">
        <f t="shared" si="40"/>
        <v>4.307629040771423E-3</v>
      </c>
      <c r="S78" s="1"/>
      <c r="T78" s="1">
        <f>SUM(OSRRefT22_10x_0)</f>
        <v>300</v>
      </c>
      <c r="U78" s="1"/>
      <c r="V78" s="5">
        <f t="shared" si="41"/>
        <v>2.0567385611057025E-3</v>
      </c>
      <c r="W78" s="1"/>
      <c r="X78" s="1">
        <f t="shared" si="42"/>
        <v>0</v>
      </c>
      <c r="Y78" s="1"/>
      <c r="Z78" s="5">
        <f t="shared" si="43"/>
        <v>0</v>
      </c>
    </row>
    <row r="79" spans="1:26" s="24" customFormat="1" hidden="1" outlineLevel="2" x14ac:dyDescent="0.25">
      <c r="A79" s="29"/>
      <c r="B79" s="11" t="str">
        <f>CONCATENATE("          ", "6408", " - ", "INVENTORY ADJUSTMENT")</f>
        <v xml:space="preserve">          6408 - INVENTORY ADJUSTMENT</v>
      </c>
      <c r="C79" s="11"/>
      <c r="D79" s="6">
        <v>100</v>
      </c>
      <c r="E79" s="2"/>
      <c r="F79" s="7">
        <f t="shared" si="36"/>
        <v>5.0083163092314795E-3</v>
      </c>
      <c r="G79" s="2"/>
      <c r="H79" s="6">
        <v>100</v>
      </c>
      <c r="I79" s="2"/>
      <c r="J79" s="7">
        <f t="shared" si="37"/>
        <v>3.2325844512687894E-3</v>
      </c>
      <c r="K79" s="2"/>
      <c r="L79" s="6">
        <f t="shared" si="38"/>
        <v>0</v>
      </c>
      <c r="M79" s="2"/>
      <c r="N79" s="7">
        <f t="shared" si="39"/>
        <v>0</v>
      </c>
      <c r="O79" s="11"/>
      <c r="P79" s="6">
        <v>300</v>
      </c>
      <c r="Q79" s="2"/>
      <c r="R79" s="7">
        <f t="shared" si="40"/>
        <v>4.307629040771423E-3</v>
      </c>
      <c r="S79" s="2"/>
      <c r="T79" s="6">
        <v>300</v>
      </c>
      <c r="U79" s="2"/>
      <c r="V79" s="7">
        <f t="shared" si="41"/>
        <v>2.0567385611057025E-3</v>
      </c>
      <c r="W79" s="2"/>
      <c r="X79" s="6">
        <f t="shared" si="42"/>
        <v>0</v>
      </c>
      <c r="Y79" s="2"/>
      <c r="Z79" s="7">
        <f t="shared" si="43"/>
        <v>0</v>
      </c>
    </row>
    <row r="80" spans="1:26" s="28" customFormat="1" outlineLevel="1" collapsed="1" x14ac:dyDescent="0.25">
      <c r="A80" s="27"/>
      <c r="B80" s="14" t="str">
        <f>CONCATENATE("     ","Professional Services                             ")</f>
        <v xml:space="preserve">     Professional Services                             </v>
      </c>
      <c r="C80" s="14"/>
      <c r="D80" s="1">
        <f>SUM(OSRRefD22_11x_0)</f>
        <v>0</v>
      </c>
      <c r="E80" s="1"/>
      <c r="F80" s="5">
        <f t="shared" si="36"/>
        <v>0</v>
      </c>
      <c r="G80" s="1"/>
      <c r="H80" s="1">
        <f>SUM(OSRRefH22_11x_0)</f>
        <v>0</v>
      </c>
      <c r="I80" s="1"/>
      <c r="J80" s="5">
        <f t="shared" si="37"/>
        <v>0</v>
      </c>
      <c r="K80" s="1"/>
      <c r="L80" s="1">
        <f t="shared" si="38"/>
        <v>0</v>
      </c>
      <c r="M80" s="1"/>
      <c r="N80" s="5">
        <f t="shared" si="39"/>
        <v>0</v>
      </c>
      <c r="O80" s="14"/>
      <c r="P80" s="1">
        <f>SUM(OSRRefP22_11x_0)</f>
        <v>0</v>
      </c>
      <c r="Q80" s="1"/>
      <c r="R80" s="5">
        <f t="shared" si="40"/>
        <v>0</v>
      </c>
      <c r="S80" s="1"/>
      <c r="T80" s="1">
        <f>SUM(OSRRefT22_11x_0)</f>
        <v>750</v>
      </c>
      <c r="U80" s="1"/>
      <c r="V80" s="5">
        <f t="shared" si="41"/>
        <v>5.1418464027642562E-3</v>
      </c>
      <c r="W80" s="1"/>
      <c r="X80" s="1">
        <f t="shared" si="42"/>
        <v>-750</v>
      </c>
      <c r="Y80" s="1"/>
      <c r="Z80" s="5">
        <f t="shared" si="43"/>
        <v>-1</v>
      </c>
    </row>
    <row r="81" spans="1:26" s="24" customFormat="1" hidden="1" outlineLevel="2" x14ac:dyDescent="0.25">
      <c r="A81" s="29"/>
      <c r="B81" s="11" t="str">
        <f>CONCATENATE("          ", "6336", " - ", "PROFESSIONAL SERVICES")</f>
        <v xml:space="preserve">          6336 - PROFESSIONAL SERVICES</v>
      </c>
      <c r="C81" s="11"/>
      <c r="D81" s="6"/>
      <c r="E81" s="2"/>
      <c r="F81" s="7">
        <f t="shared" si="36"/>
        <v>0</v>
      </c>
      <c r="G81" s="2"/>
      <c r="H81" s="6">
        <v>0</v>
      </c>
      <c r="I81" s="2"/>
      <c r="J81" s="7">
        <f t="shared" si="37"/>
        <v>0</v>
      </c>
      <c r="K81" s="2"/>
      <c r="L81" s="6">
        <f t="shared" si="38"/>
        <v>0</v>
      </c>
      <c r="M81" s="2"/>
      <c r="N81" s="7">
        <f t="shared" si="39"/>
        <v>0</v>
      </c>
      <c r="O81" s="11"/>
      <c r="P81" s="6"/>
      <c r="Q81" s="2"/>
      <c r="R81" s="7">
        <f t="shared" si="40"/>
        <v>0</v>
      </c>
      <c r="S81" s="2"/>
      <c r="T81" s="6">
        <v>750</v>
      </c>
      <c r="U81" s="2"/>
      <c r="V81" s="7">
        <f t="shared" si="41"/>
        <v>5.1418464027642562E-3</v>
      </c>
      <c r="W81" s="2"/>
      <c r="X81" s="6">
        <f t="shared" si="42"/>
        <v>-750</v>
      </c>
      <c r="Y81" s="2"/>
      <c r="Z81" s="7">
        <f t="shared" si="43"/>
        <v>-1</v>
      </c>
    </row>
    <row r="82" spans="1:26" s="28" customFormat="1" outlineLevel="1" collapsed="1" x14ac:dyDescent="0.25">
      <c r="A82" s="27"/>
      <c r="B82" s="14" t="str">
        <f>CONCATENATE("     ","Rent                                              ")</f>
        <v xml:space="preserve">     Rent                                              </v>
      </c>
      <c r="C82" s="14"/>
      <c r="D82" s="1">
        <f>SUM(OSRRefD22_12x_0)</f>
        <v>6900</v>
      </c>
      <c r="E82" s="1"/>
      <c r="F82" s="5">
        <f t="shared" si="36"/>
        <v>0.34557382533697206</v>
      </c>
      <c r="G82" s="1"/>
      <c r="H82" s="1">
        <f>SUM(OSRRefH22_12x_0)</f>
        <v>6901</v>
      </c>
      <c r="I82" s="1"/>
      <c r="J82" s="5">
        <f t="shared" si="37"/>
        <v>0.22308065298205915</v>
      </c>
      <c r="K82" s="1"/>
      <c r="L82" s="1">
        <f t="shared" si="38"/>
        <v>-1</v>
      </c>
      <c r="M82" s="1"/>
      <c r="N82" s="5">
        <f t="shared" si="39"/>
        <v>-1.4490653528474135E-4</v>
      </c>
      <c r="O82" s="14"/>
      <c r="P82" s="1">
        <f>SUM(OSRRefP22_12x_0)</f>
        <v>20700</v>
      </c>
      <c r="Q82" s="1"/>
      <c r="R82" s="5">
        <f t="shared" si="40"/>
        <v>0.29722640381322818</v>
      </c>
      <c r="S82" s="1"/>
      <c r="T82" s="1">
        <f>SUM(OSRRefT22_12x_0)</f>
        <v>20701</v>
      </c>
      <c r="U82" s="1"/>
      <c r="V82" s="5">
        <f t="shared" si="41"/>
        <v>0.14192181651149716</v>
      </c>
      <c r="W82" s="1"/>
      <c r="X82" s="1">
        <f t="shared" si="42"/>
        <v>-1</v>
      </c>
      <c r="Y82" s="1"/>
      <c r="Z82" s="5">
        <f t="shared" si="43"/>
        <v>-4.8306845079947828E-5</v>
      </c>
    </row>
    <row r="83" spans="1:26" s="24" customFormat="1" hidden="1" outlineLevel="2" x14ac:dyDescent="0.25">
      <c r="A83" s="29"/>
      <c r="B83" s="11" t="str">
        <f>CONCATENATE("          ", "6273", " - ", "RENT")</f>
        <v xml:space="preserve">          6273 - RENT</v>
      </c>
      <c r="C83" s="11"/>
      <c r="D83" s="6">
        <v>6900</v>
      </c>
      <c r="E83" s="2"/>
      <c r="F83" s="7">
        <f t="shared" si="36"/>
        <v>0.34557382533697206</v>
      </c>
      <c r="G83" s="2"/>
      <c r="H83" s="6">
        <v>6901</v>
      </c>
      <c r="I83" s="2"/>
      <c r="J83" s="7">
        <f t="shared" si="37"/>
        <v>0.22308065298205915</v>
      </c>
      <c r="K83" s="2"/>
      <c r="L83" s="6">
        <f t="shared" si="38"/>
        <v>-1</v>
      </c>
      <c r="M83" s="2"/>
      <c r="N83" s="7">
        <f t="shared" si="39"/>
        <v>-1.4490653528474135E-4</v>
      </c>
      <c r="O83" s="11"/>
      <c r="P83" s="6">
        <v>20700</v>
      </c>
      <c r="Q83" s="2"/>
      <c r="R83" s="7">
        <f t="shared" si="40"/>
        <v>0.29722640381322818</v>
      </c>
      <c r="S83" s="2"/>
      <c r="T83" s="6">
        <v>20701</v>
      </c>
      <c r="U83" s="2"/>
      <c r="V83" s="7">
        <f t="shared" si="41"/>
        <v>0.14192181651149716</v>
      </c>
      <c r="W83" s="2"/>
      <c r="X83" s="6">
        <f t="shared" si="42"/>
        <v>-1</v>
      </c>
      <c r="Y83" s="2"/>
      <c r="Z83" s="7">
        <f t="shared" si="43"/>
        <v>-4.8306845079947828E-5</v>
      </c>
    </row>
    <row r="84" spans="1:26" s="28" customFormat="1" outlineLevel="1" collapsed="1" x14ac:dyDescent="0.25">
      <c r="A84" s="27"/>
      <c r="B84" s="14" t="str">
        <f>CONCATENATE("     ","Repair and Maintenance                            ")</f>
        <v xml:space="preserve">     Repair and Maintenance                            </v>
      </c>
      <c r="C84" s="14"/>
      <c r="D84" s="1">
        <f>SUM(OSRRefD22_13x_0)</f>
        <v>48.21</v>
      </c>
      <c r="E84" s="1"/>
      <c r="F84" s="5">
        <f t="shared" si="36"/>
        <v>2.4145092926804962E-3</v>
      </c>
      <c r="G84" s="1"/>
      <c r="H84" s="1">
        <f>SUM(OSRRefH22_13x_0)</f>
        <v>100</v>
      </c>
      <c r="I84" s="1"/>
      <c r="J84" s="5">
        <f t="shared" si="37"/>
        <v>3.2325844512687894E-3</v>
      </c>
      <c r="K84" s="1"/>
      <c r="L84" s="1">
        <f t="shared" si="38"/>
        <v>-51.79</v>
      </c>
      <c r="M84" s="1"/>
      <c r="N84" s="5">
        <f t="shared" si="39"/>
        <v>-0.51790000000000003</v>
      </c>
      <c r="O84" s="14"/>
      <c r="P84" s="1">
        <f>SUM(OSRRefP22_13x_0)</f>
        <v>48.21</v>
      </c>
      <c r="Q84" s="1"/>
      <c r="R84" s="5">
        <f t="shared" si="40"/>
        <v>6.9223598685196769E-4</v>
      </c>
      <c r="S84" s="1"/>
      <c r="T84" s="1">
        <f>SUM(OSRRefT22_13x_0)</f>
        <v>300</v>
      </c>
      <c r="U84" s="1"/>
      <c r="V84" s="5">
        <f t="shared" si="41"/>
        <v>2.0567385611057025E-3</v>
      </c>
      <c r="W84" s="1"/>
      <c r="X84" s="1">
        <f t="shared" si="42"/>
        <v>-251.79</v>
      </c>
      <c r="Y84" s="1"/>
      <c r="Z84" s="5">
        <f t="shared" si="43"/>
        <v>-0.83929999999999993</v>
      </c>
    </row>
    <row r="85" spans="1:26" s="24" customFormat="1" hidden="1" outlineLevel="2" x14ac:dyDescent="0.25">
      <c r="A85" s="29"/>
      <c r="B85" s="11" t="str">
        <f>CONCATENATE("          ", "6373", " - ", "MAINTENANCE CONTRACTS")</f>
        <v xml:space="preserve">          6373 - MAINTENANCE CONTRACTS</v>
      </c>
      <c r="C85" s="11"/>
      <c r="D85" s="6">
        <v>48.21</v>
      </c>
      <c r="E85" s="2"/>
      <c r="F85" s="7">
        <f t="shared" si="36"/>
        <v>2.4145092926804962E-3</v>
      </c>
      <c r="G85" s="2"/>
      <c r="H85" s="6"/>
      <c r="I85" s="2"/>
      <c r="J85" s="7">
        <f t="shared" si="37"/>
        <v>0</v>
      </c>
      <c r="K85" s="2"/>
      <c r="L85" s="6">
        <f t="shared" si="38"/>
        <v>48.21</v>
      </c>
      <c r="M85" s="2"/>
      <c r="N85" s="7">
        <f t="shared" si="39"/>
        <v>0</v>
      </c>
      <c r="O85" s="11"/>
      <c r="P85" s="6">
        <v>48.21</v>
      </c>
      <c r="Q85" s="2"/>
      <c r="R85" s="7">
        <f t="shared" si="40"/>
        <v>6.9223598685196769E-4</v>
      </c>
      <c r="S85" s="2"/>
      <c r="T85" s="6"/>
      <c r="U85" s="2"/>
      <c r="V85" s="7">
        <f t="shared" si="41"/>
        <v>0</v>
      </c>
      <c r="W85" s="2"/>
      <c r="X85" s="6">
        <f t="shared" si="42"/>
        <v>48.21</v>
      </c>
      <c r="Y85" s="2"/>
      <c r="Z85" s="7">
        <f t="shared" si="43"/>
        <v>0</v>
      </c>
    </row>
    <row r="86" spans="1:26" s="24" customFormat="1" hidden="1" outlineLevel="2" x14ac:dyDescent="0.25">
      <c r="A86" s="29"/>
      <c r="B86" s="11" t="str">
        <f>CONCATENATE("          ", "6375", " - ", "OUTSIDE REPAIRS &amp; MAINTENANCE")</f>
        <v xml:space="preserve">          6375 - OUTSIDE REPAIRS &amp; MAINTENANCE</v>
      </c>
      <c r="C86" s="11"/>
      <c r="D86" s="6"/>
      <c r="E86" s="2"/>
      <c r="F86" s="7">
        <f t="shared" si="36"/>
        <v>0</v>
      </c>
      <c r="G86" s="2"/>
      <c r="H86" s="6">
        <v>100</v>
      </c>
      <c r="I86" s="2"/>
      <c r="J86" s="7">
        <f t="shared" si="37"/>
        <v>3.2325844512687894E-3</v>
      </c>
      <c r="K86" s="2"/>
      <c r="L86" s="6">
        <f t="shared" si="38"/>
        <v>-100</v>
      </c>
      <c r="M86" s="2"/>
      <c r="N86" s="7">
        <f t="shared" si="39"/>
        <v>-1</v>
      </c>
      <c r="O86" s="11"/>
      <c r="P86" s="6"/>
      <c r="Q86" s="2"/>
      <c r="R86" s="7">
        <f t="shared" si="40"/>
        <v>0</v>
      </c>
      <c r="S86" s="2"/>
      <c r="T86" s="6">
        <v>300</v>
      </c>
      <c r="U86" s="2"/>
      <c r="V86" s="7">
        <f t="shared" si="41"/>
        <v>2.0567385611057025E-3</v>
      </c>
      <c r="W86" s="2"/>
      <c r="X86" s="6">
        <f t="shared" si="42"/>
        <v>-300</v>
      </c>
      <c r="Y86" s="2"/>
      <c r="Z86" s="7">
        <f t="shared" si="43"/>
        <v>-1</v>
      </c>
    </row>
    <row r="87" spans="1:26" s="28" customFormat="1" outlineLevel="1" collapsed="1" x14ac:dyDescent="0.25">
      <c r="A87" s="27"/>
      <c r="B87" s="14" t="str">
        <f>CONCATENATE("     ","Services                                          ")</f>
        <v xml:space="preserve">     Services                                          </v>
      </c>
      <c r="C87" s="14"/>
      <c r="D87" s="1">
        <f>SUM(OSRRefD22_14x_0)</f>
        <v>142.57</v>
      </c>
      <c r="E87" s="1"/>
      <c r="F87" s="5">
        <f t="shared" ref="F87:F90" si="44">IF(D$12=0,0,D87/D$12)</f>
        <v>7.1403565620713197E-3</v>
      </c>
      <c r="G87" s="1"/>
      <c r="H87" s="1">
        <f>SUM(OSRRefH22_14x_0)</f>
        <v>210</v>
      </c>
      <c r="I87" s="1"/>
      <c r="J87" s="5">
        <f t="shared" ref="J87:J90" si="45">IF(H$12=0,0,H87/H$12)</f>
        <v>6.7884273476644576E-3</v>
      </c>
      <c r="K87" s="1"/>
      <c r="L87" s="1">
        <f t="shared" ref="L87:L90" si="46">+D87-H87</f>
        <v>-67.430000000000007</v>
      </c>
      <c r="M87" s="1"/>
      <c r="N87" s="5">
        <f t="shared" ref="N87:N90" si="47">IF(H87=0,0,L87/H87)</f>
        <v>-0.3210952380952381</v>
      </c>
      <c r="O87" s="14"/>
      <c r="P87" s="1">
        <f>SUM(OSRRefP22_14x_0)</f>
        <v>-109.03000000000003</v>
      </c>
      <c r="Q87" s="1"/>
      <c r="R87" s="5">
        <f t="shared" ref="R87:R90" si="48">IF(P$12=0,0,P87/P$12)</f>
        <v>-1.565535981051028E-3</v>
      </c>
      <c r="S87" s="1"/>
      <c r="T87" s="1">
        <f>SUM(OSRRefT22_14x_0)</f>
        <v>520</v>
      </c>
      <c r="U87" s="1"/>
      <c r="V87" s="5">
        <f t="shared" ref="V87:V90" si="49">IF(T$12=0,0,T87/T$12)</f>
        <v>3.5650135059165514E-3</v>
      </c>
      <c r="W87" s="1"/>
      <c r="X87" s="1">
        <f t="shared" ref="X87:X90" si="50">+P87-T87</f>
        <v>-629.03</v>
      </c>
      <c r="Y87" s="1"/>
      <c r="Z87" s="5">
        <f t="shared" ref="Z87:Z90" si="51">IF(T87=0,0,X87/T87)</f>
        <v>-1.2096730769230768</v>
      </c>
    </row>
    <row r="88" spans="1:26" s="24" customFormat="1" hidden="1" outlineLevel="2" x14ac:dyDescent="0.25">
      <c r="A88" s="29"/>
      <c r="B88" s="11" t="str">
        <f>CONCATENATE("          ", "6283", " - ", "PLANT SERVICE")</f>
        <v xml:space="preserve">          6283 - PLANT SERVICE</v>
      </c>
      <c r="C88" s="11"/>
      <c r="D88" s="6"/>
      <c r="E88" s="2"/>
      <c r="F88" s="7">
        <f t="shared" si="44"/>
        <v>0</v>
      </c>
      <c r="G88" s="2"/>
      <c r="H88" s="6">
        <v>0</v>
      </c>
      <c r="I88" s="2"/>
      <c r="J88" s="7">
        <f t="shared" si="45"/>
        <v>0</v>
      </c>
      <c r="K88" s="2"/>
      <c r="L88" s="6">
        <f t="shared" si="46"/>
        <v>0</v>
      </c>
      <c r="M88" s="2"/>
      <c r="N88" s="7">
        <f t="shared" si="47"/>
        <v>0</v>
      </c>
      <c r="O88" s="11"/>
      <c r="P88" s="6"/>
      <c r="Q88" s="2"/>
      <c r="R88" s="7">
        <f t="shared" si="48"/>
        <v>0</v>
      </c>
      <c r="S88" s="2"/>
      <c r="T88" s="6">
        <v>0</v>
      </c>
      <c r="U88" s="2"/>
      <c r="V88" s="7">
        <f t="shared" si="49"/>
        <v>0</v>
      </c>
      <c r="W88" s="2"/>
      <c r="X88" s="6">
        <f t="shared" si="50"/>
        <v>0</v>
      </c>
      <c r="Y88" s="2"/>
      <c r="Z88" s="7">
        <f t="shared" si="51"/>
        <v>0</v>
      </c>
    </row>
    <row r="89" spans="1:26" s="24" customFormat="1" hidden="1" outlineLevel="2" x14ac:dyDescent="0.25">
      <c r="A89" s="29"/>
      <c r="B89" s="11" t="str">
        <f>CONCATENATE("          ", "6284", " - ", "TRASH REMOVAL EXPENSE")</f>
        <v xml:space="preserve">          6284 - TRASH REMOVAL EXPENSE</v>
      </c>
      <c r="C89" s="11"/>
      <c r="D89" s="6">
        <v>142.57</v>
      </c>
      <c r="E89" s="2"/>
      <c r="F89" s="7">
        <f t="shared" si="44"/>
        <v>7.1403565620713197E-3</v>
      </c>
      <c r="G89" s="2"/>
      <c r="H89" s="6">
        <v>110</v>
      </c>
      <c r="I89" s="2"/>
      <c r="J89" s="7">
        <f t="shared" si="45"/>
        <v>3.5558428963956682E-3</v>
      </c>
      <c r="K89" s="2"/>
      <c r="L89" s="6">
        <f t="shared" si="46"/>
        <v>32.569999999999993</v>
      </c>
      <c r="M89" s="2"/>
      <c r="N89" s="7">
        <f t="shared" si="47"/>
        <v>0.29609090909090902</v>
      </c>
      <c r="O89" s="11"/>
      <c r="P89" s="6">
        <v>427.71</v>
      </c>
      <c r="Q89" s="2"/>
      <c r="R89" s="7">
        <f t="shared" si="48"/>
        <v>6.1413867234278181E-3</v>
      </c>
      <c r="S89" s="2"/>
      <c r="T89" s="6">
        <v>220</v>
      </c>
      <c r="U89" s="2"/>
      <c r="V89" s="7">
        <f t="shared" si="49"/>
        <v>1.5082749448108487E-3</v>
      </c>
      <c r="W89" s="2"/>
      <c r="X89" s="6">
        <f t="shared" si="50"/>
        <v>207.70999999999998</v>
      </c>
      <c r="Y89" s="2"/>
      <c r="Z89" s="7">
        <f t="shared" si="51"/>
        <v>0.94413636363636355</v>
      </c>
    </row>
    <row r="90" spans="1:26" s="24" customFormat="1" hidden="1" outlineLevel="2" x14ac:dyDescent="0.25">
      <c r="A90" s="29"/>
      <c r="B90" s="11" t="str">
        <f>CONCATENATE("          ", "6285", " - ", "JANITORIAL SERVICES")</f>
        <v xml:space="preserve">          6285 - JANITORIAL SERVICES</v>
      </c>
      <c r="C90" s="11"/>
      <c r="D90" s="6"/>
      <c r="E90" s="2"/>
      <c r="F90" s="7">
        <f t="shared" si="44"/>
        <v>0</v>
      </c>
      <c r="G90" s="2"/>
      <c r="H90" s="6">
        <v>100</v>
      </c>
      <c r="I90" s="2"/>
      <c r="J90" s="7">
        <f t="shared" si="45"/>
        <v>3.2325844512687894E-3</v>
      </c>
      <c r="K90" s="2"/>
      <c r="L90" s="6">
        <f t="shared" si="46"/>
        <v>-100</v>
      </c>
      <c r="M90" s="2"/>
      <c r="N90" s="7">
        <f t="shared" si="47"/>
        <v>-1</v>
      </c>
      <c r="O90" s="11"/>
      <c r="P90" s="6">
        <v>-536.74</v>
      </c>
      <c r="Q90" s="2"/>
      <c r="R90" s="7">
        <f t="shared" si="48"/>
        <v>-7.7069227044788456E-3</v>
      </c>
      <c r="S90" s="2"/>
      <c r="T90" s="6">
        <v>300</v>
      </c>
      <c r="U90" s="2"/>
      <c r="V90" s="7">
        <f t="shared" si="49"/>
        <v>2.0567385611057025E-3</v>
      </c>
      <c r="W90" s="2"/>
      <c r="X90" s="6">
        <f t="shared" si="50"/>
        <v>-836.74</v>
      </c>
      <c r="Y90" s="2"/>
      <c r="Z90" s="7">
        <f t="shared" si="51"/>
        <v>-2.7891333333333335</v>
      </c>
    </row>
    <row r="91" spans="1:26" s="28" customFormat="1" outlineLevel="1" collapsed="1" x14ac:dyDescent="0.25">
      <c r="A91" s="27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SUM(OSRRefD22_15x_0)</f>
        <v>0</v>
      </c>
      <c r="E91" s="1"/>
      <c r="F91" s="5">
        <f t="shared" ref="F91:F93" si="52">IF(D$12=0,0,D91/D$12)</f>
        <v>0</v>
      </c>
      <c r="G91" s="1"/>
      <c r="H91" s="1">
        <f>SUM(OSRRefH22_15x_0)</f>
        <v>0</v>
      </c>
      <c r="I91" s="1"/>
      <c r="J91" s="5">
        <f t="shared" ref="J91:J93" si="53">IF(H$12=0,0,H91/H$12)</f>
        <v>0</v>
      </c>
      <c r="K91" s="1"/>
      <c r="L91" s="1">
        <f t="shared" ref="L91:L93" si="54">+D91-H91</f>
        <v>0</v>
      </c>
      <c r="M91" s="1"/>
      <c r="N91" s="5">
        <f t="shared" ref="N91:N93" si="55">IF(H91=0,0,L91/H91)</f>
        <v>0</v>
      </c>
      <c r="O91" s="14"/>
      <c r="P91" s="1">
        <f>SUM(OSRRefP22_15x_0)</f>
        <v>75</v>
      </c>
      <c r="Q91" s="1"/>
      <c r="R91" s="5">
        <f t="shared" ref="R91:R93" si="56">IF(P$12=0,0,P91/P$12)</f>
        <v>1.0769072601928558E-3</v>
      </c>
      <c r="S91" s="1"/>
      <c r="T91" s="1">
        <f>SUM(OSRRefT22_15x_0)</f>
        <v>395</v>
      </c>
      <c r="U91" s="1"/>
      <c r="V91" s="5">
        <f t="shared" ref="V91:V93" si="57">IF(T$12=0,0,T91/T$12)</f>
        <v>2.7080391054558417E-3</v>
      </c>
      <c r="W91" s="1"/>
      <c r="X91" s="1">
        <f t="shared" ref="X91:X93" si="58">+P91-T91</f>
        <v>-320</v>
      </c>
      <c r="Y91" s="1"/>
      <c r="Z91" s="5">
        <f t="shared" ref="Z91:Z93" si="59">IF(T91=0,0,X91/T91)</f>
        <v>-0.810126582278481</v>
      </c>
    </row>
    <row r="92" spans="1:26" s="24" customFormat="1" hidden="1" outlineLevel="2" x14ac:dyDescent="0.25">
      <c r="A92" s="29"/>
      <c r="B92" s="11" t="str">
        <f>CONCATENATE("          ", "6258", " - ", "MEMBERSHIP DUES")</f>
        <v xml:space="preserve">          6258 - MEMBERSHIP DUES</v>
      </c>
      <c r="C92" s="11"/>
      <c r="D92" s="6"/>
      <c r="E92" s="2"/>
      <c r="F92" s="7">
        <f t="shared" si="52"/>
        <v>0</v>
      </c>
      <c r="G92" s="2"/>
      <c r="H92" s="6">
        <v>0</v>
      </c>
      <c r="I92" s="2"/>
      <c r="J92" s="7">
        <f t="shared" si="53"/>
        <v>0</v>
      </c>
      <c r="K92" s="2"/>
      <c r="L92" s="6">
        <f t="shared" si="54"/>
        <v>0</v>
      </c>
      <c r="M92" s="2"/>
      <c r="N92" s="7">
        <f t="shared" si="55"/>
        <v>0</v>
      </c>
      <c r="O92" s="11"/>
      <c r="P92" s="6"/>
      <c r="Q92" s="2"/>
      <c r="R92" s="7">
        <f t="shared" si="56"/>
        <v>0</v>
      </c>
      <c r="S92" s="2"/>
      <c r="T92" s="6">
        <v>395</v>
      </c>
      <c r="U92" s="2"/>
      <c r="V92" s="7">
        <f t="shared" si="57"/>
        <v>2.7080391054558417E-3</v>
      </c>
      <c r="W92" s="2"/>
      <c r="X92" s="6">
        <f t="shared" si="58"/>
        <v>-395</v>
      </c>
      <c r="Y92" s="2"/>
      <c r="Z92" s="7">
        <f t="shared" si="59"/>
        <v>-1</v>
      </c>
    </row>
    <row r="93" spans="1:26" s="24" customFormat="1" hidden="1" outlineLevel="2" x14ac:dyDescent="0.25">
      <c r="A93" s="29"/>
      <c r="B93" s="11" t="str">
        <f>CONCATENATE("          ", "6275", " - ", "SUBSCRIPTIONS")</f>
        <v xml:space="preserve">          6275 - SUBSCRIPTIONS</v>
      </c>
      <c r="C93" s="11"/>
      <c r="D93" s="6"/>
      <c r="E93" s="2"/>
      <c r="F93" s="7">
        <f t="shared" si="52"/>
        <v>0</v>
      </c>
      <c r="G93" s="2"/>
      <c r="H93" s="6">
        <v>0</v>
      </c>
      <c r="I93" s="2"/>
      <c r="J93" s="7">
        <f t="shared" si="53"/>
        <v>0</v>
      </c>
      <c r="K93" s="2"/>
      <c r="L93" s="6">
        <f t="shared" si="54"/>
        <v>0</v>
      </c>
      <c r="M93" s="2"/>
      <c r="N93" s="7">
        <f t="shared" si="55"/>
        <v>0</v>
      </c>
      <c r="O93" s="11"/>
      <c r="P93" s="6">
        <v>75</v>
      </c>
      <c r="Q93" s="2"/>
      <c r="R93" s="7">
        <f t="shared" si="56"/>
        <v>1.0769072601928558E-3</v>
      </c>
      <c r="S93" s="2"/>
      <c r="T93" s="6">
        <v>0</v>
      </c>
      <c r="U93" s="2"/>
      <c r="V93" s="7">
        <f t="shared" si="57"/>
        <v>0</v>
      </c>
      <c r="W93" s="2"/>
      <c r="X93" s="6">
        <f t="shared" si="58"/>
        <v>75</v>
      </c>
      <c r="Y93" s="2"/>
      <c r="Z93" s="7">
        <f t="shared" si="59"/>
        <v>0</v>
      </c>
    </row>
    <row r="94" spans="1:26" s="28" customFormat="1" outlineLevel="1" collapsed="1" x14ac:dyDescent="0.25">
      <c r="A94" s="27"/>
      <c r="B94" s="14" t="str">
        <f>CONCATENATE("     ","Supplies                                          ")</f>
        <v xml:space="preserve">     Supplies                                          </v>
      </c>
      <c r="C94" s="14"/>
      <c r="D94" s="1">
        <f>SUM(OSRRefD22_16x_0)</f>
        <v>265.7</v>
      </c>
      <c r="E94" s="1"/>
      <c r="F94" s="5">
        <f t="shared" ref="F94:F100" si="60">IF(D$12=0,0,D94/D$12)</f>
        <v>1.3307096433628041E-2</v>
      </c>
      <c r="G94" s="1"/>
      <c r="H94" s="1">
        <f>SUM(OSRRefH22_16x_0)</f>
        <v>200</v>
      </c>
      <c r="I94" s="1"/>
      <c r="J94" s="5">
        <f t="shared" ref="J94:J100" si="61">IF(H$12=0,0,H94/H$12)</f>
        <v>6.4651689025375788E-3</v>
      </c>
      <c r="K94" s="1"/>
      <c r="L94" s="1">
        <f t="shared" ref="L94:L100" si="62">+D94-H94</f>
        <v>65.699999999999989</v>
      </c>
      <c r="M94" s="1"/>
      <c r="N94" s="5">
        <f t="shared" ref="N94:N100" si="63">IF(H94=0,0,L94/H94)</f>
        <v>0.32849999999999996</v>
      </c>
      <c r="O94" s="14"/>
      <c r="P94" s="1">
        <f>SUM(OSRRefP22_16x_0)</f>
        <v>409.96999999999997</v>
      </c>
      <c r="Q94" s="1"/>
      <c r="R94" s="5">
        <f t="shared" ref="R94:R100" si="64">IF(P$12=0,0,P94/P$12)</f>
        <v>5.8866622594835345E-3</v>
      </c>
      <c r="S94" s="1"/>
      <c r="T94" s="1">
        <f>SUM(OSRRefT22_16x_0)</f>
        <v>545</v>
      </c>
      <c r="U94" s="1"/>
      <c r="V94" s="5">
        <f t="shared" ref="V94:V100" si="65">IF(T$12=0,0,T94/T$12)</f>
        <v>3.736408386008693E-3</v>
      </c>
      <c r="W94" s="1"/>
      <c r="X94" s="1">
        <f t="shared" ref="X94:X100" si="66">+P94-T94</f>
        <v>-135.03000000000003</v>
      </c>
      <c r="Y94" s="1"/>
      <c r="Z94" s="5">
        <f t="shared" ref="Z94:Z100" si="67">IF(T94=0,0,X94/T94)</f>
        <v>-0.2477614678899083</v>
      </c>
    </row>
    <row r="95" spans="1:26" s="24" customFormat="1" hidden="1" outlineLevel="2" x14ac:dyDescent="0.25">
      <c r="A95" s="29"/>
      <c r="B95" s="11" t="str">
        <f>CONCATENATE("          ", "6234", " - ", "EXPENDABLE SUPPLIES &amp; EQUIPMEN")</f>
        <v xml:space="preserve">          6234 - EXPENDABLE SUPPLIES &amp; EQUIPMEN</v>
      </c>
      <c r="C95" s="11"/>
      <c r="D95" s="6"/>
      <c r="E95" s="2"/>
      <c r="F95" s="7">
        <f t="shared" si="60"/>
        <v>0</v>
      </c>
      <c r="G95" s="2"/>
      <c r="H95" s="6">
        <v>0</v>
      </c>
      <c r="I95" s="2"/>
      <c r="J95" s="7">
        <f t="shared" si="61"/>
        <v>0</v>
      </c>
      <c r="K95" s="2"/>
      <c r="L95" s="6">
        <f t="shared" si="62"/>
        <v>0</v>
      </c>
      <c r="M95" s="2"/>
      <c r="N95" s="7">
        <f t="shared" si="63"/>
        <v>0</v>
      </c>
      <c r="O95" s="11"/>
      <c r="P95" s="6"/>
      <c r="Q95" s="2"/>
      <c r="R95" s="7">
        <f t="shared" si="64"/>
        <v>0</v>
      </c>
      <c r="S95" s="2"/>
      <c r="T95" s="6">
        <v>0</v>
      </c>
      <c r="U95" s="2"/>
      <c r="V95" s="7">
        <f t="shared" si="65"/>
        <v>0</v>
      </c>
      <c r="W95" s="2"/>
      <c r="X95" s="6">
        <f t="shared" si="66"/>
        <v>0</v>
      </c>
      <c r="Y95" s="2"/>
      <c r="Z95" s="7">
        <f t="shared" si="67"/>
        <v>0</v>
      </c>
    </row>
    <row r="96" spans="1:26" s="24" customFormat="1" hidden="1" outlineLevel="2" x14ac:dyDescent="0.25">
      <c r="A96" s="29"/>
      <c r="B96" s="11" t="str">
        <f>CONCATENATE("          ", "6235", " - ", "COVID-19 EXPENSES")</f>
        <v xml:space="preserve">          6235 - COVID-19 EXPENSES</v>
      </c>
      <c r="C96" s="11"/>
      <c r="D96" s="6">
        <v>265.7</v>
      </c>
      <c r="E96" s="2"/>
      <c r="F96" s="7">
        <f t="shared" si="60"/>
        <v>1.3307096433628041E-2</v>
      </c>
      <c r="G96" s="2"/>
      <c r="H96" s="6">
        <v>100</v>
      </c>
      <c r="I96" s="2"/>
      <c r="J96" s="7">
        <f t="shared" si="61"/>
        <v>3.2325844512687894E-3</v>
      </c>
      <c r="K96" s="2"/>
      <c r="L96" s="6">
        <f t="shared" si="62"/>
        <v>165.7</v>
      </c>
      <c r="M96" s="2"/>
      <c r="N96" s="7">
        <f t="shared" si="63"/>
        <v>1.6569999999999998</v>
      </c>
      <c r="O96" s="11"/>
      <c r="P96" s="6">
        <v>265.7</v>
      </c>
      <c r="Q96" s="2"/>
      <c r="R96" s="7">
        <f t="shared" si="64"/>
        <v>3.8151234537765568E-3</v>
      </c>
      <c r="S96" s="2"/>
      <c r="T96" s="6">
        <v>300</v>
      </c>
      <c r="U96" s="2"/>
      <c r="V96" s="7">
        <f t="shared" si="65"/>
        <v>2.0567385611057025E-3</v>
      </c>
      <c r="W96" s="2"/>
      <c r="X96" s="6">
        <f t="shared" si="66"/>
        <v>-34.300000000000011</v>
      </c>
      <c r="Y96" s="2"/>
      <c r="Z96" s="7">
        <f t="shared" si="67"/>
        <v>-0.11433333333333337</v>
      </c>
    </row>
    <row r="97" spans="1:26" s="24" customFormat="1" hidden="1" outlineLevel="2" x14ac:dyDescent="0.25">
      <c r="A97" s="29"/>
      <c r="B97" s="11" t="str">
        <f>CONCATENATE("          ", "6237", " - ", "JANITORIAL SUPPLIES")</f>
        <v xml:space="preserve">          6237 - JANITORIAL SUPPLIES</v>
      </c>
      <c r="C97" s="11"/>
      <c r="D97" s="6"/>
      <c r="E97" s="2"/>
      <c r="F97" s="7">
        <f t="shared" si="60"/>
        <v>0</v>
      </c>
      <c r="G97" s="2"/>
      <c r="H97" s="6">
        <v>50</v>
      </c>
      <c r="I97" s="2"/>
      <c r="J97" s="7">
        <f t="shared" si="61"/>
        <v>1.6162922256343947E-3</v>
      </c>
      <c r="K97" s="2"/>
      <c r="L97" s="6">
        <f t="shared" si="62"/>
        <v>-50</v>
      </c>
      <c r="M97" s="2"/>
      <c r="N97" s="7">
        <f t="shared" si="63"/>
        <v>-1</v>
      </c>
      <c r="O97" s="11"/>
      <c r="P97" s="6">
        <v>139.31</v>
      </c>
      <c r="Q97" s="2"/>
      <c r="R97" s="7">
        <f t="shared" si="64"/>
        <v>2.0003193388995564E-3</v>
      </c>
      <c r="S97" s="2"/>
      <c r="T97" s="6">
        <v>70</v>
      </c>
      <c r="U97" s="2"/>
      <c r="V97" s="7">
        <f t="shared" si="65"/>
        <v>4.7990566425799727E-4</v>
      </c>
      <c r="W97" s="2"/>
      <c r="X97" s="6">
        <f t="shared" si="66"/>
        <v>69.31</v>
      </c>
      <c r="Y97" s="2"/>
      <c r="Z97" s="7">
        <f t="shared" si="67"/>
        <v>0.99014285714285721</v>
      </c>
    </row>
    <row r="98" spans="1:26" s="24" customFormat="1" hidden="1" outlineLevel="2" x14ac:dyDescent="0.25">
      <c r="A98" s="29"/>
      <c r="B98" s="11" t="str">
        <f>CONCATENATE("          ", "6241", " - ", "OFFICE EXPENSE")</f>
        <v xml:space="preserve">          6241 - OFFICE EXPENSE</v>
      </c>
      <c r="C98" s="11"/>
      <c r="D98" s="6"/>
      <c r="E98" s="2"/>
      <c r="F98" s="7">
        <f t="shared" si="60"/>
        <v>0</v>
      </c>
      <c r="G98" s="2"/>
      <c r="H98" s="6">
        <v>25</v>
      </c>
      <c r="I98" s="2"/>
      <c r="J98" s="7">
        <f t="shared" si="61"/>
        <v>8.0814611281719735E-4</v>
      </c>
      <c r="K98" s="2"/>
      <c r="L98" s="6">
        <f t="shared" si="62"/>
        <v>-25</v>
      </c>
      <c r="M98" s="2"/>
      <c r="N98" s="7">
        <f t="shared" si="63"/>
        <v>-1</v>
      </c>
      <c r="O98" s="11"/>
      <c r="P98" s="6">
        <v>4.96</v>
      </c>
      <c r="Q98" s="2"/>
      <c r="R98" s="7">
        <f t="shared" si="64"/>
        <v>7.1219466807420867E-5</v>
      </c>
      <c r="S98" s="2"/>
      <c r="T98" s="6">
        <v>75</v>
      </c>
      <c r="U98" s="2"/>
      <c r="V98" s="7">
        <f t="shared" si="65"/>
        <v>5.1418464027642562E-4</v>
      </c>
      <c r="W98" s="2"/>
      <c r="X98" s="6">
        <f t="shared" si="66"/>
        <v>-70.040000000000006</v>
      </c>
      <c r="Y98" s="2"/>
      <c r="Z98" s="7">
        <f t="shared" si="67"/>
        <v>-0.93386666666666673</v>
      </c>
    </row>
    <row r="99" spans="1:26" s="24" customFormat="1" hidden="1" outlineLevel="2" x14ac:dyDescent="0.25">
      <c r="A99" s="29"/>
      <c r="B99" s="11" t="str">
        <f>CONCATENATE("          ", "6244", " - ", "SAFETY SUPPLY EXPENSE")</f>
        <v xml:space="preserve">          6244 - SAFETY SUPPLY EXPENSE</v>
      </c>
      <c r="C99" s="11"/>
      <c r="D99" s="6"/>
      <c r="E99" s="2"/>
      <c r="F99" s="7">
        <f t="shared" si="60"/>
        <v>0</v>
      </c>
      <c r="G99" s="2"/>
      <c r="H99" s="6">
        <v>0</v>
      </c>
      <c r="I99" s="2"/>
      <c r="J99" s="7">
        <f t="shared" si="61"/>
        <v>0</v>
      </c>
      <c r="K99" s="2"/>
      <c r="L99" s="6">
        <f t="shared" si="62"/>
        <v>0</v>
      </c>
      <c r="M99" s="2"/>
      <c r="N99" s="7">
        <f t="shared" si="63"/>
        <v>0</v>
      </c>
      <c r="O99" s="11"/>
      <c r="P99" s="6"/>
      <c r="Q99" s="2"/>
      <c r="R99" s="7">
        <f t="shared" si="64"/>
        <v>0</v>
      </c>
      <c r="S99" s="2"/>
      <c r="T99" s="6">
        <v>25</v>
      </c>
      <c r="U99" s="2"/>
      <c r="V99" s="7">
        <f t="shared" si="65"/>
        <v>1.7139488009214188E-4</v>
      </c>
      <c r="W99" s="2"/>
      <c r="X99" s="6">
        <f t="shared" si="66"/>
        <v>-25</v>
      </c>
      <c r="Y99" s="2"/>
      <c r="Z99" s="7">
        <f t="shared" si="67"/>
        <v>-1</v>
      </c>
    </row>
    <row r="100" spans="1:26" s="24" customFormat="1" hidden="1" outlineLevel="2" x14ac:dyDescent="0.25">
      <c r="A100" s="29"/>
      <c r="B100" s="11" t="str">
        <f>CONCATENATE("          ", "6247", " - ", "STORE SUPPLIES")</f>
        <v xml:space="preserve">          6247 - STORE SUPPLIES</v>
      </c>
      <c r="C100" s="11"/>
      <c r="D100" s="6"/>
      <c r="E100" s="2"/>
      <c r="F100" s="7">
        <f t="shared" si="60"/>
        <v>0</v>
      </c>
      <c r="G100" s="2"/>
      <c r="H100" s="6">
        <v>25</v>
      </c>
      <c r="I100" s="2"/>
      <c r="J100" s="7">
        <f t="shared" si="61"/>
        <v>8.0814611281719735E-4</v>
      </c>
      <c r="K100" s="2"/>
      <c r="L100" s="6">
        <f t="shared" si="62"/>
        <v>-25</v>
      </c>
      <c r="M100" s="2"/>
      <c r="N100" s="7">
        <f t="shared" si="63"/>
        <v>-1</v>
      </c>
      <c r="O100" s="11"/>
      <c r="P100" s="6"/>
      <c r="Q100" s="2"/>
      <c r="R100" s="7">
        <f t="shared" si="64"/>
        <v>0</v>
      </c>
      <c r="S100" s="2"/>
      <c r="T100" s="6">
        <v>75</v>
      </c>
      <c r="U100" s="2"/>
      <c r="V100" s="7">
        <f t="shared" si="65"/>
        <v>5.1418464027642562E-4</v>
      </c>
      <c r="W100" s="2"/>
      <c r="X100" s="6">
        <f t="shared" si="66"/>
        <v>-75</v>
      </c>
      <c r="Y100" s="2"/>
      <c r="Z100" s="7">
        <f t="shared" si="67"/>
        <v>-1</v>
      </c>
    </row>
    <row r="101" spans="1:26" s="28" customFormat="1" outlineLevel="1" collapsed="1" x14ac:dyDescent="0.25">
      <c r="A101" s="27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SUM(OSRRefD22_17x_0)</f>
        <v>511.48</v>
      </c>
      <c r="E101" s="1"/>
      <c r="F101" s="5">
        <f t="shared" ref="F101:F103" si="68">IF(D$12=0,0,D101/D$12)</f>
        <v>2.5616536258457171E-2</v>
      </c>
      <c r="G101" s="1"/>
      <c r="H101" s="1">
        <f>SUM(OSRRefH22_17x_0)</f>
        <v>230</v>
      </c>
      <c r="I101" s="1"/>
      <c r="J101" s="5">
        <f t="shared" ref="J101:J103" si="69">IF(H$12=0,0,H101/H$12)</f>
        <v>7.4349442379182153E-3</v>
      </c>
      <c r="K101" s="1"/>
      <c r="L101" s="1">
        <f t="shared" ref="L101:L103" si="70">+D101-H101</f>
        <v>281.48</v>
      </c>
      <c r="M101" s="1"/>
      <c r="N101" s="5">
        <f t="shared" ref="N101:N103" si="71">IF(H101=0,0,L101/H101)</f>
        <v>1.2238260869565218</v>
      </c>
      <c r="O101" s="14"/>
      <c r="P101" s="1">
        <f>SUM(OSRRefP22_17x_0)</f>
        <v>1071.28</v>
      </c>
      <c r="Q101" s="1"/>
      <c r="R101" s="5">
        <f t="shared" ref="R101:R103" si="72">IF(P$12=0,0,P101/P$12)</f>
        <v>1.5382256129325367E-2</v>
      </c>
      <c r="S101" s="1"/>
      <c r="T101" s="1">
        <f>SUM(OSRRefT22_17x_0)</f>
        <v>690</v>
      </c>
      <c r="U101" s="1"/>
      <c r="V101" s="5">
        <f t="shared" ref="V101:V103" si="73">IF(T$12=0,0,T101/T$12)</f>
        <v>4.7304986905431163E-3</v>
      </c>
      <c r="W101" s="1"/>
      <c r="X101" s="1">
        <f t="shared" ref="X101:X103" si="74">+P101-T101</f>
        <v>381.28</v>
      </c>
      <c r="Y101" s="1"/>
      <c r="Z101" s="5">
        <f t="shared" ref="Z101:Z103" si="75">IF(T101=0,0,X101/T101)</f>
        <v>0.55257971014492746</v>
      </c>
    </row>
    <row r="102" spans="1:26" s="24" customFormat="1" hidden="1" outlineLevel="2" x14ac:dyDescent="0.25">
      <c r="A102" s="29"/>
      <c r="B102" s="11" t="str">
        <f>CONCATENATE("          ", "6303", " - ", "DATA PHONE LINES")</f>
        <v xml:space="preserve">          6303 - DATA PHONE LINES</v>
      </c>
      <c r="C102" s="11"/>
      <c r="D102" s="6"/>
      <c r="E102" s="2"/>
      <c r="F102" s="7">
        <f t="shared" si="68"/>
        <v>0</v>
      </c>
      <c r="G102" s="2"/>
      <c r="H102" s="6">
        <v>230</v>
      </c>
      <c r="I102" s="2"/>
      <c r="J102" s="7">
        <f t="shared" si="69"/>
        <v>7.4349442379182153E-3</v>
      </c>
      <c r="K102" s="2"/>
      <c r="L102" s="6">
        <f t="shared" si="70"/>
        <v>-230</v>
      </c>
      <c r="M102" s="2"/>
      <c r="N102" s="7">
        <f t="shared" si="71"/>
        <v>-1</v>
      </c>
      <c r="O102" s="11"/>
      <c r="P102" s="6"/>
      <c r="Q102" s="2"/>
      <c r="R102" s="7">
        <f t="shared" si="72"/>
        <v>0</v>
      </c>
      <c r="S102" s="2"/>
      <c r="T102" s="6">
        <v>690</v>
      </c>
      <c r="U102" s="2"/>
      <c r="V102" s="7">
        <f t="shared" si="73"/>
        <v>4.7304986905431163E-3</v>
      </c>
      <c r="W102" s="2"/>
      <c r="X102" s="6">
        <f t="shared" si="74"/>
        <v>-690</v>
      </c>
      <c r="Y102" s="2"/>
      <c r="Z102" s="7">
        <f t="shared" si="75"/>
        <v>-1</v>
      </c>
    </row>
    <row r="103" spans="1:26" s="24" customFormat="1" hidden="1" outlineLevel="2" x14ac:dyDescent="0.25">
      <c r="A103" s="29"/>
      <c r="B103" s="11" t="str">
        <f>CONCATENATE("          ", "6309", " - ", "TELEPHONE")</f>
        <v xml:space="preserve">          6309 - TELEPHONE</v>
      </c>
      <c r="C103" s="11"/>
      <c r="D103" s="6">
        <v>511.48</v>
      </c>
      <c r="E103" s="2"/>
      <c r="F103" s="7">
        <f t="shared" si="68"/>
        <v>2.5616536258457171E-2</v>
      </c>
      <c r="G103" s="2"/>
      <c r="H103" s="6"/>
      <c r="I103" s="2"/>
      <c r="J103" s="7">
        <f t="shared" si="69"/>
        <v>0</v>
      </c>
      <c r="K103" s="2"/>
      <c r="L103" s="6">
        <f t="shared" si="70"/>
        <v>511.48</v>
      </c>
      <c r="M103" s="2"/>
      <c r="N103" s="7">
        <f t="shared" si="71"/>
        <v>0</v>
      </c>
      <c r="O103" s="11"/>
      <c r="P103" s="6">
        <v>1071.28</v>
      </c>
      <c r="Q103" s="2"/>
      <c r="R103" s="7">
        <f t="shared" si="72"/>
        <v>1.5382256129325367E-2</v>
      </c>
      <c r="S103" s="2"/>
      <c r="T103" s="6"/>
      <c r="U103" s="2"/>
      <c r="V103" s="7">
        <f t="shared" si="73"/>
        <v>0</v>
      </c>
      <c r="W103" s="2"/>
      <c r="X103" s="6">
        <f t="shared" si="74"/>
        <v>1071.28</v>
      </c>
      <c r="Y103" s="2"/>
      <c r="Z103" s="7">
        <f t="shared" si="75"/>
        <v>0</v>
      </c>
    </row>
    <row r="104" spans="1:26" s="28" customFormat="1" outlineLevel="1" collapsed="1" x14ac:dyDescent="0.25">
      <c r="A104" s="27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SUM(OSRRefD22_18x_0)</f>
        <v>0</v>
      </c>
      <c r="E104" s="1"/>
      <c r="F104" s="5">
        <f t="shared" ref="F104:F108" si="76">IF(D$12=0,0,D104/D$12)</f>
        <v>0</v>
      </c>
      <c r="G104" s="1"/>
      <c r="H104" s="1">
        <f>SUM(OSRRefH22_18x_0)</f>
        <v>0</v>
      </c>
      <c r="I104" s="1"/>
      <c r="J104" s="5">
        <f t="shared" ref="J104:J108" si="77">IF(H$12=0,0,H104/H$12)</f>
        <v>0</v>
      </c>
      <c r="K104" s="1"/>
      <c r="L104" s="1">
        <f t="shared" ref="L104:L108" si="78">+D104-H104</f>
        <v>0</v>
      </c>
      <c r="M104" s="1"/>
      <c r="N104" s="5">
        <f t="shared" ref="N104:N108" si="79">IF(H104=0,0,L104/H104)</f>
        <v>0</v>
      </c>
      <c r="O104" s="14"/>
      <c r="P104" s="1">
        <f>SUM(OSRRefP22_18x_0)</f>
        <v>0</v>
      </c>
      <c r="Q104" s="1"/>
      <c r="R104" s="5">
        <f t="shared" ref="R104:R108" si="80">IF(P$12=0,0,P104/P$12)</f>
        <v>0</v>
      </c>
      <c r="S104" s="1"/>
      <c r="T104" s="1">
        <f>SUM(OSRRefT22_18x_0)</f>
        <v>0</v>
      </c>
      <c r="U104" s="1"/>
      <c r="V104" s="5">
        <f t="shared" ref="V104:V108" si="81">IF(T$12=0,0,T104/T$12)</f>
        <v>0</v>
      </c>
      <c r="W104" s="1"/>
      <c r="X104" s="1">
        <f t="shared" ref="X104:X108" si="82">+P104-T104</f>
        <v>0</v>
      </c>
      <c r="Y104" s="1"/>
      <c r="Z104" s="5">
        <f t="shared" ref="Z104:Z108" si="83">IF(T104=0,0,X104/T104)</f>
        <v>0</v>
      </c>
    </row>
    <row r="105" spans="1:26" s="24" customFormat="1" hidden="1" outlineLevel="2" x14ac:dyDescent="0.25">
      <c r="A105" s="29"/>
      <c r="B105" s="11" t="str">
        <f>CONCATENATE("          ", "6376", " - ", "TRAINING")</f>
        <v xml:space="preserve">          6376 - TRAINING</v>
      </c>
      <c r="C105" s="11"/>
      <c r="D105" s="6"/>
      <c r="E105" s="2"/>
      <c r="F105" s="7">
        <f t="shared" si="76"/>
        <v>0</v>
      </c>
      <c r="G105" s="2"/>
      <c r="H105" s="6">
        <v>0</v>
      </c>
      <c r="I105" s="2"/>
      <c r="J105" s="7">
        <f t="shared" si="77"/>
        <v>0</v>
      </c>
      <c r="K105" s="2"/>
      <c r="L105" s="6">
        <f t="shared" si="78"/>
        <v>0</v>
      </c>
      <c r="M105" s="2"/>
      <c r="N105" s="7">
        <f t="shared" si="79"/>
        <v>0</v>
      </c>
      <c r="O105" s="11"/>
      <c r="P105" s="6"/>
      <c r="Q105" s="2"/>
      <c r="R105" s="7">
        <f t="shared" si="80"/>
        <v>0</v>
      </c>
      <c r="S105" s="2"/>
      <c r="T105" s="6">
        <v>0</v>
      </c>
      <c r="U105" s="2"/>
      <c r="V105" s="7">
        <f t="shared" si="81"/>
        <v>0</v>
      </c>
      <c r="W105" s="2"/>
      <c r="X105" s="6">
        <f t="shared" si="82"/>
        <v>0</v>
      </c>
      <c r="Y105" s="2"/>
      <c r="Z105" s="7">
        <f t="shared" si="83"/>
        <v>0</v>
      </c>
    </row>
    <row r="106" spans="1:26" s="28" customFormat="1" outlineLevel="1" collapsed="1" x14ac:dyDescent="0.25">
      <c r="A106" s="27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SUM(OSRRefD22_19x_0)</f>
        <v>0</v>
      </c>
      <c r="E106" s="1"/>
      <c r="F106" s="5">
        <f t="shared" si="76"/>
        <v>0</v>
      </c>
      <c r="G106" s="1"/>
      <c r="H106" s="1">
        <f>SUM(OSRRefH22_19x_0)</f>
        <v>25</v>
      </c>
      <c r="I106" s="1"/>
      <c r="J106" s="5">
        <f t="shared" si="77"/>
        <v>8.0814611281719735E-4</v>
      </c>
      <c r="K106" s="1"/>
      <c r="L106" s="1">
        <f t="shared" si="78"/>
        <v>-25</v>
      </c>
      <c r="M106" s="1"/>
      <c r="N106" s="5">
        <f t="shared" si="79"/>
        <v>-1</v>
      </c>
      <c r="O106" s="14"/>
      <c r="P106" s="1">
        <f>SUM(OSRRefP22_19x_0)</f>
        <v>240.92</v>
      </c>
      <c r="Q106" s="1"/>
      <c r="R106" s="5">
        <f t="shared" si="80"/>
        <v>3.4593132950088376E-3</v>
      </c>
      <c r="S106" s="1"/>
      <c r="T106" s="1">
        <f>SUM(OSRRefT22_19x_0)</f>
        <v>75</v>
      </c>
      <c r="U106" s="1"/>
      <c r="V106" s="5">
        <f t="shared" si="81"/>
        <v>5.1418464027642562E-4</v>
      </c>
      <c r="W106" s="1"/>
      <c r="X106" s="1">
        <f t="shared" si="82"/>
        <v>165.92</v>
      </c>
      <c r="Y106" s="1"/>
      <c r="Z106" s="5">
        <f t="shared" si="83"/>
        <v>2.2122666666666664</v>
      </c>
    </row>
    <row r="107" spans="1:26" s="24" customFormat="1" hidden="1" outlineLevel="2" x14ac:dyDescent="0.25">
      <c r="A107" s="29"/>
      <c r="B107" s="11" t="str">
        <f>CONCATENATE("          ", "6294", " - ", "TRAVEL OPERATIONAL")</f>
        <v xml:space="preserve">          6294 - TRAVEL OPERATIONAL</v>
      </c>
      <c r="C107" s="11"/>
      <c r="D107" s="6"/>
      <c r="E107" s="2"/>
      <c r="F107" s="7">
        <f t="shared" si="76"/>
        <v>0</v>
      </c>
      <c r="G107" s="2"/>
      <c r="H107" s="6"/>
      <c r="I107" s="2"/>
      <c r="J107" s="7">
        <f t="shared" si="77"/>
        <v>0</v>
      </c>
      <c r="K107" s="2"/>
      <c r="L107" s="6">
        <f t="shared" si="78"/>
        <v>0</v>
      </c>
      <c r="M107" s="2"/>
      <c r="N107" s="7">
        <f t="shared" si="79"/>
        <v>0</v>
      </c>
      <c r="O107" s="11"/>
      <c r="P107" s="6">
        <v>240.92</v>
      </c>
      <c r="Q107" s="2"/>
      <c r="R107" s="7">
        <f t="shared" si="80"/>
        <v>3.4593132950088376E-3</v>
      </c>
      <c r="S107" s="2"/>
      <c r="T107" s="6"/>
      <c r="U107" s="2"/>
      <c r="V107" s="7">
        <f t="shared" si="81"/>
        <v>0</v>
      </c>
      <c r="W107" s="2"/>
      <c r="X107" s="6">
        <f t="shared" si="82"/>
        <v>240.92</v>
      </c>
      <c r="Y107" s="2"/>
      <c r="Z107" s="7">
        <f t="shared" si="83"/>
        <v>0</v>
      </c>
    </row>
    <row r="108" spans="1:26" s="24" customFormat="1" hidden="1" outlineLevel="2" x14ac:dyDescent="0.25">
      <c r="A108" s="29"/>
      <c r="B108" s="11" t="str">
        <f>CONCATENATE("          ", "6298", " - ", "VEHICLE MILEAGE")</f>
        <v xml:space="preserve">          6298 - VEHICLE MILEAGE</v>
      </c>
      <c r="C108" s="11"/>
      <c r="D108" s="6"/>
      <c r="E108" s="2"/>
      <c r="F108" s="7">
        <f t="shared" si="76"/>
        <v>0</v>
      </c>
      <c r="G108" s="2"/>
      <c r="H108" s="6">
        <v>25</v>
      </c>
      <c r="I108" s="2"/>
      <c r="J108" s="7">
        <f t="shared" si="77"/>
        <v>8.0814611281719735E-4</v>
      </c>
      <c r="K108" s="2"/>
      <c r="L108" s="6">
        <f t="shared" si="78"/>
        <v>-25</v>
      </c>
      <c r="M108" s="2"/>
      <c r="N108" s="7">
        <f t="shared" si="79"/>
        <v>-1</v>
      </c>
      <c r="O108" s="11"/>
      <c r="P108" s="6"/>
      <c r="Q108" s="2"/>
      <c r="R108" s="7">
        <f t="shared" si="80"/>
        <v>0</v>
      </c>
      <c r="S108" s="2"/>
      <c r="T108" s="6">
        <v>75</v>
      </c>
      <c r="U108" s="2"/>
      <c r="V108" s="7">
        <f t="shared" si="81"/>
        <v>5.1418464027642562E-4</v>
      </c>
      <c r="W108" s="2"/>
      <c r="X108" s="6">
        <f t="shared" si="82"/>
        <v>-75</v>
      </c>
      <c r="Y108" s="2"/>
      <c r="Z108" s="7">
        <f t="shared" si="83"/>
        <v>-1</v>
      </c>
    </row>
    <row r="109" spans="1:26" s="28" customFormat="1" outlineLevel="1" collapsed="1" x14ac:dyDescent="0.25">
      <c r="A109" s="27"/>
      <c r="B109" s="14" t="str">
        <f>CONCATENATE("     ","Utilities                                         ")</f>
        <v xml:space="preserve">     Utilities                                         </v>
      </c>
      <c r="C109" s="14"/>
      <c r="D109" s="1">
        <f>SUM(OSRRefD22_20x_0)</f>
        <v>28.01</v>
      </c>
      <c r="E109" s="1"/>
      <c r="F109" s="5">
        <f t="shared" ref="F109:F110" si="84">IF(D$12=0,0,D109/D$12)</f>
        <v>1.4028293982157375E-3</v>
      </c>
      <c r="G109" s="1"/>
      <c r="H109" s="1">
        <f>SUM(OSRRefH22_20x_0)</f>
        <v>105</v>
      </c>
      <c r="I109" s="1"/>
      <c r="J109" s="5">
        <f t="shared" ref="J109:J110" si="85">IF(H$12=0,0,H109/H$12)</f>
        <v>3.3942136738322288E-3</v>
      </c>
      <c r="K109" s="1"/>
      <c r="L109" s="1">
        <f t="shared" ref="L109:L110" si="86">+D109-H109</f>
        <v>-76.989999999999995</v>
      </c>
      <c r="M109" s="1"/>
      <c r="N109" s="5">
        <f t="shared" ref="N109:N110" si="87">IF(H109=0,0,L109/H109)</f>
        <v>-0.73323809523809524</v>
      </c>
      <c r="O109" s="14"/>
      <c r="P109" s="1">
        <f>SUM(OSRRefP22_20x_0)</f>
        <v>68.36</v>
      </c>
      <c r="Q109" s="1"/>
      <c r="R109" s="5">
        <f t="shared" ref="R109:R110" si="88">IF(P$12=0,0,P109/P$12)</f>
        <v>9.8156507075711501E-4</v>
      </c>
      <c r="S109" s="1"/>
      <c r="T109" s="1">
        <f>SUM(OSRRefT22_20x_0)</f>
        <v>315</v>
      </c>
      <c r="U109" s="1"/>
      <c r="V109" s="5">
        <f t="shared" ref="V109:V110" si="89">IF(T$12=0,0,T109/T$12)</f>
        <v>2.1595754891609877E-3</v>
      </c>
      <c r="W109" s="1"/>
      <c r="X109" s="1">
        <f t="shared" ref="X109:X110" si="90">+P109-T109</f>
        <v>-246.64</v>
      </c>
      <c r="Y109" s="1"/>
      <c r="Z109" s="5">
        <f t="shared" ref="Z109:Z110" si="91">IF(T109=0,0,X109/T109)</f>
        <v>-0.78298412698412689</v>
      </c>
    </row>
    <row r="110" spans="1:26" s="24" customFormat="1" hidden="1" outlineLevel="2" x14ac:dyDescent="0.25">
      <c r="A110" s="29"/>
      <c r="B110" s="11" t="str">
        <f>CONCATENATE("          ", "6274", " - ", "UTILITIES")</f>
        <v xml:space="preserve">          6274 - UTILITIES</v>
      </c>
      <c r="C110" s="11"/>
      <c r="D110" s="6">
        <v>28.01</v>
      </c>
      <c r="E110" s="2"/>
      <c r="F110" s="7">
        <f t="shared" si="84"/>
        <v>1.4028293982157375E-3</v>
      </c>
      <c r="G110" s="2"/>
      <c r="H110" s="6">
        <v>105</v>
      </c>
      <c r="I110" s="2"/>
      <c r="J110" s="7">
        <f t="shared" si="85"/>
        <v>3.3942136738322288E-3</v>
      </c>
      <c r="K110" s="2"/>
      <c r="L110" s="6">
        <f t="shared" si="86"/>
        <v>-76.989999999999995</v>
      </c>
      <c r="M110" s="2"/>
      <c r="N110" s="7">
        <f t="shared" si="87"/>
        <v>-0.73323809523809524</v>
      </c>
      <c r="O110" s="11"/>
      <c r="P110" s="6">
        <v>68.36</v>
      </c>
      <c r="Q110" s="2"/>
      <c r="R110" s="7">
        <f t="shared" si="88"/>
        <v>9.8156507075711501E-4</v>
      </c>
      <c r="S110" s="2"/>
      <c r="T110" s="6">
        <v>315</v>
      </c>
      <c r="U110" s="2"/>
      <c r="V110" s="7">
        <f t="shared" si="89"/>
        <v>2.1595754891609877E-3</v>
      </c>
      <c r="W110" s="2"/>
      <c r="X110" s="6">
        <f t="shared" si="90"/>
        <v>-246.64</v>
      </c>
      <c r="Y110" s="2"/>
      <c r="Z110" s="7">
        <f t="shared" si="91"/>
        <v>-0.78298412698412689</v>
      </c>
    </row>
    <row r="111" spans="1:26" s="61" customFormat="1" x14ac:dyDescent="0.25">
      <c r="A111" s="36"/>
      <c r="B111" s="36"/>
      <c r="C111" s="36"/>
      <c r="D111" s="1"/>
      <c r="E111" s="1"/>
      <c r="F111" s="5"/>
      <c r="G111" s="1"/>
      <c r="H111" s="1"/>
      <c r="I111" s="1"/>
      <c r="J111" s="5"/>
      <c r="K111" s="1"/>
      <c r="L111" s="1"/>
      <c r="M111" s="1"/>
      <c r="N111" s="5"/>
      <c r="O111" s="36"/>
      <c r="P111" s="1"/>
      <c r="Q111" s="1"/>
      <c r="R111" s="5"/>
      <c r="S111" s="1"/>
      <c r="T111" s="1"/>
      <c r="U111" s="1"/>
      <c r="V111" s="5"/>
      <c r="W111" s="1"/>
      <c r="X111" s="1"/>
      <c r="Y111" s="1"/>
      <c r="Z111" s="5"/>
    </row>
    <row r="112" spans="1:26" s="23" customFormat="1" x14ac:dyDescent="0.25">
      <c r="A112" s="10"/>
      <c r="B112" s="25" t="s">
        <v>0</v>
      </c>
      <c r="C112" s="10"/>
      <c r="D112" s="4">
        <f>SUM(0)</f>
        <v>0</v>
      </c>
      <c r="E112" s="4"/>
      <c r="F112" s="12">
        <f>IF(D$12=0,0,D112/D$12)</f>
        <v>0</v>
      </c>
      <c r="G112" s="4"/>
      <c r="H112" s="4">
        <f>SUM(0)</f>
        <v>0</v>
      </c>
      <c r="I112" s="4"/>
      <c r="J112" s="12">
        <f>IF(H$12=0,0,H112/H$12)</f>
        <v>0</v>
      </c>
      <c r="K112" s="4"/>
      <c r="L112" s="4">
        <f>+D112-H112</f>
        <v>0</v>
      </c>
      <c r="M112" s="4"/>
      <c r="N112" s="12">
        <f>IF(H112=0,0,L112/H112)</f>
        <v>0</v>
      </c>
      <c r="O112" s="10"/>
      <c r="P112" s="4">
        <f>SUM(0)</f>
        <v>0</v>
      </c>
      <c r="Q112" s="4"/>
      <c r="R112" s="12">
        <f>IF(P$12=0,0,P112/P$12)</f>
        <v>0</v>
      </c>
      <c r="S112" s="4"/>
      <c r="T112" s="4">
        <f>SUM(0)</f>
        <v>0</v>
      </c>
      <c r="U112" s="4"/>
      <c r="V112" s="12">
        <f>IF(T$12=0,0,T112/T$12)</f>
        <v>0</v>
      </c>
      <c r="W112" s="4"/>
      <c r="X112" s="4">
        <f>+P112-T112</f>
        <v>0</v>
      </c>
      <c r="Y112" s="4"/>
      <c r="Z112" s="12">
        <f>IF(T112=0,0,X112/T112)</f>
        <v>0</v>
      </c>
    </row>
    <row r="113" spans="1:26" x14ac:dyDescent="0.25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10"/>
      <c r="B114" s="26" t="s">
        <v>3</v>
      </c>
      <c r="C114" s="26"/>
      <c r="D114" s="20">
        <f>+D37-D39+D112</f>
        <v>-11060.990000000005</v>
      </c>
      <c r="E114" s="13"/>
      <c r="F114" s="21">
        <f>IF(D$12=0,0,D114/D$12)</f>
        <v>-0.55396936613246328</v>
      </c>
      <c r="G114" s="13"/>
      <c r="H114" s="20">
        <f>+H37-H39+H112</f>
        <v>-4827.5952538461534</v>
      </c>
      <c r="I114" s="13"/>
      <c r="J114" s="21">
        <f>IF(H$12=0,0,H114/H$12)</f>
        <v>-0.15605609354602079</v>
      </c>
      <c r="K114" s="16"/>
      <c r="L114" s="20">
        <f>+D114-H114</f>
        <v>-6233.3947461538519</v>
      </c>
      <c r="M114" s="16"/>
      <c r="N114" s="21">
        <f>IF(H114=0,0,L114/H114)</f>
        <v>1.2912007776931373</v>
      </c>
      <c r="O114" s="25"/>
      <c r="P114" s="20">
        <f>+P37-P39+P112</f>
        <v>-21460.170000000006</v>
      </c>
      <c r="Q114" s="13"/>
      <c r="R114" s="21">
        <f>IF(P$12=0,0,P114/P$12)</f>
        <v>-0.308141505039639</v>
      </c>
      <c r="S114" s="13"/>
      <c r="T114" s="20">
        <f>+T37-T39+T112</f>
        <v>5752.358275000006</v>
      </c>
      <c r="U114" s="13"/>
      <c r="V114" s="21">
        <f>IF(T$12=0,0,T114/T$12)</f>
        <v>3.943699027162665E-2</v>
      </c>
      <c r="W114" s="16"/>
      <c r="X114" s="20">
        <f>+P114-T114</f>
        <v>-27212.528275000011</v>
      </c>
      <c r="Y114" s="16"/>
      <c r="Z114" s="21">
        <f>IF(T114=0,0,X114/T114)</f>
        <v>-4.7306733993372454</v>
      </c>
    </row>
    <row r="115" spans="1:26" x14ac:dyDescent="0.25">
      <c r="A115" s="9"/>
      <c r="B115" s="10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x14ac:dyDescent="0.25">
      <c r="A116" s="52"/>
      <c r="B116" s="10" t="s">
        <v>14</v>
      </c>
      <c r="C116" s="10"/>
      <c r="D116" s="4">
        <v>4514.5600000000004</v>
      </c>
      <c r="E116" s="4"/>
      <c r="F116" s="12">
        <f>IF(D$12=0,0,D116/D$12)</f>
        <v>0.22610344477004071</v>
      </c>
      <c r="G116" s="4"/>
      <c r="H116" s="4">
        <v>2320</v>
      </c>
      <c r="I116" s="4"/>
      <c r="J116" s="12">
        <f>IF(H$12=0,0,H116/H$12)</f>
        <v>7.4995959269435919E-2</v>
      </c>
      <c r="K116" s="4"/>
      <c r="L116" s="4">
        <f>+D116-H116</f>
        <v>2194.5600000000004</v>
      </c>
      <c r="M116" s="4"/>
      <c r="N116" s="12">
        <f>IF(H116=0,0,L116/H116)</f>
        <v>0.94593103448275884</v>
      </c>
      <c r="O116" s="10"/>
      <c r="P116" s="4">
        <v>12901.88</v>
      </c>
      <c r="Q116" s="4"/>
      <c r="R116" s="12">
        <f>IF(P$12=0,0,P116/P$12)</f>
        <v>0.18525504322849334</v>
      </c>
      <c r="S116" s="4"/>
      <c r="T116" s="4">
        <v>21088</v>
      </c>
      <c r="U116" s="4"/>
      <c r="V116" s="12">
        <f>IF(T$12=0,0,T116/T$12)</f>
        <v>0.14457500925532352</v>
      </c>
      <c r="W116" s="4"/>
      <c r="X116" s="4">
        <f>+P116-T116</f>
        <v>-8186.1200000000008</v>
      </c>
      <c r="Y116" s="4"/>
      <c r="Z116" s="12">
        <f>IF(T116=0,0,X116/T116)</f>
        <v>-0.38818854324734448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.75" thickBot="1" x14ac:dyDescent="0.3">
      <c r="A118" s="10"/>
      <c r="B118" s="26" t="s">
        <v>4</v>
      </c>
      <c r="C118" s="26"/>
      <c r="D118" s="33">
        <f>+D114-D116</f>
        <v>-15575.550000000007</v>
      </c>
      <c r="E118" s="13"/>
      <c r="F118" s="34">
        <f>IF(D$12=0,0,D118/D$12)</f>
        <v>-0.78007281090250402</v>
      </c>
      <c r="G118" s="13"/>
      <c r="H118" s="33">
        <f>+H114-H116</f>
        <v>-7147.5952538461534</v>
      </c>
      <c r="I118" s="13"/>
      <c r="J118" s="34">
        <f>IF(H$12=0,0,H118/H$12)</f>
        <v>-0.23105205281545671</v>
      </c>
      <c r="K118" s="16"/>
      <c r="L118" s="33">
        <f>D118-H118</f>
        <v>-8427.9547461538532</v>
      </c>
      <c r="M118" s="16"/>
      <c r="N118" s="34">
        <f>IF(H118=0,0,L118/H118)</f>
        <v>1.1791315046299988</v>
      </c>
      <c r="O118" s="25"/>
      <c r="P118" s="33">
        <f>+P114-P116</f>
        <v>-34362.050000000003</v>
      </c>
      <c r="Q118" s="13"/>
      <c r="R118" s="34">
        <f>IF(P$12=0,0,P118/P$12)</f>
        <v>-0.49339654826813234</v>
      </c>
      <c r="S118" s="13"/>
      <c r="T118" s="33">
        <f>+T114-T116</f>
        <v>-15335.641724999994</v>
      </c>
      <c r="U118" s="13"/>
      <c r="V118" s="34">
        <f>IF(T$12=0,0,T118/T$12)</f>
        <v>-0.10513801898369687</v>
      </c>
      <c r="W118" s="16"/>
      <c r="X118" s="33">
        <f>P118-T118</f>
        <v>-19026.408275000009</v>
      </c>
      <c r="Y118" s="16"/>
      <c r="Z118" s="34">
        <f>IF(T118=0,0,X118/T118)</f>
        <v>1.2406659347018631</v>
      </c>
    </row>
    <row r="119" spans="1:26" ht="15.75" thickTop="1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x14ac:dyDescent="0.25">
      <c r="A120" s="9"/>
      <c r="B120" s="9"/>
      <c r="C120" s="9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6" t="s">
        <v>5</v>
      </c>
      <c r="C121" s="26"/>
      <c r="D121" s="31">
        <f>SUM(D118:D120)</f>
        <v>-15575.550000000007</v>
      </c>
      <c r="E121" s="13"/>
      <c r="F121" s="32">
        <f>IF(D$12=0,0,D121/D$12)</f>
        <v>-0.78007281090250402</v>
      </c>
      <c r="G121" s="13"/>
      <c r="H121" s="31">
        <f>SUM(H118:H120)</f>
        <v>-7147.5952538461534</v>
      </c>
      <c r="I121" s="13"/>
      <c r="J121" s="32">
        <f>IF(H$12=0,0,H121/H$12)</f>
        <v>-0.23105205281545671</v>
      </c>
      <c r="K121" s="16"/>
      <c r="L121" s="31">
        <f>+D121-H121</f>
        <v>-8427.9547461538532</v>
      </c>
      <c r="M121" s="16"/>
      <c r="N121" s="32">
        <f>IF(H121=0,0,L121/H121)</f>
        <v>1.1791315046299988</v>
      </c>
      <c r="O121" s="25"/>
      <c r="P121" s="31">
        <f>SUM(P118:P120)</f>
        <v>-34362.050000000003</v>
      </c>
      <c r="Q121" s="13"/>
      <c r="R121" s="32">
        <f>IF(P$12=0,0,P121/P$12)</f>
        <v>-0.49339654826813234</v>
      </c>
      <c r="S121" s="13"/>
      <c r="T121" s="31">
        <f>SUM(T118:T120)</f>
        <v>-15335.641724999994</v>
      </c>
      <c r="U121" s="13"/>
      <c r="V121" s="32">
        <f>IF(T$12=0,0,T121/T$12)</f>
        <v>-0.10513801898369687</v>
      </c>
      <c r="W121" s="16"/>
      <c r="X121" s="31">
        <f>+P121-T121</f>
        <v>-19026.408275000009</v>
      </c>
      <c r="Y121" s="16"/>
      <c r="Z121" s="32">
        <f>IF(T121=0,0,X121/T121)</f>
        <v>1.2406659347018631</v>
      </c>
    </row>
    <row r="122" spans="1:26" ht="15.75" thickTop="1" x14ac:dyDescent="0.25">
      <c r="A122" s="9"/>
      <c r="C122" s="9"/>
      <c r="D122" s="17"/>
      <c r="E122" s="17"/>
      <c r="G122" s="17"/>
      <c r="H122" s="17"/>
      <c r="I122" s="17"/>
      <c r="J122" s="43"/>
      <c r="K122" s="17"/>
      <c r="L122" s="17"/>
      <c r="M122" s="17"/>
      <c r="P122" s="17"/>
      <c r="Q122" s="17"/>
      <c r="R122" s="43"/>
      <c r="S122" s="17"/>
      <c r="T122" s="17"/>
      <c r="U122" s="17"/>
      <c r="V122" s="43"/>
      <c r="W122" s="17"/>
      <c r="X122" s="17"/>
    </row>
    <row r="123" spans="1:26" x14ac:dyDescent="0.25">
      <c r="A123" s="9"/>
      <c r="B123" s="55">
        <v>44123.572194328706</v>
      </c>
      <c r="D123" s="17"/>
      <c r="E123" s="17"/>
      <c r="G123" s="17"/>
      <c r="H123" s="17"/>
      <c r="I123" s="17"/>
      <c r="J123" s="43"/>
      <c r="K123" s="17"/>
      <c r="L123" s="17"/>
      <c r="M123" s="17"/>
      <c r="P123" s="17"/>
      <c r="Q123" s="17"/>
      <c r="R123" s="43"/>
      <c r="S123" s="17"/>
      <c r="T123" s="17"/>
      <c r="U123" s="17"/>
      <c r="V123" s="43"/>
      <c r="W123" s="17"/>
      <c r="X123" s="17"/>
    </row>
    <row r="124" spans="1:26" x14ac:dyDescent="0.25">
      <c r="A124" s="9"/>
      <c r="B124" s="53" t="s">
        <v>314</v>
      </c>
      <c r="D124" s="17"/>
      <c r="E124" s="17"/>
      <c r="G124" s="17"/>
      <c r="H124" s="17"/>
      <c r="I124" s="17"/>
      <c r="J124" s="43"/>
      <c r="K124" s="17"/>
      <c r="L124" s="17"/>
      <c r="M124" s="17"/>
      <c r="P124" s="17"/>
      <c r="Q124" s="17"/>
      <c r="R124" s="43"/>
      <c r="S124" s="17"/>
      <c r="T124" s="17"/>
      <c r="U124" s="17"/>
      <c r="V124" s="43"/>
      <c r="W124" s="17"/>
      <c r="X124" s="17"/>
    </row>
    <row r="125" spans="1:26" x14ac:dyDescent="0.25">
      <c r="A125" s="9"/>
      <c r="B125" s="62"/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299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0">
        <f>+D16-D18+D20</f>
        <v>0</v>
      </c>
      <c r="E22" s="13"/>
      <c r="F22" s="21">
        <f>IF(D$12=0,0,D22/D$12)</f>
        <v>0</v>
      </c>
      <c r="G22" s="13"/>
      <c r="H22" s="20">
        <f>+H16-H18+H20</f>
        <v>0</v>
      </c>
      <c r="I22" s="13"/>
      <c r="J22" s="21">
        <f>IF(H$12=0,0,H22/H$12)</f>
        <v>0</v>
      </c>
      <c r="K22" s="16"/>
      <c r="L22" s="20">
        <f>+D22-H22</f>
        <v>0</v>
      </c>
      <c r="M22" s="16"/>
      <c r="N22" s="21">
        <f>IF(H22=0,0,L22/H22)</f>
        <v>0</v>
      </c>
      <c r="O22" s="25"/>
      <c r="P22" s="20">
        <f>+P16-P18+P20</f>
        <v>0</v>
      </c>
      <c r="Q22" s="13"/>
      <c r="R22" s="21">
        <f>IF(P$12=0,0,P22/P$12)</f>
        <v>0</v>
      </c>
      <c r="S22" s="13"/>
      <c r="T22" s="20">
        <f>+T16-T18+T20</f>
        <v>0</v>
      </c>
      <c r="U22" s="13"/>
      <c r="V22" s="21">
        <f>IF(T$12=0,0,T22/T$12)</f>
        <v>0</v>
      </c>
      <c r="W22" s="16"/>
      <c r="X22" s="20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3">
        <f>+D22-D24</f>
        <v>0</v>
      </c>
      <c r="E26" s="13"/>
      <c r="F26" s="34">
        <f>IF(D$12=0,0,D26/D$12)</f>
        <v>0</v>
      </c>
      <c r="G26" s="13"/>
      <c r="H26" s="33">
        <f>+H22-H24</f>
        <v>0</v>
      </c>
      <c r="I26" s="13"/>
      <c r="J26" s="34">
        <f>IF(H$12=0,0,H26/H$12)</f>
        <v>0</v>
      </c>
      <c r="K26" s="16"/>
      <c r="L26" s="33">
        <f>D26-H26</f>
        <v>0</v>
      </c>
      <c r="M26" s="16"/>
      <c r="N26" s="34">
        <f>IF(H26=0,0,L26/H26)</f>
        <v>0</v>
      </c>
      <c r="O26" s="25"/>
      <c r="P26" s="33">
        <f>+P22-P24</f>
        <v>0</v>
      </c>
      <c r="Q26" s="13"/>
      <c r="R26" s="34">
        <f>IF(P$12=0,0,P26/P$12)</f>
        <v>0</v>
      </c>
      <c r="S26" s="13"/>
      <c r="T26" s="33">
        <f>+T22-T24</f>
        <v>0</v>
      </c>
      <c r="U26" s="13"/>
      <c r="V26" s="34">
        <f>IF(T$12=0,0,T26/T$12)</f>
        <v>0</v>
      </c>
      <c r="W26" s="16"/>
      <c r="X26" s="33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2"/>
      <c r="B28" s="10" t="s">
        <v>2</v>
      </c>
      <c r="C28" s="10"/>
      <c r="D28" s="4">
        <f>-231583.65</f>
        <v>-231583.65</v>
      </c>
      <c r="E28" s="4"/>
      <c r="F28" s="12">
        <f t="shared" ref="F28:F29" si="0">IF(D$12=0,0,D28/D$12)</f>
        <v>0</v>
      </c>
      <c r="G28" s="4"/>
      <c r="H28" s="4">
        <f t="shared" ref="H28:H29" si="1">--15000</f>
        <v>15000</v>
      </c>
      <c r="I28" s="4"/>
      <c r="J28" s="12">
        <f t="shared" ref="J28:J29" si="2">IF(H$12=0,0,H28/H$12)</f>
        <v>0</v>
      </c>
      <c r="K28" s="4"/>
      <c r="L28" s="4">
        <f t="shared" ref="L28:L29" si="3">+D28-H28</f>
        <v>-246583.65</v>
      </c>
      <c r="M28" s="4"/>
      <c r="N28" s="12">
        <f t="shared" ref="N28:N29" si="4">IF(H28=0,0,L28/H28)</f>
        <v>-16.43891</v>
      </c>
      <c r="O28" s="10"/>
      <c r="P28" s="4">
        <f>--719759.06</f>
        <v>719759.06</v>
      </c>
      <c r="Q28" s="4"/>
      <c r="R28" s="12">
        <f t="shared" ref="R28:R29" si="5">IF(P$12=0,0,P28/P$12)</f>
        <v>0</v>
      </c>
      <c r="S28" s="4"/>
      <c r="T28" s="4">
        <f t="shared" ref="T28:T29" si="6">--45000</f>
        <v>45000</v>
      </c>
      <c r="U28" s="4"/>
      <c r="V28" s="12">
        <f t="shared" ref="V28:V29" si="7">IF(T$12=0,0,T28/T$12)</f>
        <v>0</v>
      </c>
      <c r="W28" s="4"/>
      <c r="X28" s="4">
        <f t="shared" ref="X28:X29" si="8">+P28-T28</f>
        <v>674759.06</v>
      </c>
      <c r="Y28" s="4"/>
      <c r="Z28" s="12">
        <f t="shared" ref="Z28:Z29" si="9">IF(T28=0,0,X28/T28)</f>
        <v>14.994645777777778</v>
      </c>
    </row>
    <row r="29" spans="1:26" s="23" customFormat="1" x14ac:dyDescent="0.25">
      <c r="A29" s="52"/>
      <c r="B29" s="10" t="s">
        <v>1</v>
      </c>
      <c r="C29" s="10"/>
      <c r="D29" s="4">
        <f>--23302.32</f>
        <v>23302.32</v>
      </c>
      <c r="E29" s="4"/>
      <c r="F29" s="12">
        <f t="shared" si="0"/>
        <v>0</v>
      </c>
      <c r="G29" s="4"/>
      <c r="H29" s="4">
        <f t="shared" si="1"/>
        <v>15000</v>
      </c>
      <c r="I29" s="4"/>
      <c r="J29" s="12">
        <f t="shared" si="2"/>
        <v>0</v>
      </c>
      <c r="K29" s="4"/>
      <c r="L29" s="4">
        <f t="shared" si="3"/>
        <v>8302.32</v>
      </c>
      <c r="M29" s="4"/>
      <c r="N29" s="12">
        <f t="shared" si="4"/>
        <v>0.55348799999999998</v>
      </c>
      <c r="O29" s="10"/>
      <c r="P29" s="4">
        <f>-33260.96</f>
        <v>-33260.959999999999</v>
      </c>
      <c r="Q29" s="4"/>
      <c r="R29" s="12">
        <f t="shared" si="5"/>
        <v>0</v>
      </c>
      <c r="S29" s="4"/>
      <c r="T29" s="4">
        <f t="shared" si="6"/>
        <v>45000</v>
      </c>
      <c r="U29" s="4"/>
      <c r="V29" s="12">
        <f t="shared" si="7"/>
        <v>0</v>
      </c>
      <c r="W29" s="4"/>
      <c r="X29" s="4">
        <f t="shared" si="8"/>
        <v>-78260.959999999992</v>
      </c>
      <c r="Y29" s="4"/>
      <c r="Z29" s="12">
        <f t="shared" si="9"/>
        <v>-1.7391324444444443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1">
        <f>SUM(D26:D30)</f>
        <v>-208281.33</v>
      </c>
      <c r="E31" s="13"/>
      <c r="F31" s="32">
        <f>IF(D$12=0,0,D31/D$12)</f>
        <v>0</v>
      </c>
      <c r="G31" s="13"/>
      <c r="H31" s="31">
        <f>SUM(H26:H30)</f>
        <v>30000</v>
      </c>
      <c r="I31" s="13"/>
      <c r="J31" s="32">
        <f>IF(H$12=0,0,H31/H$12)</f>
        <v>0</v>
      </c>
      <c r="K31" s="16"/>
      <c r="L31" s="31">
        <f>+D31-H31</f>
        <v>-238281.33</v>
      </c>
      <c r="M31" s="16"/>
      <c r="N31" s="32">
        <f>IF(H31=0,0,L31/H31)</f>
        <v>-7.9427109999999992</v>
      </c>
      <c r="O31" s="25"/>
      <c r="P31" s="31">
        <f>SUM(P26:P30)</f>
        <v>686498.10000000009</v>
      </c>
      <c r="Q31" s="13"/>
      <c r="R31" s="32">
        <f>IF(P$12=0,0,P31/P$12)</f>
        <v>0</v>
      </c>
      <c r="S31" s="13"/>
      <c r="T31" s="31">
        <f>SUM(T26:T30)</f>
        <v>90000</v>
      </c>
      <c r="U31" s="13"/>
      <c r="V31" s="32">
        <f>IF(T$12=0,0,T31/T$12)</f>
        <v>0</v>
      </c>
      <c r="W31" s="16"/>
      <c r="X31" s="31">
        <f>+P31-T31</f>
        <v>596498.10000000009</v>
      </c>
      <c r="Y31" s="16"/>
      <c r="Z31" s="32">
        <f>IF(T31=0,0,X31/T31)</f>
        <v>6.6277566666666674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5">
        <v>44123.57137982639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3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305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9104.9600000000009</v>
      </c>
      <c r="E12" s="4"/>
      <c r="F12" s="12"/>
      <c r="G12" s="4"/>
      <c r="H12" s="4">
        <f>SUM(OSRRefH13x_0)</f>
        <v>21000</v>
      </c>
      <c r="I12" s="4"/>
      <c r="J12" s="12"/>
      <c r="K12" s="4"/>
      <c r="L12" s="4">
        <f t="shared" ref="L12:L22" si="0">+D12-H12</f>
        <v>-11895.039999999999</v>
      </c>
      <c r="M12" s="4"/>
      <c r="N12" s="12">
        <f t="shared" ref="N12:N22" si="1">IF(H12=0,0,L12/H12)</f>
        <v>-0.56643047619047615</v>
      </c>
      <c r="O12" s="10"/>
      <c r="P12" s="4">
        <f>SUM(OSRRefP13x_0)</f>
        <v>61477.1</v>
      </c>
      <c r="Q12" s="4"/>
      <c r="R12" s="12"/>
      <c r="S12" s="4"/>
      <c r="T12" s="4">
        <f>SUM(OSRRefT13x_0)</f>
        <v>92513</v>
      </c>
      <c r="U12" s="4"/>
      <c r="V12" s="12"/>
      <c r="W12" s="4"/>
      <c r="X12" s="4">
        <f t="shared" ref="X12:X22" si="2">+P12-T12</f>
        <v>-31035.9</v>
      </c>
      <c r="Y12" s="4"/>
      <c r="Z12" s="12">
        <f t="shared" ref="Z12:Z22" si="3">IF(T12=0,0,X12/T12)</f>
        <v>-0.3354760952514782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18000</v>
      </c>
      <c r="I13" s="2"/>
      <c r="J13" s="22"/>
      <c r="K13" s="2"/>
      <c r="L13" s="2">
        <f t="shared" si="0"/>
        <v>-18000</v>
      </c>
      <c r="M13" s="2"/>
      <c r="N13" s="22">
        <f t="shared" si="1"/>
        <v>-1</v>
      </c>
      <c r="O13" s="11"/>
      <c r="P13" s="2">
        <f>-7.3</f>
        <v>-7.3</v>
      </c>
      <c r="Q13" s="2"/>
      <c r="R13" s="22"/>
      <c r="S13" s="2"/>
      <c r="T13" s="2">
        <v>87013</v>
      </c>
      <c r="U13" s="2"/>
      <c r="V13" s="22"/>
      <c r="W13" s="2"/>
      <c r="X13" s="2">
        <f t="shared" si="2"/>
        <v>-87020.3</v>
      </c>
      <c r="Y13" s="2"/>
      <c r="Z13" s="22">
        <f t="shared" si="3"/>
        <v>-1.0000838955098663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--8785.72</f>
        <v>8785.7199999999993</v>
      </c>
      <c r="E14" s="2"/>
      <c r="F14" s="22"/>
      <c r="G14" s="2"/>
      <c r="H14" s="2"/>
      <c r="I14" s="2"/>
      <c r="J14" s="22"/>
      <c r="K14" s="2"/>
      <c r="L14" s="2">
        <f t="shared" si="0"/>
        <v>8785.7199999999993</v>
      </c>
      <c r="M14" s="2"/>
      <c r="N14" s="22">
        <f t="shared" si="1"/>
        <v>0</v>
      </c>
      <c r="O14" s="11"/>
      <c r="P14" s="2">
        <f>--52221.77</f>
        <v>52221.77</v>
      </c>
      <c r="Q14" s="2"/>
      <c r="R14" s="22"/>
      <c r="S14" s="2"/>
      <c r="T14" s="2"/>
      <c r="U14" s="2"/>
      <c r="V14" s="22"/>
      <c r="W14" s="2"/>
      <c r="X14" s="2">
        <f t="shared" si="2"/>
        <v>52221.77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--476.85</f>
        <v>476.85</v>
      </c>
      <c r="E15" s="2"/>
      <c r="F15" s="22"/>
      <c r="G15" s="2"/>
      <c r="H15" s="2"/>
      <c r="I15" s="2"/>
      <c r="J15" s="22"/>
      <c r="K15" s="2"/>
      <c r="L15" s="2">
        <f t="shared" si="0"/>
        <v>476.85</v>
      </c>
      <c r="M15" s="2"/>
      <c r="N15" s="22">
        <f t="shared" si="1"/>
        <v>0</v>
      </c>
      <c r="O15" s="11"/>
      <c r="P15" s="2">
        <f>--9433.72</f>
        <v>9433.7199999999993</v>
      </c>
      <c r="Q15" s="2"/>
      <c r="R15" s="22"/>
      <c r="S15" s="2"/>
      <c r="T15" s="2"/>
      <c r="U15" s="2"/>
      <c r="V15" s="22"/>
      <c r="W15" s="2"/>
      <c r="X15" s="2">
        <f t="shared" si="2"/>
        <v>9433.7199999999993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--2.99</f>
        <v>2.99</v>
      </c>
      <c r="E16" s="2"/>
      <c r="F16" s="22"/>
      <c r="G16" s="2"/>
      <c r="H16" s="2"/>
      <c r="I16" s="2"/>
      <c r="J16" s="22"/>
      <c r="K16" s="2"/>
      <c r="L16" s="2">
        <f t="shared" si="0"/>
        <v>2.99</v>
      </c>
      <c r="M16" s="2"/>
      <c r="N16" s="22">
        <f t="shared" si="1"/>
        <v>0</v>
      </c>
      <c r="O16" s="11"/>
      <c r="P16" s="2">
        <f>--7.98</f>
        <v>7.98</v>
      </c>
      <c r="Q16" s="2"/>
      <c r="R16" s="22"/>
      <c r="S16" s="2"/>
      <c r="T16" s="2"/>
      <c r="U16" s="2"/>
      <c r="V16" s="22"/>
      <c r="W16" s="2"/>
      <c r="X16" s="2">
        <f t="shared" si="2"/>
        <v>7.98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ref="D17:D19" si="4">0</f>
        <v>0</v>
      </c>
      <c r="E17" s="2"/>
      <c r="F17" s="22"/>
      <c r="G17" s="2"/>
      <c r="H17" s="2">
        <v>3000</v>
      </c>
      <c r="I17" s="2"/>
      <c r="J17" s="22"/>
      <c r="K17" s="2"/>
      <c r="L17" s="2">
        <f t="shared" si="0"/>
        <v>-3000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5500</v>
      </c>
      <c r="U17" s="2"/>
      <c r="V17" s="22"/>
      <c r="W17" s="2"/>
      <c r="X17" s="2">
        <f t="shared" si="2"/>
        <v>-5500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--457.5</f>
        <v>457.5</v>
      </c>
      <c r="Q18" s="2"/>
      <c r="R18" s="22"/>
      <c r="S18" s="2"/>
      <c r="T18" s="2"/>
      <c r="U18" s="2"/>
      <c r="V18" s="22"/>
      <c r="W18" s="2"/>
      <c r="X18" s="2">
        <f t="shared" si="2"/>
        <v>457.5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si="4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--5.98</f>
        <v>5.98</v>
      </c>
      <c r="Q19" s="2"/>
      <c r="R19" s="22"/>
      <c r="S19" s="2"/>
      <c r="T19" s="2"/>
      <c r="U19" s="2"/>
      <c r="V19" s="22"/>
      <c r="W19" s="2"/>
      <c r="X19" s="2">
        <f t="shared" si="2"/>
        <v>5.98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--49.7</f>
        <v>49.7</v>
      </c>
      <c r="E20" s="2"/>
      <c r="F20" s="22"/>
      <c r="G20" s="2"/>
      <c r="H20" s="2"/>
      <c r="I20" s="2"/>
      <c r="J20" s="22"/>
      <c r="K20" s="2"/>
      <c r="L20" s="2">
        <f t="shared" si="0"/>
        <v>49.7</v>
      </c>
      <c r="M20" s="2"/>
      <c r="N20" s="22">
        <f t="shared" si="1"/>
        <v>0</v>
      </c>
      <c r="O20" s="11"/>
      <c r="P20" s="2">
        <f>--65.2</f>
        <v>65.2</v>
      </c>
      <c r="Q20" s="2"/>
      <c r="R20" s="22"/>
      <c r="S20" s="2"/>
      <c r="T20" s="2"/>
      <c r="U20" s="2"/>
      <c r="V20" s="22"/>
      <c r="W20" s="2"/>
      <c r="X20" s="2">
        <f t="shared" si="2"/>
        <v>65.2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--24</f>
        <v>24</v>
      </c>
      <c r="E21" s="2"/>
      <c r="F21" s="22"/>
      <c r="G21" s="2"/>
      <c r="H21" s="2"/>
      <c r="I21" s="2"/>
      <c r="J21" s="22"/>
      <c r="K21" s="2"/>
      <c r="L21" s="2">
        <f t="shared" si="0"/>
        <v>24</v>
      </c>
      <c r="M21" s="2"/>
      <c r="N21" s="22">
        <f t="shared" si="1"/>
        <v>0</v>
      </c>
      <c r="O21" s="11"/>
      <c r="P21" s="2">
        <f>--48</f>
        <v>48</v>
      </c>
      <c r="Q21" s="2"/>
      <c r="R21" s="22"/>
      <c r="S21" s="2"/>
      <c r="T21" s="2"/>
      <c r="U21" s="2"/>
      <c r="V21" s="22"/>
      <c r="W21" s="2"/>
      <c r="X21" s="2">
        <f t="shared" si="2"/>
        <v>48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-234.3</f>
        <v>-234.3</v>
      </c>
      <c r="E22" s="2"/>
      <c r="F22" s="22"/>
      <c r="G22" s="2"/>
      <c r="H22" s="2"/>
      <c r="I22" s="2"/>
      <c r="J22" s="22"/>
      <c r="K22" s="2"/>
      <c r="L22" s="2">
        <f t="shared" si="0"/>
        <v>-234.3</v>
      </c>
      <c r="M22" s="2"/>
      <c r="N22" s="22">
        <f t="shared" si="1"/>
        <v>0</v>
      </c>
      <c r="O22" s="11"/>
      <c r="P22" s="2">
        <f>-755.75</f>
        <v>-755.75</v>
      </c>
      <c r="Q22" s="2"/>
      <c r="R22" s="22"/>
      <c r="S22" s="2"/>
      <c r="T22" s="2"/>
      <c r="U22" s="2"/>
      <c r="V22" s="22"/>
      <c r="W22" s="2"/>
      <c r="X22" s="2">
        <f t="shared" si="2"/>
        <v>-755.75</v>
      </c>
      <c r="Y22" s="2"/>
      <c r="Z22" s="22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6</v>
      </c>
      <c r="C26" s="26"/>
      <c r="D26" s="20">
        <f>D12-D24</f>
        <v>9104.9600000000009</v>
      </c>
      <c r="E26" s="13"/>
      <c r="F26" s="21">
        <f>IF(D$12=0,0,D26/D$12)</f>
        <v>1</v>
      </c>
      <c r="G26" s="13"/>
      <c r="H26" s="20">
        <f>H12-H24</f>
        <v>21000</v>
      </c>
      <c r="I26" s="13"/>
      <c r="J26" s="21">
        <f>IF(H$12=0,0,H26/H$12)</f>
        <v>1</v>
      </c>
      <c r="K26" s="16"/>
      <c r="L26" s="20">
        <f>+D26-H26</f>
        <v>-11895.039999999999</v>
      </c>
      <c r="M26" s="16"/>
      <c r="N26" s="21">
        <f>IF(H26=0,0,L26/H26)</f>
        <v>-0.56643047619047615</v>
      </c>
      <c r="O26" s="25"/>
      <c r="P26" s="20">
        <f>P12-P24</f>
        <v>61477.1</v>
      </c>
      <c r="Q26" s="13"/>
      <c r="R26" s="21">
        <f>IF(P$12=0,0,P26/P$12)</f>
        <v>1</v>
      </c>
      <c r="S26" s="13"/>
      <c r="T26" s="20">
        <f>T12-T24</f>
        <v>92513</v>
      </c>
      <c r="U26" s="13"/>
      <c r="V26" s="21">
        <f>IF(T$12=0,0,T26/T$12)</f>
        <v>1</v>
      </c>
      <c r="W26" s="16"/>
      <c r="X26" s="20">
        <f>+P26-T26</f>
        <v>-31035.9</v>
      </c>
      <c r="Y26" s="16"/>
      <c r="Z26" s="21">
        <f>IF(T26=0,0,X26/T26)</f>
        <v>-0.3354760952514782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9</v>
      </c>
      <c r="C28" s="10"/>
      <c r="D28" s="19">
        <f>SUM(OSRRefD22x_0)</f>
        <v>38313.039999999994</v>
      </c>
      <c r="E28" s="19"/>
      <c r="F28" s="35">
        <f t="shared" ref="F28:F38" si="5">IF(D$12=0,0,D28/D$12)</f>
        <v>4.2079306224299708</v>
      </c>
      <c r="G28" s="19"/>
      <c r="H28" s="19">
        <f>SUM(OSRRefH22x_0)</f>
        <v>34227.084716992344</v>
      </c>
      <c r="I28" s="19"/>
      <c r="J28" s="35">
        <f t="shared" ref="J28:J38" si="6">IF(H$12=0,0,H28/H$12)</f>
        <v>1.6298611769996354</v>
      </c>
      <c r="K28" s="4"/>
      <c r="L28" s="19">
        <f t="shared" ref="L28:L38" si="7">+D28-H28</f>
        <v>4085.95528300765</v>
      </c>
      <c r="M28" s="4"/>
      <c r="N28" s="35">
        <f t="shared" ref="N28:N38" si="8">IF(H28=0,0,L28/H28)</f>
        <v>0.11937783532522538</v>
      </c>
      <c r="O28" s="10"/>
      <c r="P28" s="19">
        <f>SUM(OSRRefP22x_0)</f>
        <v>37056.379999999976</v>
      </c>
      <c r="Q28" s="19"/>
      <c r="R28" s="35">
        <f t="shared" ref="R28:R38" si="9">IF(P$12=0,0,P28/P$12)</f>
        <v>0.60276720925352656</v>
      </c>
      <c r="S28" s="19"/>
      <c r="T28" s="19">
        <f>SUM(OSRRefT22x_0)</f>
        <v>97641.035610225095</v>
      </c>
      <c r="U28" s="19"/>
      <c r="V28" s="35">
        <f t="shared" ref="V28:V38" si="10">IF(T$12=0,0,T28/T$12)</f>
        <v>1.0554304325902857</v>
      </c>
      <c r="W28" s="4"/>
      <c r="X28" s="19">
        <f t="shared" ref="X28:X38" si="11">+P28-T28</f>
        <v>-60584.65561022512</v>
      </c>
      <c r="Y28" s="4"/>
      <c r="Z28" s="35">
        <f t="shared" ref="Z28:Z38" si="12">IF(T28=0,0,X28/T28)</f>
        <v>-0.62048354190008836</v>
      </c>
    </row>
    <row r="29" spans="1:26" s="28" customFormat="1" outlineLevel="1" collapsed="1" x14ac:dyDescent="0.25">
      <c r="A29" s="27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9025.3599999999988</v>
      </c>
      <c r="E29" s="1"/>
      <c r="F29" s="5">
        <f t="shared" si="5"/>
        <v>0.99125751238885151</v>
      </c>
      <c r="G29" s="1"/>
      <c r="H29" s="1">
        <f>SUM(OSRRefH22_0x_0)</f>
        <v>6438.576155453844</v>
      </c>
      <c r="I29" s="1"/>
      <c r="J29" s="5">
        <f t="shared" si="6"/>
        <v>0.30659886454542112</v>
      </c>
      <c r="K29" s="1"/>
      <c r="L29" s="1">
        <f t="shared" si="7"/>
        <v>2586.7838445461548</v>
      </c>
      <c r="M29" s="1"/>
      <c r="N29" s="5">
        <f t="shared" si="8"/>
        <v>0.40176333743524961</v>
      </c>
      <c r="O29" s="14"/>
      <c r="P29" s="1">
        <f>SUM(OSRRefP22_0x_0)</f>
        <v>25858.910000000003</v>
      </c>
      <c r="Q29" s="1"/>
      <c r="R29" s="5">
        <f t="shared" si="9"/>
        <v>0.42062670490312659</v>
      </c>
      <c r="S29" s="1"/>
      <c r="T29" s="1">
        <f>SUM(OSRRefT22_0x_0)</f>
        <v>20166.132785224992</v>
      </c>
      <c r="U29" s="1"/>
      <c r="V29" s="5">
        <f t="shared" si="10"/>
        <v>0.21798161107330855</v>
      </c>
      <c r="W29" s="1"/>
      <c r="X29" s="1">
        <f t="shared" si="11"/>
        <v>5692.7772147750111</v>
      </c>
      <c r="Y29" s="1"/>
      <c r="Z29" s="5">
        <f t="shared" si="12"/>
        <v>0.28229394675740238</v>
      </c>
    </row>
    <row r="30" spans="1:26" s="24" customFormat="1" hidden="1" outlineLevel="2" x14ac:dyDescent="0.25">
      <c r="A30" s="29"/>
      <c r="B30" s="11" t="str">
        <f>CONCATENATE("          ", "6111", " - ", "F.I.C.A.")</f>
        <v xml:space="preserve">          6111 - F.I.C.A.</v>
      </c>
      <c r="C30" s="11"/>
      <c r="D30" s="6">
        <v>1220.78</v>
      </c>
      <c r="E30" s="2"/>
      <c r="F30" s="7">
        <f t="shared" si="5"/>
        <v>0.1340785681650441</v>
      </c>
      <c r="G30" s="2"/>
      <c r="H30" s="6">
        <v>1068.6674513769199</v>
      </c>
      <c r="I30" s="2"/>
      <c r="J30" s="7">
        <f t="shared" si="6"/>
        <v>5.0888926256043805E-2</v>
      </c>
      <c r="K30" s="2"/>
      <c r="L30" s="6">
        <f t="shared" si="7"/>
        <v>152.1125486230801</v>
      </c>
      <c r="M30" s="2"/>
      <c r="N30" s="7">
        <f t="shared" si="8"/>
        <v>0.14233852488638196</v>
      </c>
      <c r="O30" s="11"/>
      <c r="P30" s="6">
        <v>3554.26</v>
      </c>
      <c r="Q30" s="2"/>
      <c r="R30" s="7">
        <f t="shared" si="9"/>
        <v>5.7814373156834013E-2</v>
      </c>
      <c r="S30" s="2"/>
      <c r="T30" s="6">
        <v>3460.80962197499</v>
      </c>
      <c r="U30" s="2"/>
      <c r="V30" s="7">
        <f t="shared" si="10"/>
        <v>3.7408900608292779E-2</v>
      </c>
      <c r="W30" s="2"/>
      <c r="X30" s="6">
        <f t="shared" si="11"/>
        <v>93.450378025010195</v>
      </c>
      <c r="Y30" s="2"/>
      <c r="Z30" s="7">
        <f t="shared" si="12"/>
        <v>2.7002461340731192E-2</v>
      </c>
    </row>
    <row r="31" spans="1:26" s="24" customFormat="1" hidden="1" outlineLevel="2" x14ac:dyDescent="0.25">
      <c r="A31" s="29"/>
      <c r="B31" s="11" t="str">
        <f>CONCATENATE("          ", "6112", " - ", "COMPENSATION INSURANCE")</f>
        <v xml:space="preserve">          6112 - COMPENSATION INSURANCE</v>
      </c>
      <c r="C31" s="11"/>
      <c r="D31" s="6">
        <v>316.77</v>
      </c>
      <c r="E31" s="2"/>
      <c r="F31" s="7">
        <f t="shared" si="5"/>
        <v>3.4790927143007765E-2</v>
      </c>
      <c r="G31" s="2"/>
      <c r="H31" s="6">
        <v>286.473111923077</v>
      </c>
      <c r="I31" s="2"/>
      <c r="J31" s="7">
        <f t="shared" si="6"/>
        <v>1.3641576758241762E-2</v>
      </c>
      <c r="K31" s="2"/>
      <c r="L31" s="6">
        <f t="shared" si="7"/>
        <v>30.296888076922983</v>
      </c>
      <c r="M31" s="2"/>
      <c r="N31" s="7">
        <f t="shared" si="8"/>
        <v>0.10575822587167701</v>
      </c>
      <c r="O31" s="11"/>
      <c r="P31" s="6">
        <v>922.34</v>
      </c>
      <c r="Q31" s="2"/>
      <c r="R31" s="7">
        <f t="shared" si="9"/>
        <v>1.5002984851269822E-2</v>
      </c>
      <c r="S31" s="2"/>
      <c r="T31" s="6">
        <v>881.21248875000003</v>
      </c>
      <c r="U31" s="2"/>
      <c r="V31" s="7">
        <f t="shared" si="10"/>
        <v>9.5252828116048557E-3</v>
      </c>
      <c r="W31" s="2"/>
      <c r="X31" s="6">
        <f t="shared" si="11"/>
        <v>41.127511249999998</v>
      </c>
      <c r="Y31" s="2"/>
      <c r="Z31" s="7">
        <f t="shared" si="12"/>
        <v>4.6671502929264398E-2</v>
      </c>
    </row>
    <row r="32" spans="1:26" s="24" customFormat="1" hidden="1" outlineLevel="2" x14ac:dyDescent="0.25">
      <c r="A32" s="29"/>
      <c r="B32" s="11" t="str">
        <f>CONCATENATE("          ", "6113", " - ", "GROUP INSURANCE")</f>
        <v xml:space="preserve">          6113 - GROUP INSURANCE</v>
      </c>
      <c r="C32" s="11"/>
      <c r="D32" s="6">
        <v>3423.78</v>
      </c>
      <c r="E32" s="2"/>
      <c r="F32" s="7">
        <f t="shared" si="5"/>
        <v>0.37603460092081675</v>
      </c>
      <c r="G32" s="2"/>
      <c r="H32" s="6">
        <v>2645</v>
      </c>
      <c r="I32" s="2"/>
      <c r="J32" s="7">
        <f t="shared" si="6"/>
        <v>0.12595238095238095</v>
      </c>
      <c r="K32" s="2"/>
      <c r="L32" s="6">
        <f t="shared" si="7"/>
        <v>778.7800000000002</v>
      </c>
      <c r="M32" s="2"/>
      <c r="N32" s="7">
        <f t="shared" si="8"/>
        <v>0.29443478260869571</v>
      </c>
      <c r="O32" s="11"/>
      <c r="P32" s="6">
        <v>9469.99</v>
      </c>
      <c r="Q32" s="2"/>
      <c r="R32" s="7">
        <f t="shared" si="9"/>
        <v>0.15404093556787812</v>
      </c>
      <c r="S32" s="2"/>
      <c r="T32" s="6">
        <v>7935</v>
      </c>
      <c r="U32" s="2"/>
      <c r="V32" s="7">
        <f t="shared" si="10"/>
        <v>8.5771729378573816E-2</v>
      </c>
      <c r="W32" s="2"/>
      <c r="X32" s="6">
        <f t="shared" si="11"/>
        <v>1534.9899999999998</v>
      </c>
      <c r="Y32" s="2"/>
      <c r="Z32" s="7">
        <f t="shared" si="12"/>
        <v>0.19344549464398234</v>
      </c>
    </row>
    <row r="33" spans="1:26" s="24" customFormat="1" hidden="1" outlineLevel="2" x14ac:dyDescent="0.25">
      <c r="A33" s="29"/>
      <c r="B33" s="11" t="str">
        <f>CONCATENATE("          ", "6114", " - ", "STATE UNEMPLOYMENT INSURANCE")</f>
        <v xml:space="preserve">          6114 - STATE UNEMPLOYMENT INSURANCE</v>
      </c>
      <c r="C33" s="11"/>
      <c r="D33" s="6">
        <v>44.52</v>
      </c>
      <c r="E33" s="2"/>
      <c r="F33" s="7">
        <f t="shared" si="5"/>
        <v>4.889642568446209E-3</v>
      </c>
      <c r="G33" s="2"/>
      <c r="H33" s="6">
        <v>44.959285999999999</v>
      </c>
      <c r="I33" s="2"/>
      <c r="J33" s="7">
        <f t="shared" si="6"/>
        <v>2.1409183809523811E-3</v>
      </c>
      <c r="K33" s="2"/>
      <c r="L33" s="6">
        <f t="shared" si="7"/>
        <v>-0.43928599999999562</v>
      </c>
      <c r="M33" s="2"/>
      <c r="N33" s="7">
        <f t="shared" si="8"/>
        <v>-9.7707512525887445E-3</v>
      </c>
      <c r="O33" s="11"/>
      <c r="P33" s="6">
        <v>129.62</v>
      </c>
      <c r="Q33" s="2"/>
      <c r="R33" s="7">
        <f t="shared" si="9"/>
        <v>2.1084273656369608E-3</v>
      </c>
      <c r="S33" s="2"/>
      <c r="T33" s="6">
        <v>131.6876795</v>
      </c>
      <c r="U33" s="2"/>
      <c r="V33" s="7">
        <f t="shared" si="10"/>
        <v>1.4234505366813313E-3</v>
      </c>
      <c r="W33" s="2"/>
      <c r="X33" s="6">
        <f t="shared" si="11"/>
        <v>-2.067679499999997</v>
      </c>
      <c r="Y33" s="2"/>
      <c r="Z33" s="7">
        <f t="shared" si="12"/>
        <v>-1.5701389134129263E-2</v>
      </c>
    </row>
    <row r="34" spans="1:26" s="24" customFormat="1" hidden="1" outlineLevel="2" x14ac:dyDescent="0.25">
      <c r="A34" s="29"/>
      <c r="B34" s="11" t="str">
        <f>CONCATENATE("          ", "6115", " - ", "P.E.R.S.")</f>
        <v xml:space="preserve">          6115 - P.E.R.S.</v>
      </c>
      <c r="C34" s="11"/>
      <c r="D34" s="6">
        <v>1614.45</v>
      </c>
      <c r="E34" s="2"/>
      <c r="F34" s="7">
        <f t="shared" si="5"/>
        <v>0.17731544125399781</v>
      </c>
      <c r="G34" s="2"/>
      <c r="H34" s="6">
        <v>991.92684461538511</v>
      </c>
      <c r="I34" s="2"/>
      <c r="J34" s="7">
        <f t="shared" si="6"/>
        <v>4.7234611648351674E-2</v>
      </c>
      <c r="K34" s="2"/>
      <c r="L34" s="6">
        <f t="shared" si="7"/>
        <v>622.52315538461494</v>
      </c>
      <c r="M34" s="2"/>
      <c r="N34" s="7">
        <f t="shared" si="8"/>
        <v>0.62758978523864362</v>
      </c>
      <c r="O34" s="11"/>
      <c r="P34" s="6">
        <v>5295.36</v>
      </c>
      <c r="Q34" s="2"/>
      <c r="R34" s="7">
        <f t="shared" si="9"/>
        <v>8.6135487848320758E-2</v>
      </c>
      <c r="S34" s="2"/>
      <c r="T34" s="6">
        <v>3223.7622449999999</v>
      </c>
      <c r="U34" s="2"/>
      <c r="V34" s="7">
        <f t="shared" si="10"/>
        <v>3.4846586371645068E-2</v>
      </c>
      <c r="W34" s="2"/>
      <c r="X34" s="6">
        <f t="shared" si="11"/>
        <v>2071.5977549999998</v>
      </c>
      <c r="Y34" s="2"/>
      <c r="Z34" s="7">
        <f t="shared" si="12"/>
        <v>0.64260252387191785</v>
      </c>
    </row>
    <row r="35" spans="1:26" s="24" customFormat="1" hidden="1" outlineLevel="2" x14ac:dyDescent="0.25">
      <c r="A35" s="29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5"/>
        <v>0</v>
      </c>
      <c r="G35" s="2"/>
      <c r="H35" s="6">
        <v>0</v>
      </c>
      <c r="I35" s="2"/>
      <c r="J35" s="7">
        <f t="shared" si="6"/>
        <v>0</v>
      </c>
      <c r="K35" s="2"/>
      <c r="L35" s="6">
        <f t="shared" si="7"/>
        <v>0</v>
      </c>
      <c r="M35" s="2"/>
      <c r="N35" s="7">
        <f t="shared" si="8"/>
        <v>0</v>
      </c>
      <c r="O35" s="11"/>
      <c r="P35" s="6"/>
      <c r="Q35" s="2"/>
      <c r="R35" s="7">
        <f t="shared" si="9"/>
        <v>0</v>
      </c>
      <c r="S35" s="2"/>
      <c r="T35" s="6">
        <v>0</v>
      </c>
      <c r="U35" s="2"/>
      <c r="V35" s="7">
        <f t="shared" si="10"/>
        <v>0</v>
      </c>
      <c r="W35" s="2"/>
      <c r="X35" s="6">
        <f t="shared" si="11"/>
        <v>0</v>
      </c>
      <c r="Y35" s="2"/>
      <c r="Z35" s="7">
        <f t="shared" si="12"/>
        <v>0</v>
      </c>
    </row>
    <row r="36" spans="1:26" s="24" customFormat="1" hidden="1" outlineLevel="2" x14ac:dyDescent="0.25">
      <c r="A36" s="29"/>
      <c r="B36" s="11" t="str">
        <f>CONCATENATE("          ", "6118", " - ", "VACATION")</f>
        <v xml:space="preserve">          6118 - VACATION</v>
      </c>
      <c r="C36" s="11"/>
      <c r="D36" s="6">
        <v>1216.0999999999999</v>
      </c>
      <c r="E36" s="2"/>
      <c r="F36" s="7">
        <f t="shared" si="5"/>
        <v>0.13356456261202682</v>
      </c>
      <c r="G36" s="2"/>
      <c r="H36" s="6">
        <v>956.61308461538511</v>
      </c>
      <c r="I36" s="2"/>
      <c r="J36" s="7">
        <f t="shared" si="6"/>
        <v>4.5553004029304053E-2</v>
      </c>
      <c r="K36" s="2"/>
      <c r="L36" s="6">
        <f t="shared" si="7"/>
        <v>259.4869153846148</v>
      </c>
      <c r="M36" s="2"/>
      <c r="N36" s="7">
        <f t="shared" si="8"/>
        <v>0.27125587090306613</v>
      </c>
      <c r="O36" s="11"/>
      <c r="P36" s="6">
        <v>3411.08</v>
      </c>
      <c r="Q36" s="2"/>
      <c r="R36" s="7">
        <f t="shared" si="9"/>
        <v>5.5485375855399817E-2</v>
      </c>
      <c r="S36" s="2"/>
      <c r="T36" s="6">
        <v>3108.9925250000001</v>
      </c>
      <c r="U36" s="2"/>
      <c r="V36" s="7">
        <f t="shared" si="10"/>
        <v>3.3606006993611708E-2</v>
      </c>
      <c r="W36" s="2"/>
      <c r="X36" s="6">
        <f t="shared" si="11"/>
        <v>302.08747499999981</v>
      </c>
      <c r="Y36" s="2"/>
      <c r="Z36" s="7">
        <f t="shared" si="12"/>
        <v>9.716571287028096E-2</v>
      </c>
    </row>
    <row r="37" spans="1:26" s="24" customFormat="1" hidden="1" outlineLevel="2" x14ac:dyDescent="0.25">
      <c r="A37" s="29"/>
      <c r="B37" s="11" t="str">
        <f>CONCATENATE("          ", "6119", " - ", "SICK LEAVE")</f>
        <v xml:space="preserve">          6119 - SICK LEAVE</v>
      </c>
      <c r="C37" s="11"/>
      <c r="D37" s="6">
        <v>738.5</v>
      </c>
      <c r="E37" s="2"/>
      <c r="F37" s="7">
        <f t="shared" si="5"/>
        <v>8.1109636945137592E-2</v>
      </c>
      <c r="G37" s="2"/>
      <c r="H37" s="6">
        <v>444.93637692307703</v>
      </c>
      <c r="I37" s="2"/>
      <c r="J37" s="7">
        <f t="shared" si="6"/>
        <v>2.1187446520146525E-2</v>
      </c>
      <c r="K37" s="2"/>
      <c r="L37" s="6">
        <f t="shared" si="7"/>
        <v>293.56362307692297</v>
      </c>
      <c r="M37" s="2"/>
      <c r="N37" s="7">
        <f t="shared" si="8"/>
        <v>0.65978786699131997</v>
      </c>
      <c r="O37" s="11"/>
      <c r="P37" s="6">
        <v>2109.52</v>
      </c>
      <c r="Q37" s="2"/>
      <c r="R37" s="7">
        <f t="shared" si="9"/>
        <v>3.431391526275638E-2</v>
      </c>
      <c r="S37" s="2"/>
      <c r="T37" s="6">
        <v>1424.6682249999999</v>
      </c>
      <c r="U37" s="2"/>
      <c r="V37" s="7">
        <f t="shared" si="10"/>
        <v>1.5399654372898943E-2</v>
      </c>
      <c r="W37" s="2"/>
      <c r="X37" s="6">
        <f t="shared" si="11"/>
        <v>684.85177500000009</v>
      </c>
      <c r="Y37" s="2"/>
      <c r="Z37" s="7">
        <f t="shared" si="12"/>
        <v>0.48070965785735842</v>
      </c>
    </row>
    <row r="38" spans="1:26" s="24" customFormat="1" hidden="1" outlineLevel="2" x14ac:dyDescent="0.25">
      <c r="A38" s="29"/>
      <c r="B38" s="11" t="str">
        <f>CONCATENATE("          ", "6156", " - ", "EMPLOYEE MEALS")</f>
        <v xml:space="preserve">          6156 - EMPLOYEE MEALS</v>
      </c>
      <c r="C38" s="11"/>
      <c r="D38" s="6">
        <v>450.46</v>
      </c>
      <c r="E38" s="2"/>
      <c r="F38" s="7">
        <f t="shared" si="5"/>
        <v>4.9474132780374644E-2</v>
      </c>
      <c r="G38" s="2"/>
      <c r="H38" s="6"/>
      <c r="I38" s="2"/>
      <c r="J38" s="7">
        <f t="shared" si="6"/>
        <v>0</v>
      </c>
      <c r="K38" s="2"/>
      <c r="L38" s="6">
        <f t="shared" si="7"/>
        <v>450.46</v>
      </c>
      <c r="M38" s="2"/>
      <c r="N38" s="7">
        <f t="shared" si="8"/>
        <v>0</v>
      </c>
      <c r="O38" s="11"/>
      <c r="P38" s="6">
        <v>966.74</v>
      </c>
      <c r="Q38" s="2"/>
      <c r="R38" s="7">
        <f t="shared" si="9"/>
        <v>1.5725204995030672E-2</v>
      </c>
      <c r="S38" s="2"/>
      <c r="T38" s="6"/>
      <c r="U38" s="2"/>
      <c r="V38" s="7">
        <f t="shared" si="10"/>
        <v>0</v>
      </c>
      <c r="W38" s="2"/>
      <c r="X38" s="6">
        <f t="shared" si="11"/>
        <v>966.74</v>
      </c>
      <c r="Y38" s="2"/>
      <c r="Z38" s="7">
        <f t="shared" si="12"/>
        <v>0</v>
      </c>
    </row>
    <row r="39" spans="1:26" s="28" customFormat="1" outlineLevel="1" collapsed="1" x14ac:dyDescent="0.25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15984.94</v>
      </c>
      <c r="E39" s="1"/>
      <c r="F39" s="5">
        <f t="shared" ref="F39:F49" si="13">IF(D$12=0,0,D39/D$12)</f>
        <v>1.755629898428988</v>
      </c>
      <c r="G39" s="1"/>
      <c r="H39" s="1">
        <f>SUM(OSRRefH22_1x_0)</f>
        <v>10197.5085615385</v>
      </c>
      <c r="I39" s="1"/>
      <c r="J39" s="5">
        <f t="shared" ref="J39:J49" si="14">IF(H$12=0,0,H39/H$12)</f>
        <v>0.4855956457875476</v>
      </c>
      <c r="K39" s="1"/>
      <c r="L39" s="1">
        <f t="shared" ref="L39:L49" si="15">+D39-H39</f>
        <v>5787.4314384615009</v>
      </c>
      <c r="M39" s="1"/>
      <c r="N39" s="5">
        <f t="shared" ref="N39:N49" si="16">IF(H39=0,0,L39/H39)</f>
        <v>0.56753386413321627</v>
      </c>
      <c r="O39" s="14"/>
      <c r="P39" s="1">
        <f>SUM(OSRRefP22_1x_0)</f>
        <v>44550.659999999996</v>
      </c>
      <c r="Q39" s="1"/>
      <c r="R39" s="5">
        <f t="shared" ref="R39:R49" si="17">IF(P$12=0,0,P39/P$12)</f>
        <v>0.72467081238379816</v>
      </c>
      <c r="S39" s="1"/>
      <c r="T39" s="1">
        <f>SUM(OSRRefT22_1x_0)</f>
        <v>33141.902825000099</v>
      </c>
      <c r="U39" s="1"/>
      <c r="V39" s="5">
        <f t="shared" ref="V39:V49" si="18">IF(T$12=0,0,T39/T$12)</f>
        <v>0.35824049403867669</v>
      </c>
      <c r="W39" s="1"/>
      <c r="X39" s="1">
        <f t="shared" ref="X39:X49" si="19">+P39-T39</f>
        <v>11408.757174999897</v>
      </c>
      <c r="Y39" s="1"/>
      <c r="Z39" s="5">
        <f t="shared" ref="Z39:Z49" si="20">IF(T39=0,0,X39/T39)</f>
        <v>0.34423965441096738</v>
      </c>
    </row>
    <row r="40" spans="1:26" s="24" customFormat="1" hidden="1" outlineLevel="2" x14ac:dyDescent="0.25">
      <c r="A40" s="29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13"/>
        <v>0</v>
      </c>
      <c r="G40" s="2"/>
      <c r="H40" s="6">
        <v>0</v>
      </c>
      <c r="I40" s="2"/>
      <c r="J40" s="7">
        <f t="shared" si="14"/>
        <v>0</v>
      </c>
      <c r="K40" s="2"/>
      <c r="L40" s="6">
        <f t="shared" si="15"/>
        <v>0</v>
      </c>
      <c r="M40" s="2"/>
      <c r="N40" s="7">
        <f t="shared" si="16"/>
        <v>0</v>
      </c>
      <c r="O40" s="11"/>
      <c r="P40" s="6"/>
      <c r="Q40" s="2"/>
      <c r="R40" s="7">
        <f t="shared" si="17"/>
        <v>0</v>
      </c>
      <c r="S40" s="2"/>
      <c r="T40" s="6">
        <v>0</v>
      </c>
      <c r="U40" s="2"/>
      <c r="V40" s="7">
        <f t="shared" si="18"/>
        <v>0</v>
      </c>
      <c r="W40" s="2"/>
      <c r="X40" s="6">
        <f t="shared" si="19"/>
        <v>0</v>
      </c>
      <c r="Y40" s="2"/>
      <c r="Z40" s="7">
        <f t="shared" si="20"/>
        <v>0</v>
      </c>
    </row>
    <row r="41" spans="1:26" s="24" customFormat="1" hidden="1" outlineLevel="2" x14ac:dyDescent="0.25">
      <c r="A41" s="29"/>
      <c r="B41" s="11" t="str">
        <f>CONCATENATE("          ", "6002", " - ", "STAFF SALARIES")</f>
        <v xml:space="preserve">          6002 - STAFF SALARIES</v>
      </c>
      <c r="C41" s="11"/>
      <c r="D41" s="6">
        <v>14903.76</v>
      </c>
      <c r="E41" s="2"/>
      <c r="F41" s="7">
        <f t="shared" si="13"/>
        <v>1.6368836326573646</v>
      </c>
      <c r="G41" s="2"/>
      <c r="H41" s="6">
        <v>10197.5085615385</v>
      </c>
      <c r="I41" s="2"/>
      <c r="J41" s="7">
        <f t="shared" si="14"/>
        <v>0.4855956457875476</v>
      </c>
      <c r="K41" s="2"/>
      <c r="L41" s="6">
        <f t="shared" si="15"/>
        <v>4706.2514384615006</v>
      </c>
      <c r="M41" s="2"/>
      <c r="N41" s="7">
        <f t="shared" si="16"/>
        <v>0.46150992765153098</v>
      </c>
      <c r="O41" s="11"/>
      <c r="P41" s="6">
        <v>42013.96</v>
      </c>
      <c r="Q41" s="2"/>
      <c r="R41" s="7">
        <f t="shared" si="17"/>
        <v>0.68340829349465082</v>
      </c>
      <c r="S41" s="2"/>
      <c r="T41" s="6">
        <v>33141.902825000099</v>
      </c>
      <c r="U41" s="2"/>
      <c r="V41" s="7">
        <f t="shared" si="18"/>
        <v>0.35824049403867669</v>
      </c>
      <c r="W41" s="2"/>
      <c r="X41" s="6">
        <f t="shared" si="19"/>
        <v>8872.0571749998999</v>
      </c>
      <c r="Y41" s="2"/>
      <c r="Z41" s="7">
        <f t="shared" si="20"/>
        <v>0.26769908842733664</v>
      </c>
    </row>
    <row r="42" spans="1:26" s="24" customFormat="1" hidden="1" outlineLevel="2" x14ac:dyDescent="0.25">
      <c r="A42" s="29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13"/>
        <v>0</v>
      </c>
      <c r="G42" s="2"/>
      <c r="H42" s="6">
        <v>0</v>
      </c>
      <c r="I42" s="2"/>
      <c r="J42" s="7">
        <f t="shared" si="14"/>
        <v>0</v>
      </c>
      <c r="K42" s="2"/>
      <c r="L42" s="6">
        <f t="shared" si="15"/>
        <v>0</v>
      </c>
      <c r="M42" s="2"/>
      <c r="N42" s="7">
        <f t="shared" si="16"/>
        <v>0</v>
      </c>
      <c r="O42" s="11"/>
      <c r="P42" s="6"/>
      <c r="Q42" s="2"/>
      <c r="R42" s="7">
        <f t="shared" si="17"/>
        <v>0</v>
      </c>
      <c r="S42" s="2"/>
      <c r="T42" s="6">
        <v>0</v>
      </c>
      <c r="U42" s="2"/>
      <c r="V42" s="7">
        <f t="shared" si="18"/>
        <v>0</v>
      </c>
      <c r="W42" s="2"/>
      <c r="X42" s="6">
        <f t="shared" si="19"/>
        <v>0</v>
      </c>
      <c r="Y42" s="2"/>
      <c r="Z42" s="7">
        <f t="shared" si="20"/>
        <v>0</v>
      </c>
    </row>
    <row r="43" spans="1:26" s="24" customFormat="1" hidden="1" outlineLevel="2" x14ac:dyDescent="0.25">
      <c r="A43" s="29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13"/>
        <v>0</v>
      </c>
      <c r="G43" s="2"/>
      <c r="H43" s="6">
        <v>0</v>
      </c>
      <c r="I43" s="2"/>
      <c r="J43" s="7">
        <f t="shared" si="14"/>
        <v>0</v>
      </c>
      <c r="K43" s="2"/>
      <c r="L43" s="6">
        <f t="shared" si="15"/>
        <v>0</v>
      </c>
      <c r="M43" s="2"/>
      <c r="N43" s="7">
        <f t="shared" si="16"/>
        <v>0</v>
      </c>
      <c r="O43" s="11"/>
      <c r="P43" s="6"/>
      <c r="Q43" s="2"/>
      <c r="R43" s="7">
        <f t="shared" si="17"/>
        <v>0</v>
      </c>
      <c r="S43" s="2"/>
      <c r="T43" s="6">
        <v>0</v>
      </c>
      <c r="U43" s="2"/>
      <c r="V43" s="7">
        <f t="shared" si="18"/>
        <v>0</v>
      </c>
      <c r="W43" s="2"/>
      <c r="X43" s="6">
        <f t="shared" si="19"/>
        <v>0</v>
      </c>
      <c r="Y43" s="2"/>
      <c r="Z43" s="7">
        <f t="shared" si="20"/>
        <v>0</v>
      </c>
    </row>
    <row r="44" spans="1:26" s="24" customFormat="1" hidden="1" outlineLevel="2" x14ac:dyDescent="0.25">
      <c r="A44" s="29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13"/>
        <v>0</v>
      </c>
      <c r="G44" s="2"/>
      <c r="H44" s="6">
        <v>0</v>
      </c>
      <c r="I44" s="2"/>
      <c r="J44" s="7">
        <f t="shared" si="14"/>
        <v>0</v>
      </c>
      <c r="K44" s="2"/>
      <c r="L44" s="6">
        <f t="shared" si="15"/>
        <v>0</v>
      </c>
      <c r="M44" s="2"/>
      <c r="N44" s="7">
        <f t="shared" si="16"/>
        <v>0</v>
      </c>
      <c r="O44" s="11"/>
      <c r="P44" s="6">
        <v>383.25</v>
      </c>
      <c r="Q44" s="2"/>
      <c r="R44" s="7">
        <f t="shared" si="17"/>
        <v>6.234028605773532E-3</v>
      </c>
      <c r="S44" s="2"/>
      <c r="T44" s="6">
        <v>0</v>
      </c>
      <c r="U44" s="2"/>
      <c r="V44" s="7">
        <f t="shared" si="18"/>
        <v>0</v>
      </c>
      <c r="W44" s="2"/>
      <c r="X44" s="6">
        <f t="shared" si="19"/>
        <v>383.25</v>
      </c>
      <c r="Y44" s="2"/>
      <c r="Z44" s="7">
        <f t="shared" si="20"/>
        <v>0</v>
      </c>
    </row>
    <row r="45" spans="1:26" s="24" customFormat="1" hidden="1" outlineLevel="2" x14ac:dyDescent="0.25">
      <c r="A45" s="29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13"/>
        <v>0</v>
      </c>
      <c r="G45" s="2"/>
      <c r="H45" s="6">
        <v>0</v>
      </c>
      <c r="I45" s="2"/>
      <c r="J45" s="7">
        <f t="shared" si="14"/>
        <v>0</v>
      </c>
      <c r="K45" s="2"/>
      <c r="L45" s="6">
        <f t="shared" si="15"/>
        <v>0</v>
      </c>
      <c r="M45" s="2"/>
      <c r="N45" s="7">
        <f t="shared" si="16"/>
        <v>0</v>
      </c>
      <c r="O45" s="11"/>
      <c r="P45" s="6"/>
      <c r="Q45" s="2"/>
      <c r="R45" s="7">
        <f t="shared" si="17"/>
        <v>0</v>
      </c>
      <c r="S45" s="2"/>
      <c r="T45" s="6">
        <v>0</v>
      </c>
      <c r="U45" s="2"/>
      <c r="V45" s="7">
        <f t="shared" si="18"/>
        <v>0</v>
      </c>
      <c r="W45" s="2"/>
      <c r="X45" s="6">
        <f t="shared" si="19"/>
        <v>0</v>
      </c>
      <c r="Y45" s="2"/>
      <c r="Z45" s="7">
        <f t="shared" si="20"/>
        <v>0</v>
      </c>
    </row>
    <row r="46" spans="1:26" s="24" customFormat="1" hidden="1" outlineLevel="2" x14ac:dyDescent="0.25">
      <c r="A46" s="29"/>
      <c r="B46" s="11" t="str">
        <f>CONCATENATE("          ", "6007", " - ", "STUDENT HOURLY")</f>
        <v xml:space="preserve">          6007 - STUDENT HOURLY</v>
      </c>
      <c r="C46" s="11"/>
      <c r="D46" s="6">
        <v>1081.18</v>
      </c>
      <c r="E46" s="2"/>
      <c r="F46" s="7">
        <f t="shared" si="13"/>
        <v>0.11874626577162338</v>
      </c>
      <c r="G46" s="2"/>
      <c r="H46" s="6">
        <v>0</v>
      </c>
      <c r="I46" s="2"/>
      <c r="J46" s="7">
        <f t="shared" si="14"/>
        <v>0</v>
      </c>
      <c r="K46" s="2"/>
      <c r="L46" s="6">
        <f t="shared" si="15"/>
        <v>1081.18</v>
      </c>
      <c r="M46" s="2"/>
      <c r="N46" s="7">
        <f t="shared" si="16"/>
        <v>0</v>
      </c>
      <c r="O46" s="11"/>
      <c r="P46" s="6">
        <v>2153.4499999999998</v>
      </c>
      <c r="Q46" s="2"/>
      <c r="R46" s="7">
        <f t="shared" si="17"/>
        <v>3.5028490283373806E-2</v>
      </c>
      <c r="S46" s="2"/>
      <c r="T46" s="6">
        <v>0</v>
      </c>
      <c r="U46" s="2"/>
      <c r="V46" s="7">
        <f t="shared" si="18"/>
        <v>0</v>
      </c>
      <c r="W46" s="2"/>
      <c r="X46" s="6">
        <f t="shared" si="19"/>
        <v>2153.4499999999998</v>
      </c>
      <c r="Y46" s="2"/>
      <c r="Z46" s="7">
        <f t="shared" si="20"/>
        <v>0</v>
      </c>
    </row>
    <row r="47" spans="1:26" s="24" customFormat="1" hidden="1" outlineLevel="2" x14ac:dyDescent="0.25">
      <c r="A47" s="29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13"/>
        <v>0</v>
      </c>
      <c r="G47" s="2"/>
      <c r="H47" s="6">
        <v>0</v>
      </c>
      <c r="I47" s="2"/>
      <c r="J47" s="7">
        <f t="shared" si="14"/>
        <v>0</v>
      </c>
      <c r="K47" s="2"/>
      <c r="L47" s="6">
        <f t="shared" si="15"/>
        <v>0</v>
      </c>
      <c r="M47" s="2"/>
      <c r="N47" s="7">
        <f t="shared" si="16"/>
        <v>0</v>
      </c>
      <c r="O47" s="11"/>
      <c r="P47" s="6"/>
      <c r="Q47" s="2"/>
      <c r="R47" s="7">
        <f t="shared" si="17"/>
        <v>0</v>
      </c>
      <c r="S47" s="2"/>
      <c r="T47" s="6">
        <v>0</v>
      </c>
      <c r="U47" s="2"/>
      <c r="V47" s="7">
        <f t="shared" si="18"/>
        <v>0</v>
      </c>
      <c r="W47" s="2"/>
      <c r="X47" s="6">
        <f t="shared" si="19"/>
        <v>0</v>
      </c>
      <c r="Y47" s="2"/>
      <c r="Z47" s="7">
        <f t="shared" si="20"/>
        <v>0</v>
      </c>
    </row>
    <row r="48" spans="1:26" s="24" customFormat="1" hidden="1" outlineLevel="2" x14ac:dyDescent="0.25">
      <c r="A48" s="29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13"/>
        <v>0</v>
      </c>
      <c r="G48" s="2"/>
      <c r="H48" s="6">
        <v>0</v>
      </c>
      <c r="I48" s="2"/>
      <c r="J48" s="7">
        <f t="shared" si="14"/>
        <v>0</v>
      </c>
      <c r="K48" s="2"/>
      <c r="L48" s="6">
        <f t="shared" si="15"/>
        <v>0</v>
      </c>
      <c r="M48" s="2"/>
      <c r="N48" s="7">
        <f t="shared" si="16"/>
        <v>0</v>
      </c>
      <c r="O48" s="11"/>
      <c r="P48" s="6"/>
      <c r="Q48" s="2"/>
      <c r="R48" s="7">
        <f t="shared" si="17"/>
        <v>0</v>
      </c>
      <c r="S48" s="2"/>
      <c r="T48" s="6">
        <v>0</v>
      </c>
      <c r="U48" s="2"/>
      <c r="V48" s="7">
        <f t="shared" si="18"/>
        <v>0</v>
      </c>
      <c r="W48" s="2"/>
      <c r="X48" s="6">
        <f t="shared" si="19"/>
        <v>0</v>
      </c>
      <c r="Y48" s="2"/>
      <c r="Z48" s="7">
        <f t="shared" si="20"/>
        <v>0</v>
      </c>
    </row>
    <row r="49" spans="1:26" s="24" customFormat="1" hidden="1" outlineLevel="2" x14ac:dyDescent="0.25">
      <c r="A49" s="29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13"/>
        <v>0</v>
      </c>
      <c r="G49" s="2"/>
      <c r="H49" s="6">
        <v>0</v>
      </c>
      <c r="I49" s="2"/>
      <c r="J49" s="7">
        <f t="shared" si="14"/>
        <v>0</v>
      </c>
      <c r="K49" s="2"/>
      <c r="L49" s="6">
        <f t="shared" si="15"/>
        <v>0</v>
      </c>
      <c r="M49" s="2"/>
      <c r="N49" s="7">
        <f t="shared" si="16"/>
        <v>0</v>
      </c>
      <c r="O49" s="11"/>
      <c r="P49" s="6"/>
      <c r="Q49" s="2"/>
      <c r="R49" s="7">
        <f t="shared" si="17"/>
        <v>0</v>
      </c>
      <c r="S49" s="2"/>
      <c r="T49" s="6">
        <v>0</v>
      </c>
      <c r="U49" s="2"/>
      <c r="V49" s="7">
        <f t="shared" si="18"/>
        <v>0</v>
      </c>
      <c r="W49" s="2"/>
      <c r="X49" s="6">
        <f t="shared" si="19"/>
        <v>0</v>
      </c>
      <c r="Y49" s="2"/>
      <c r="Z49" s="7">
        <f t="shared" si="20"/>
        <v>0</v>
      </c>
    </row>
    <row r="50" spans="1:26" s="28" customFormat="1" outlineLevel="1" collapsed="1" x14ac:dyDescent="0.25">
      <c r="A50" s="27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0" si="21">IF(D$12=0,0,D50/D$12)</f>
        <v>0</v>
      </c>
      <c r="G50" s="1"/>
      <c r="H50" s="1">
        <f>SUM(OSRRefH22_2x_0)</f>
        <v>50</v>
      </c>
      <c r="I50" s="1"/>
      <c r="J50" s="5">
        <f t="shared" ref="J50:J60" si="22">IF(H$12=0,0,H50/H$12)</f>
        <v>2.3809523809523812E-3</v>
      </c>
      <c r="K50" s="1"/>
      <c r="L50" s="1">
        <f t="shared" ref="L50:L60" si="23">+D50-H50</f>
        <v>-50</v>
      </c>
      <c r="M50" s="1"/>
      <c r="N50" s="5">
        <f t="shared" ref="N50:N60" si="24">IF(H50=0,0,L50/H50)</f>
        <v>-1</v>
      </c>
      <c r="O50" s="14"/>
      <c r="P50" s="1">
        <f>SUM(OSRRefP22_2x_0)</f>
        <v>0</v>
      </c>
      <c r="Q50" s="1"/>
      <c r="R50" s="5">
        <f t="shared" ref="R50:R60" si="25">IF(P$12=0,0,P50/P$12)</f>
        <v>0</v>
      </c>
      <c r="S50" s="1"/>
      <c r="T50" s="1">
        <f>SUM(OSRRefT22_2x_0)</f>
        <v>150</v>
      </c>
      <c r="U50" s="1"/>
      <c r="V50" s="5">
        <f t="shared" ref="V50:V60" si="26">IF(T$12=0,0,T50/T$12)</f>
        <v>1.621393750067558E-3</v>
      </c>
      <c r="W50" s="1"/>
      <c r="X50" s="1">
        <f t="shared" ref="X50:X60" si="27">+P50-T50</f>
        <v>-150</v>
      </c>
      <c r="Y50" s="1"/>
      <c r="Z50" s="5">
        <f t="shared" ref="Z50:Z60" si="28">IF(T50=0,0,X50/T50)</f>
        <v>-1</v>
      </c>
    </row>
    <row r="51" spans="1:26" s="24" customFormat="1" hidden="1" outlineLevel="2" x14ac:dyDescent="0.25">
      <c r="A51" s="29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1"/>
        <v>0</v>
      </c>
      <c r="G51" s="2"/>
      <c r="H51" s="6">
        <v>50</v>
      </c>
      <c r="I51" s="2"/>
      <c r="J51" s="7">
        <f t="shared" si="22"/>
        <v>2.3809523809523812E-3</v>
      </c>
      <c r="K51" s="2"/>
      <c r="L51" s="6">
        <f t="shared" si="23"/>
        <v>-50</v>
      </c>
      <c r="M51" s="2"/>
      <c r="N51" s="7">
        <f t="shared" si="24"/>
        <v>-1</v>
      </c>
      <c r="O51" s="11"/>
      <c r="P51" s="6"/>
      <c r="Q51" s="2"/>
      <c r="R51" s="7">
        <f t="shared" si="25"/>
        <v>0</v>
      </c>
      <c r="S51" s="2"/>
      <c r="T51" s="6">
        <v>150</v>
      </c>
      <c r="U51" s="2"/>
      <c r="V51" s="7">
        <f t="shared" si="26"/>
        <v>1.621393750067558E-3</v>
      </c>
      <c r="W51" s="2"/>
      <c r="X51" s="6">
        <f t="shared" si="27"/>
        <v>-150</v>
      </c>
      <c r="Y51" s="2"/>
      <c r="Z51" s="7">
        <f t="shared" si="28"/>
        <v>-1</v>
      </c>
    </row>
    <row r="52" spans="1:26" s="28" customFormat="1" outlineLevel="1" collapsed="1" x14ac:dyDescent="0.25">
      <c r="A52" s="27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SUM(OSRRefD22_3x_0)</f>
        <v>169.88</v>
      </c>
      <c r="E52" s="1"/>
      <c r="F52" s="5">
        <f t="shared" si="21"/>
        <v>1.8657962253540925E-2</v>
      </c>
      <c r="G52" s="1"/>
      <c r="H52" s="1">
        <f>SUM(OSRRefH22_3x_0)</f>
        <v>170</v>
      </c>
      <c r="I52" s="1"/>
      <c r="J52" s="5">
        <f t="shared" si="22"/>
        <v>8.0952380952380946E-3</v>
      </c>
      <c r="K52" s="1"/>
      <c r="L52" s="1">
        <f t="shared" si="23"/>
        <v>-0.12000000000000455</v>
      </c>
      <c r="M52" s="1"/>
      <c r="N52" s="5">
        <f t="shared" si="24"/>
        <v>-7.0588235294120319E-4</v>
      </c>
      <c r="O52" s="14"/>
      <c r="P52" s="1">
        <f>SUM(OSRRefP22_3x_0)</f>
        <v>509.64</v>
      </c>
      <c r="Q52" s="1"/>
      <c r="R52" s="5">
        <f t="shared" si="25"/>
        <v>8.2899160825738363E-3</v>
      </c>
      <c r="S52" s="1"/>
      <c r="T52" s="1">
        <f>SUM(OSRRefT22_3x_0)</f>
        <v>510</v>
      </c>
      <c r="U52" s="1"/>
      <c r="V52" s="5">
        <f t="shared" si="26"/>
        <v>5.5127387502296975E-3</v>
      </c>
      <c r="W52" s="1"/>
      <c r="X52" s="1">
        <f t="shared" si="27"/>
        <v>-0.36000000000001364</v>
      </c>
      <c r="Y52" s="1"/>
      <c r="Z52" s="5">
        <f t="shared" si="28"/>
        <v>-7.0588235294120319E-4</v>
      </c>
    </row>
    <row r="53" spans="1:26" s="24" customFormat="1" hidden="1" outlineLevel="2" x14ac:dyDescent="0.25">
      <c r="A53" s="29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169.88</v>
      </c>
      <c r="E53" s="2"/>
      <c r="F53" s="7">
        <f t="shared" si="21"/>
        <v>1.8657962253540925E-2</v>
      </c>
      <c r="G53" s="2"/>
      <c r="H53" s="6">
        <v>170</v>
      </c>
      <c r="I53" s="2"/>
      <c r="J53" s="7">
        <f t="shared" si="22"/>
        <v>8.0952380952380946E-3</v>
      </c>
      <c r="K53" s="2"/>
      <c r="L53" s="6">
        <f t="shared" si="23"/>
        <v>-0.12000000000000455</v>
      </c>
      <c r="M53" s="2"/>
      <c r="N53" s="7">
        <f t="shared" si="24"/>
        <v>-7.0588235294120319E-4</v>
      </c>
      <c r="O53" s="11"/>
      <c r="P53" s="6">
        <v>509.64</v>
      </c>
      <c r="Q53" s="2"/>
      <c r="R53" s="7">
        <f t="shared" si="25"/>
        <v>8.2899160825738363E-3</v>
      </c>
      <c r="S53" s="2"/>
      <c r="T53" s="6">
        <v>510</v>
      </c>
      <c r="U53" s="2"/>
      <c r="V53" s="7">
        <f t="shared" si="26"/>
        <v>5.5127387502296975E-3</v>
      </c>
      <c r="W53" s="2"/>
      <c r="X53" s="6">
        <f t="shared" si="27"/>
        <v>-0.36000000000001364</v>
      </c>
      <c r="Y53" s="2"/>
      <c r="Z53" s="7">
        <f t="shared" si="28"/>
        <v>-7.0588235294120319E-4</v>
      </c>
    </row>
    <row r="54" spans="1:26" s="28" customFormat="1" outlineLevel="1" collapsed="1" x14ac:dyDescent="0.25">
      <c r="A54" s="27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0</v>
      </c>
      <c r="E54" s="1"/>
      <c r="F54" s="5">
        <f t="shared" si="21"/>
        <v>0</v>
      </c>
      <c r="G54" s="1"/>
      <c r="H54" s="1">
        <f>SUM(OSRRefH22_4x_0)</f>
        <v>50</v>
      </c>
      <c r="I54" s="1"/>
      <c r="J54" s="5">
        <f t="shared" si="22"/>
        <v>2.3809523809523812E-3</v>
      </c>
      <c r="K54" s="1"/>
      <c r="L54" s="1">
        <f t="shared" si="23"/>
        <v>-50</v>
      </c>
      <c r="M54" s="1"/>
      <c r="N54" s="5">
        <f t="shared" si="24"/>
        <v>-1</v>
      </c>
      <c r="O54" s="14"/>
      <c r="P54" s="1">
        <f>SUM(OSRRefP22_4x_0)</f>
        <v>0</v>
      </c>
      <c r="Q54" s="1"/>
      <c r="R54" s="5">
        <f t="shared" si="25"/>
        <v>0</v>
      </c>
      <c r="S54" s="1"/>
      <c r="T54" s="1">
        <f>SUM(OSRRefT22_4x_0)</f>
        <v>150</v>
      </c>
      <c r="U54" s="1"/>
      <c r="V54" s="5">
        <f t="shared" si="26"/>
        <v>1.621393750067558E-3</v>
      </c>
      <c r="W54" s="1"/>
      <c r="X54" s="1">
        <f t="shared" si="27"/>
        <v>-150</v>
      </c>
      <c r="Y54" s="1"/>
      <c r="Z54" s="5">
        <f t="shared" si="28"/>
        <v>-1</v>
      </c>
    </row>
    <row r="55" spans="1:26" s="24" customFormat="1" hidden="1" outlineLevel="2" x14ac:dyDescent="0.25">
      <c r="A55" s="29"/>
      <c r="B55" s="11" t="str">
        <f>CONCATENATE("          ", "6382", " - ", "DISCOUNTS/MARK DOWNS")</f>
        <v xml:space="preserve">          6382 - DISCOUNTS/MARK DOWNS</v>
      </c>
      <c r="C55" s="11"/>
      <c r="D55" s="6"/>
      <c r="E55" s="2"/>
      <c r="F55" s="7">
        <f t="shared" si="21"/>
        <v>0</v>
      </c>
      <c r="G55" s="2"/>
      <c r="H55" s="6">
        <v>50</v>
      </c>
      <c r="I55" s="2"/>
      <c r="J55" s="7">
        <f t="shared" si="22"/>
        <v>2.3809523809523812E-3</v>
      </c>
      <c r="K55" s="2"/>
      <c r="L55" s="6">
        <f t="shared" si="23"/>
        <v>-50</v>
      </c>
      <c r="M55" s="2"/>
      <c r="N55" s="7">
        <f t="shared" si="24"/>
        <v>-1</v>
      </c>
      <c r="O55" s="11"/>
      <c r="P55" s="6"/>
      <c r="Q55" s="2"/>
      <c r="R55" s="7">
        <f t="shared" si="25"/>
        <v>0</v>
      </c>
      <c r="S55" s="2"/>
      <c r="T55" s="6">
        <v>150</v>
      </c>
      <c r="U55" s="2"/>
      <c r="V55" s="7">
        <f t="shared" si="26"/>
        <v>1.621393750067558E-3</v>
      </c>
      <c r="W55" s="2"/>
      <c r="X55" s="6">
        <f t="shared" si="27"/>
        <v>-150</v>
      </c>
      <c r="Y55" s="2"/>
      <c r="Z55" s="7">
        <f t="shared" si="28"/>
        <v>-1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SUM(OSRRefD22_5x_0)</f>
        <v>1205.6400000000001</v>
      </c>
      <c r="E56" s="1"/>
      <c r="F56" s="5">
        <f t="shared" si="21"/>
        <v>0.13241573823498401</v>
      </c>
      <c r="G56" s="1"/>
      <c r="H56" s="1">
        <f>SUM(OSRRefH22_5x_0)</f>
        <v>1206</v>
      </c>
      <c r="I56" s="1"/>
      <c r="J56" s="5">
        <f t="shared" si="22"/>
        <v>5.7428571428571426E-2</v>
      </c>
      <c r="K56" s="1"/>
      <c r="L56" s="1">
        <f t="shared" si="23"/>
        <v>-0.35999999999989996</v>
      </c>
      <c r="M56" s="1"/>
      <c r="N56" s="5">
        <f t="shared" si="24"/>
        <v>-2.9850746268648423E-4</v>
      </c>
      <c r="O56" s="14"/>
      <c r="P56" s="1">
        <f>SUM(OSRRefP22_5x_0)</f>
        <v>3616.92</v>
      </c>
      <c r="Q56" s="1"/>
      <c r="R56" s="5">
        <f t="shared" si="25"/>
        <v>5.8833614467826235E-2</v>
      </c>
      <c r="S56" s="1"/>
      <c r="T56" s="1">
        <f>SUM(OSRRefT22_5x_0)</f>
        <v>3618</v>
      </c>
      <c r="U56" s="1"/>
      <c r="V56" s="5">
        <f t="shared" si="26"/>
        <v>3.9108017251629504E-2</v>
      </c>
      <c r="W56" s="1"/>
      <c r="X56" s="1">
        <f t="shared" si="27"/>
        <v>-1.0799999999999272</v>
      </c>
      <c r="Y56" s="1"/>
      <c r="Z56" s="5">
        <f t="shared" si="28"/>
        <v>-2.9850746268654706E-4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6">
        <v>1205.6400000000001</v>
      </c>
      <c r="E57" s="2"/>
      <c r="F57" s="7">
        <f t="shared" si="21"/>
        <v>0.13241573823498401</v>
      </c>
      <c r="G57" s="2"/>
      <c r="H57" s="6">
        <v>1206</v>
      </c>
      <c r="I57" s="2"/>
      <c r="J57" s="7">
        <f t="shared" si="22"/>
        <v>5.7428571428571426E-2</v>
      </c>
      <c r="K57" s="2"/>
      <c r="L57" s="6">
        <f t="shared" si="23"/>
        <v>-0.35999999999989996</v>
      </c>
      <c r="M57" s="2"/>
      <c r="N57" s="7">
        <f t="shared" si="24"/>
        <v>-2.9850746268648423E-4</v>
      </c>
      <c r="O57" s="11"/>
      <c r="P57" s="6">
        <v>3616.92</v>
      </c>
      <c r="Q57" s="2"/>
      <c r="R57" s="7">
        <f t="shared" si="25"/>
        <v>5.8833614467826235E-2</v>
      </c>
      <c r="S57" s="2"/>
      <c r="T57" s="6">
        <v>3618</v>
      </c>
      <c r="U57" s="2"/>
      <c r="V57" s="7">
        <f t="shared" si="26"/>
        <v>3.9108017251629504E-2</v>
      </c>
      <c r="W57" s="2"/>
      <c r="X57" s="6">
        <f t="shared" si="27"/>
        <v>-1.0799999999999272</v>
      </c>
      <c r="Y57" s="2"/>
      <c r="Z57" s="7">
        <f t="shared" si="28"/>
        <v>-2.9850746268654706E-4</v>
      </c>
    </row>
    <row r="58" spans="1:26" s="28" customFormat="1" outlineLevel="1" collapsed="1" x14ac:dyDescent="0.2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-6321.6000000000013</v>
      </c>
      <c r="E58" s="1"/>
      <c r="F58" s="5">
        <f t="shared" si="21"/>
        <v>-0.69430288546023278</v>
      </c>
      <c r="G58" s="1"/>
      <c r="H58" s="1">
        <f>SUM(OSRRefH22_6x_0)</f>
        <v>8250</v>
      </c>
      <c r="I58" s="1"/>
      <c r="J58" s="5">
        <f t="shared" si="22"/>
        <v>0.39285714285714285</v>
      </c>
      <c r="K58" s="1"/>
      <c r="L58" s="1">
        <f t="shared" si="23"/>
        <v>-14571.600000000002</v>
      </c>
      <c r="M58" s="1"/>
      <c r="N58" s="5">
        <f t="shared" si="24"/>
        <v>-1.7662545454545457</v>
      </c>
      <c r="O58" s="14"/>
      <c r="P58" s="1">
        <f>SUM(OSRRefP22_6x_0)</f>
        <v>-82000.679999999993</v>
      </c>
      <c r="Q58" s="1"/>
      <c r="R58" s="5">
        <f t="shared" si="25"/>
        <v>-1.3338410562632264</v>
      </c>
      <c r="S58" s="1"/>
      <c r="T58" s="1">
        <f>SUM(OSRRefT22_6x_0)</f>
        <v>22810</v>
      </c>
      <c r="U58" s="1"/>
      <c r="V58" s="5">
        <f t="shared" si="26"/>
        <v>0.24655994292694</v>
      </c>
      <c r="W58" s="1"/>
      <c r="X58" s="1">
        <f t="shared" si="27"/>
        <v>-104810.68</v>
      </c>
      <c r="Y58" s="1"/>
      <c r="Z58" s="5">
        <f t="shared" si="28"/>
        <v>-4.5949443226654969</v>
      </c>
    </row>
    <row r="59" spans="1:26" s="24" customFormat="1" hidden="1" outlineLevel="2" x14ac:dyDescent="0.25">
      <c r="A59" s="29"/>
      <c r="B59" s="11" t="str">
        <f>CONCATENATE("          ", "6305", " - ", "FREIGHT OUT")</f>
        <v xml:space="preserve">          6305 - FREIGHT OUT</v>
      </c>
      <c r="C59" s="11"/>
      <c r="D59" s="6">
        <v>5262.44</v>
      </c>
      <c r="E59" s="2"/>
      <c r="F59" s="7">
        <f t="shared" si="21"/>
        <v>0.57797508171370315</v>
      </c>
      <c r="G59" s="2"/>
      <c r="H59" s="6">
        <v>7000</v>
      </c>
      <c r="I59" s="2"/>
      <c r="J59" s="7">
        <f t="shared" si="22"/>
        <v>0.33333333333333331</v>
      </c>
      <c r="K59" s="2"/>
      <c r="L59" s="6">
        <f t="shared" si="23"/>
        <v>-1737.5600000000004</v>
      </c>
      <c r="M59" s="2"/>
      <c r="N59" s="7">
        <f t="shared" si="24"/>
        <v>-0.24822285714285719</v>
      </c>
      <c r="O59" s="11"/>
      <c r="P59" s="6">
        <v>25040.79</v>
      </c>
      <c r="Q59" s="2"/>
      <c r="R59" s="7">
        <f t="shared" si="25"/>
        <v>0.40731898544336026</v>
      </c>
      <c r="S59" s="2"/>
      <c r="T59" s="6">
        <v>10560</v>
      </c>
      <c r="U59" s="2"/>
      <c r="V59" s="7">
        <f t="shared" si="26"/>
        <v>0.11414612000475609</v>
      </c>
      <c r="W59" s="2"/>
      <c r="X59" s="6">
        <f t="shared" si="27"/>
        <v>14480.79</v>
      </c>
      <c r="Y59" s="2"/>
      <c r="Z59" s="7">
        <f t="shared" si="28"/>
        <v>1.371286931818182</v>
      </c>
    </row>
    <row r="60" spans="1:26" s="24" customFormat="1" hidden="1" outlineLevel="2" x14ac:dyDescent="0.25">
      <c r="A60" s="29"/>
      <c r="B60" s="11" t="str">
        <f>CONCATENATE("          ", "6307", " - ", "POSTAGE")</f>
        <v xml:space="preserve">          6307 - POSTAGE</v>
      </c>
      <c r="C60" s="11"/>
      <c r="D60" s="6">
        <v>-11584.04</v>
      </c>
      <c r="E60" s="2"/>
      <c r="F60" s="7">
        <f t="shared" si="21"/>
        <v>-1.2722779671739359</v>
      </c>
      <c r="G60" s="2"/>
      <c r="H60" s="6">
        <v>1250</v>
      </c>
      <c r="I60" s="2"/>
      <c r="J60" s="7">
        <f t="shared" si="22"/>
        <v>5.9523809523809521E-2</v>
      </c>
      <c r="K60" s="2"/>
      <c r="L60" s="6">
        <f t="shared" si="23"/>
        <v>-12834.04</v>
      </c>
      <c r="M60" s="2"/>
      <c r="N60" s="7">
        <f t="shared" si="24"/>
        <v>-10.267232</v>
      </c>
      <c r="O60" s="11"/>
      <c r="P60" s="6">
        <v>-107041.47</v>
      </c>
      <c r="Q60" s="2"/>
      <c r="R60" s="7">
        <f t="shared" si="25"/>
        <v>-1.7411600417065867</v>
      </c>
      <c r="S60" s="2"/>
      <c r="T60" s="6">
        <v>12250</v>
      </c>
      <c r="U60" s="2"/>
      <c r="V60" s="7">
        <f t="shared" si="26"/>
        <v>0.1324138229221839</v>
      </c>
      <c r="W60" s="2"/>
      <c r="X60" s="6">
        <f t="shared" si="27"/>
        <v>-119291.47</v>
      </c>
      <c r="Y60" s="2"/>
      <c r="Z60" s="7">
        <f t="shared" si="28"/>
        <v>-9.7380791836734701</v>
      </c>
    </row>
    <row r="61" spans="1:26" s="28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SUM(OSRRefD22_7x_0)</f>
        <v>7243.55</v>
      </c>
      <c r="E61" s="1"/>
      <c r="F61" s="5">
        <f t="shared" ref="F61:F70" si="29">IF(D$12=0,0,D61/D$12)</f>
        <v>0.79556088110216838</v>
      </c>
      <c r="G61" s="1"/>
      <c r="H61" s="1">
        <f>SUM(OSRRefH22_7x_0)</f>
        <v>6000</v>
      </c>
      <c r="I61" s="1"/>
      <c r="J61" s="5">
        <f t="shared" ref="J61:J70" si="30">IF(H$12=0,0,H61/H$12)</f>
        <v>0.2857142857142857</v>
      </c>
      <c r="K61" s="1"/>
      <c r="L61" s="1">
        <f t="shared" ref="L61:L70" si="31">+D61-H61</f>
        <v>1243.5500000000002</v>
      </c>
      <c r="M61" s="1"/>
      <c r="N61" s="5">
        <f t="shared" ref="N61:N70" si="32">IF(H61=0,0,L61/H61)</f>
        <v>0.20725833333333335</v>
      </c>
      <c r="O61" s="14"/>
      <c r="P61" s="1">
        <f>SUM(OSRRefP22_7x_0)</f>
        <v>18846.670000000002</v>
      </c>
      <c r="Q61" s="1"/>
      <c r="R61" s="5">
        <f t="shared" ref="R61:R70" si="33">IF(P$12=0,0,P61/P$12)</f>
        <v>0.30656407019849674</v>
      </c>
      <c r="S61" s="1"/>
      <c r="T61" s="1">
        <f>SUM(OSRRefT22_7x_0)</f>
        <v>11300</v>
      </c>
      <c r="U61" s="1"/>
      <c r="V61" s="5">
        <f t="shared" ref="V61:V70" si="34">IF(T$12=0,0,T61/T$12)</f>
        <v>0.12214499583842271</v>
      </c>
      <c r="W61" s="1"/>
      <c r="X61" s="1">
        <f t="shared" ref="X61:X70" si="35">+P61-T61</f>
        <v>7546.6700000000019</v>
      </c>
      <c r="Y61" s="1"/>
      <c r="Z61" s="5">
        <f t="shared" ref="Z61:Z70" si="36">IF(T61=0,0,X61/T61)</f>
        <v>0.66784690265486746</v>
      </c>
    </row>
    <row r="62" spans="1:26" s="24" customFormat="1" hidden="1" outlineLevel="2" x14ac:dyDescent="0.25">
      <c r="A62" s="29"/>
      <c r="B62" s="11" t="str">
        <f>CONCATENATE("          ", "6373", " - ", "MAINTENANCE CONTRACTS")</f>
        <v xml:space="preserve">          6373 - MAINTENANCE CONTRACTS</v>
      </c>
      <c r="C62" s="11"/>
      <c r="D62" s="6">
        <v>7243.55</v>
      </c>
      <c r="E62" s="2"/>
      <c r="F62" s="7">
        <f t="shared" si="29"/>
        <v>0.79556088110216838</v>
      </c>
      <c r="G62" s="2"/>
      <c r="H62" s="6">
        <v>6000</v>
      </c>
      <c r="I62" s="2"/>
      <c r="J62" s="7">
        <f t="shared" si="30"/>
        <v>0.2857142857142857</v>
      </c>
      <c r="K62" s="2"/>
      <c r="L62" s="6">
        <f t="shared" si="31"/>
        <v>1243.5500000000002</v>
      </c>
      <c r="M62" s="2"/>
      <c r="N62" s="7">
        <f t="shared" si="32"/>
        <v>0.20725833333333335</v>
      </c>
      <c r="O62" s="11"/>
      <c r="P62" s="6">
        <v>18846.670000000002</v>
      </c>
      <c r="Q62" s="2"/>
      <c r="R62" s="7">
        <f t="shared" si="33"/>
        <v>0.30656407019849674</v>
      </c>
      <c r="S62" s="2"/>
      <c r="T62" s="6">
        <v>11300</v>
      </c>
      <c r="U62" s="2"/>
      <c r="V62" s="7">
        <f t="shared" si="34"/>
        <v>0.12214499583842271</v>
      </c>
      <c r="W62" s="2"/>
      <c r="X62" s="6">
        <f t="shared" si="35"/>
        <v>7546.6700000000019</v>
      </c>
      <c r="Y62" s="2"/>
      <c r="Z62" s="7">
        <f t="shared" si="36"/>
        <v>0.66784690265486746</v>
      </c>
    </row>
    <row r="63" spans="1:26" s="28" customFormat="1" outlineLevel="1" collapsed="1" x14ac:dyDescent="0.25">
      <c r="A63" s="27"/>
      <c r="B63" s="14" t="str">
        <f>CONCATENATE("     ","Royalty &amp; Commissions                             ")</f>
        <v xml:space="preserve">     Royalty &amp; Commissions                             </v>
      </c>
      <c r="C63" s="14"/>
      <c r="D63" s="1">
        <f>SUM(OSRRefD22_8x_0)</f>
        <v>62.6</v>
      </c>
      <c r="E63" s="1"/>
      <c r="F63" s="5">
        <f t="shared" si="29"/>
        <v>6.8753734228376613E-3</v>
      </c>
      <c r="G63" s="1"/>
      <c r="H63" s="1">
        <f>SUM(OSRRefH22_8x_0)</f>
        <v>900</v>
      </c>
      <c r="I63" s="1"/>
      <c r="J63" s="5">
        <f t="shared" si="30"/>
        <v>4.2857142857142858E-2</v>
      </c>
      <c r="K63" s="1"/>
      <c r="L63" s="1">
        <f t="shared" si="31"/>
        <v>-837.4</v>
      </c>
      <c r="M63" s="1"/>
      <c r="N63" s="5">
        <f t="shared" si="32"/>
        <v>-0.93044444444444441</v>
      </c>
      <c r="O63" s="14"/>
      <c r="P63" s="1">
        <f>SUM(OSRRefP22_8x_0)</f>
        <v>5384.8</v>
      </c>
      <c r="Q63" s="1"/>
      <c r="R63" s="5">
        <f t="shared" si="33"/>
        <v>8.7590338516293068E-2</v>
      </c>
      <c r="S63" s="1"/>
      <c r="T63" s="1">
        <f>SUM(OSRRefT22_8x_0)</f>
        <v>1650</v>
      </c>
      <c r="U63" s="1"/>
      <c r="V63" s="5">
        <f t="shared" si="34"/>
        <v>1.7835331250743137E-2</v>
      </c>
      <c r="W63" s="1"/>
      <c r="X63" s="1">
        <f t="shared" si="35"/>
        <v>3734.8</v>
      </c>
      <c r="Y63" s="1"/>
      <c r="Z63" s="5">
        <f t="shared" si="36"/>
        <v>2.2635151515151515</v>
      </c>
    </row>
    <row r="64" spans="1:26" s="24" customFormat="1" hidden="1" outlineLevel="2" x14ac:dyDescent="0.25">
      <c r="A64" s="29"/>
      <c r="B64" s="11" t="str">
        <f>CONCATENATE("          ", "6259", " - ", "ROYALTY &amp; COMMISSIONS")</f>
        <v xml:space="preserve">          6259 - ROYALTY &amp; COMMISSIONS</v>
      </c>
      <c r="C64" s="11"/>
      <c r="D64" s="6">
        <v>62.6</v>
      </c>
      <c r="E64" s="2"/>
      <c r="F64" s="7">
        <f t="shared" si="29"/>
        <v>6.8753734228376613E-3</v>
      </c>
      <c r="G64" s="2"/>
      <c r="H64" s="6">
        <v>900</v>
      </c>
      <c r="I64" s="2"/>
      <c r="J64" s="7">
        <f t="shared" si="30"/>
        <v>4.2857142857142858E-2</v>
      </c>
      <c r="K64" s="2"/>
      <c r="L64" s="6">
        <f t="shared" si="31"/>
        <v>-837.4</v>
      </c>
      <c r="M64" s="2"/>
      <c r="N64" s="7">
        <f t="shared" si="32"/>
        <v>-0.93044444444444441</v>
      </c>
      <c r="O64" s="11"/>
      <c r="P64" s="6">
        <v>5384.8</v>
      </c>
      <c r="Q64" s="2"/>
      <c r="R64" s="7">
        <f t="shared" si="33"/>
        <v>8.7590338516293068E-2</v>
      </c>
      <c r="S64" s="2"/>
      <c r="T64" s="6">
        <v>1650</v>
      </c>
      <c r="U64" s="2"/>
      <c r="V64" s="7">
        <f t="shared" si="34"/>
        <v>1.7835331250743137E-2</v>
      </c>
      <c r="W64" s="2"/>
      <c r="X64" s="6">
        <f t="shared" si="35"/>
        <v>3734.8</v>
      </c>
      <c r="Y64" s="2"/>
      <c r="Z64" s="7">
        <f t="shared" si="36"/>
        <v>2.2635151515151515</v>
      </c>
    </row>
    <row r="65" spans="1:26" s="28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SUM(OSRRefD22_9x_0)</f>
        <v>10677.67</v>
      </c>
      <c r="E65" s="1"/>
      <c r="F65" s="5">
        <f t="shared" si="29"/>
        <v>1.1727311267704634</v>
      </c>
      <c r="G65" s="1"/>
      <c r="H65" s="1">
        <f>SUM(OSRRefH22_9x_0)</f>
        <v>800</v>
      </c>
      <c r="I65" s="1"/>
      <c r="J65" s="5">
        <f t="shared" si="30"/>
        <v>3.8095238095238099E-2</v>
      </c>
      <c r="K65" s="1"/>
      <c r="L65" s="1">
        <f t="shared" si="31"/>
        <v>9877.67</v>
      </c>
      <c r="M65" s="1"/>
      <c r="N65" s="5">
        <f t="shared" si="32"/>
        <v>12.347087500000001</v>
      </c>
      <c r="O65" s="14"/>
      <c r="P65" s="1">
        <f>SUM(OSRRefP22_9x_0)</f>
        <v>19608.690000000002</v>
      </c>
      <c r="Q65" s="1"/>
      <c r="R65" s="5">
        <f t="shared" si="33"/>
        <v>0.31895925474688952</v>
      </c>
      <c r="S65" s="1"/>
      <c r="T65" s="1">
        <f>SUM(OSRRefT22_9x_0)</f>
        <v>3650</v>
      </c>
      <c r="U65" s="1"/>
      <c r="V65" s="5">
        <f t="shared" si="34"/>
        <v>3.9453914584977247E-2</v>
      </c>
      <c r="W65" s="1"/>
      <c r="X65" s="1">
        <f t="shared" si="35"/>
        <v>15958.690000000002</v>
      </c>
      <c r="Y65" s="1"/>
      <c r="Z65" s="5">
        <f t="shared" si="36"/>
        <v>4.3722438356164393</v>
      </c>
    </row>
    <row r="66" spans="1:26" s="24" customFormat="1" hidden="1" outlineLevel="2" x14ac:dyDescent="0.25">
      <c r="A66" s="29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29"/>
        <v>0</v>
      </c>
      <c r="G66" s="2"/>
      <c r="H66" s="6"/>
      <c r="I66" s="2"/>
      <c r="J66" s="7">
        <f t="shared" si="30"/>
        <v>0</v>
      </c>
      <c r="K66" s="2"/>
      <c r="L66" s="6">
        <f t="shared" si="31"/>
        <v>0</v>
      </c>
      <c r="M66" s="2"/>
      <c r="N66" s="7">
        <f t="shared" si="32"/>
        <v>0</v>
      </c>
      <c r="O66" s="11"/>
      <c r="P66" s="6">
        <v>310.91000000000003</v>
      </c>
      <c r="Q66" s="2"/>
      <c r="R66" s="7">
        <f t="shared" si="33"/>
        <v>5.057330290465881E-3</v>
      </c>
      <c r="S66" s="2"/>
      <c r="T66" s="6"/>
      <c r="U66" s="2"/>
      <c r="V66" s="7">
        <f t="shared" si="34"/>
        <v>0</v>
      </c>
      <c r="W66" s="2"/>
      <c r="X66" s="6">
        <f t="shared" si="35"/>
        <v>310.91000000000003</v>
      </c>
      <c r="Y66" s="2"/>
      <c r="Z66" s="7">
        <f t="shared" si="36"/>
        <v>0</v>
      </c>
    </row>
    <row r="67" spans="1:26" s="24" customFormat="1" hidden="1" outlineLevel="2" x14ac:dyDescent="0.25">
      <c r="A67" s="29"/>
      <c r="B67" s="11" t="str">
        <f>CONCATENATE("          ", "6241", " - ", "OFFICE EXPENSE")</f>
        <v xml:space="preserve">          6241 - OFFICE EXPENSE</v>
      </c>
      <c r="C67" s="11"/>
      <c r="D67" s="6">
        <v>4590.26</v>
      </c>
      <c r="E67" s="2"/>
      <c r="F67" s="7">
        <f t="shared" si="29"/>
        <v>0.50414938670790421</v>
      </c>
      <c r="G67" s="2"/>
      <c r="H67" s="6"/>
      <c r="I67" s="2"/>
      <c r="J67" s="7">
        <f t="shared" si="30"/>
        <v>0</v>
      </c>
      <c r="K67" s="2"/>
      <c r="L67" s="6">
        <f t="shared" si="31"/>
        <v>4590.26</v>
      </c>
      <c r="M67" s="2"/>
      <c r="N67" s="7">
        <f t="shared" si="32"/>
        <v>0</v>
      </c>
      <c r="O67" s="11"/>
      <c r="P67" s="6">
        <v>4590.26</v>
      </c>
      <c r="Q67" s="2"/>
      <c r="R67" s="7">
        <f t="shared" si="33"/>
        <v>7.466617651125379E-2</v>
      </c>
      <c r="S67" s="2"/>
      <c r="T67" s="6"/>
      <c r="U67" s="2"/>
      <c r="V67" s="7">
        <f t="shared" si="34"/>
        <v>0</v>
      </c>
      <c r="W67" s="2"/>
      <c r="X67" s="6">
        <f t="shared" si="35"/>
        <v>4590.26</v>
      </c>
      <c r="Y67" s="2"/>
      <c r="Z67" s="7">
        <f t="shared" si="36"/>
        <v>0</v>
      </c>
    </row>
    <row r="68" spans="1:26" s="24" customFormat="1" hidden="1" outlineLevel="2" x14ac:dyDescent="0.25">
      <c r="A68" s="29"/>
      <c r="B68" s="11" t="str">
        <f>CONCATENATE("          ", "6243", " - ", "PAPER SUPPLIES")</f>
        <v xml:space="preserve">          6243 - PAPER SUPPLIES</v>
      </c>
      <c r="C68" s="11"/>
      <c r="D68" s="6"/>
      <c r="E68" s="2"/>
      <c r="F68" s="7">
        <f t="shared" si="29"/>
        <v>0</v>
      </c>
      <c r="G68" s="2"/>
      <c r="H68" s="6">
        <v>500</v>
      </c>
      <c r="I68" s="2"/>
      <c r="J68" s="7">
        <f t="shared" si="30"/>
        <v>2.3809523809523808E-2</v>
      </c>
      <c r="K68" s="2"/>
      <c r="L68" s="6">
        <f t="shared" si="31"/>
        <v>-500</v>
      </c>
      <c r="M68" s="2"/>
      <c r="N68" s="7">
        <f t="shared" si="32"/>
        <v>-1</v>
      </c>
      <c r="O68" s="11"/>
      <c r="P68" s="6">
        <v>3124.69</v>
      </c>
      <c r="Q68" s="2"/>
      <c r="R68" s="7">
        <f t="shared" si="33"/>
        <v>5.082689326594781E-2</v>
      </c>
      <c r="S68" s="2"/>
      <c r="T68" s="6">
        <v>2700</v>
      </c>
      <c r="U68" s="2"/>
      <c r="V68" s="7">
        <f t="shared" si="34"/>
        <v>2.9185087501216046E-2</v>
      </c>
      <c r="W68" s="2"/>
      <c r="X68" s="6">
        <f t="shared" si="35"/>
        <v>424.69000000000005</v>
      </c>
      <c r="Y68" s="2"/>
      <c r="Z68" s="7">
        <f t="shared" si="36"/>
        <v>0.15729259259259262</v>
      </c>
    </row>
    <row r="69" spans="1:26" s="24" customFormat="1" hidden="1" outlineLevel="2" x14ac:dyDescent="0.25">
      <c r="A69" s="29"/>
      <c r="B69" s="11" t="str">
        <f>CONCATENATE("          ", "6245", " - ", "PRINTING")</f>
        <v xml:space="preserve">          6245 - PRINTING</v>
      </c>
      <c r="C69" s="11"/>
      <c r="D69" s="6">
        <v>288.3</v>
      </c>
      <c r="E69" s="2"/>
      <c r="F69" s="7">
        <f t="shared" si="29"/>
        <v>3.1664060028819455E-2</v>
      </c>
      <c r="G69" s="2"/>
      <c r="H69" s="6">
        <v>200</v>
      </c>
      <c r="I69" s="2"/>
      <c r="J69" s="7">
        <f t="shared" si="30"/>
        <v>9.5238095238095247E-3</v>
      </c>
      <c r="K69" s="2"/>
      <c r="L69" s="6">
        <f t="shared" si="31"/>
        <v>88.300000000000011</v>
      </c>
      <c r="M69" s="2"/>
      <c r="N69" s="7">
        <f t="shared" si="32"/>
        <v>0.44150000000000006</v>
      </c>
      <c r="O69" s="11"/>
      <c r="P69" s="6">
        <v>-7.2</v>
      </c>
      <c r="Q69" s="2"/>
      <c r="R69" s="7">
        <f t="shared" si="33"/>
        <v>-1.1711678006932663E-4</v>
      </c>
      <c r="S69" s="2"/>
      <c r="T69" s="6">
        <v>700</v>
      </c>
      <c r="U69" s="2"/>
      <c r="V69" s="7">
        <f t="shared" si="34"/>
        <v>7.5665041669819378E-3</v>
      </c>
      <c r="W69" s="2"/>
      <c r="X69" s="6">
        <f t="shared" si="35"/>
        <v>-707.2</v>
      </c>
      <c r="Y69" s="2"/>
      <c r="Z69" s="7">
        <f t="shared" si="36"/>
        <v>-1.0102857142857145</v>
      </c>
    </row>
    <row r="70" spans="1:26" s="24" customFormat="1" hidden="1" outlineLevel="2" x14ac:dyDescent="0.25">
      <c r="A70" s="29"/>
      <c r="B70" s="11" t="str">
        <f>CONCATENATE("          ", "6247", " - ", "STORE SUPPLIES")</f>
        <v xml:space="preserve">          6247 - STORE SUPPLIES</v>
      </c>
      <c r="C70" s="11"/>
      <c r="D70" s="6">
        <v>5799.11</v>
      </c>
      <c r="E70" s="2"/>
      <c r="F70" s="7">
        <f t="shared" si="29"/>
        <v>0.63691768003373972</v>
      </c>
      <c r="G70" s="2"/>
      <c r="H70" s="6">
        <v>100</v>
      </c>
      <c r="I70" s="2"/>
      <c r="J70" s="7">
        <f t="shared" si="30"/>
        <v>4.7619047619047623E-3</v>
      </c>
      <c r="K70" s="2"/>
      <c r="L70" s="6">
        <f t="shared" si="31"/>
        <v>5699.11</v>
      </c>
      <c r="M70" s="2"/>
      <c r="N70" s="7">
        <f t="shared" si="32"/>
        <v>56.991099999999996</v>
      </c>
      <c r="O70" s="11"/>
      <c r="P70" s="6">
        <v>11590.03</v>
      </c>
      <c r="Q70" s="2"/>
      <c r="R70" s="7">
        <f t="shared" si="33"/>
        <v>0.18852597145929137</v>
      </c>
      <c r="S70" s="2"/>
      <c r="T70" s="6">
        <v>250</v>
      </c>
      <c r="U70" s="2"/>
      <c r="V70" s="7">
        <f t="shared" si="34"/>
        <v>2.7023229167792632E-3</v>
      </c>
      <c r="W70" s="2"/>
      <c r="X70" s="6">
        <f t="shared" si="35"/>
        <v>11340.03</v>
      </c>
      <c r="Y70" s="2"/>
      <c r="Z70" s="7">
        <f t="shared" si="36"/>
        <v>45.360120000000002</v>
      </c>
    </row>
    <row r="71" spans="1:26" s="28" customFormat="1" outlineLevel="1" collapsed="1" x14ac:dyDescent="0.25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SUM(OSRRefD22_10x_0)</f>
        <v>265</v>
      </c>
      <c r="E71" s="1"/>
      <c r="F71" s="5">
        <f t="shared" ref="F71:F74" si="37">IF(D$12=0,0,D71/D$12)</f>
        <v>2.9105015288370291E-2</v>
      </c>
      <c r="G71" s="1"/>
      <c r="H71" s="1">
        <f>SUM(OSRRefH22_10x_0)</f>
        <v>165</v>
      </c>
      <c r="I71" s="1"/>
      <c r="J71" s="5">
        <f t="shared" ref="J71:J74" si="38">IF(H$12=0,0,H71/H$12)</f>
        <v>7.8571428571428577E-3</v>
      </c>
      <c r="K71" s="1"/>
      <c r="L71" s="1">
        <f t="shared" ref="L71:L74" si="39">+D71-H71</f>
        <v>100</v>
      </c>
      <c r="M71" s="1"/>
      <c r="N71" s="5">
        <f t="shared" ref="N71:N74" si="40">IF(H71=0,0,L71/H71)</f>
        <v>0.60606060606060608</v>
      </c>
      <c r="O71" s="14"/>
      <c r="P71" s="1">
        <f>SUM(OSRRefP22_10x_0)</f>
        <v>665.75</v>
      </c>
      <c r="Q71" s="1"/>
      <c r="R71" s="5">
        <f t="shared" ref="R71:R74" si="41">IF(P$12=0,0,P71/P$12)</f>
        <v>1.0829235601549195E-2</v>
      </c>
      <c r="S71" s="1"/>
      <c r="T71" s="1">
        <f>SUM(OSRRefT22_10x_0)</f>
        <v>495</v>
      </c>
      <c r="U71" s="1"/>
      <c r="V71" s="5">
        <f t="shared" ref="V71:V74" si="42">IF(T$12=0,0,T71/T$12)</f>
        <v>5.3505993752229414E-3</v>
      </c>
      <c r="W71" s="1"/>
      <c r="X71" s="1">
        <f t="shared" ref="X71:X74" si="43">+P71-T71</f>
        <v>170.75</v>
      </c>
      <c r="Y71" s="1"/>
      <c r="Z71" s="5">
        <f t="shared" ref="Z71:Z74" si="44">IF(T71=0,0,X71/T71)</f>
        <v>0.34494949494949495</v>
      </c>
    </row>
    <row r="72" spans="1:26" s="24" customFormat="1" hidden="1" outlineLevel="2" x14ac:dyDescent="0.25">
      <c r="A72" s="29"/>
      <c r="B72" s="11" t="str">
        <f>CONCATENATE("          ", "6309", " - ", "TELEPHONE")</f>
        <v xml:space="preserve">          6309 - TELEPHONE</v>
      </c>
      <c r="C72" s="11"/>
      <c r="D72" s="6">
        <v>265</v>
      </c>
      <c r="E72" s="2"/>
      <c r="F72" s="7">
        <f t="shared" si="37"/>
        <v>2.9105015288370291E-2</v>
      </c>
      <c r="G72" s="2"/>
      <c r="H72" s="6">
        <v>165</v>
      </c>
      <c r="I72" s="2"/>
      <c r="J72" s="7">
        <f t="shared" si="38"/>
        <v>7.8571428571428577E-3</v>
      </c>
      <c r="K72" s="2"/>
      <c r="L72" s="6">
        <f t="shared" si="39"/>
        <v>100</v>
      </c>
      <c r="M72" s="2"/>
      <c r="N72" s="7">
        <f t="shared" si="40"/>
        <v>0.60606060606060608</v>
      </c>
      <c r="O72" s="11"/>
      <c r="P72" s="6">
        <v>665.75</v>
      </c>
      <c r="Q72" s="2"/>
      <c r="R72" s="7">
        <f t="shared" si="41"/>
        <v>1.0829235601549195E-2</v>
      </c>
      <c r="S72" s="2"/>
      <c r="T72" s="6">
        <v>495</v>
      </c>
      <c r="U72" s="2"/>
      <c r="V72" s="7">
        <f t="shared" si="42"/>
        <v>5.3505993752229414E-3</v>
      </c>
      <c r="W72" s="2"/>
      <c r="X72" s="6">
        <f t="shared" si="43"/>
        <v>170.75</v>
      </c>
      <c r="Y72" s="2"/>
      <c r="Z72" s="7">
        <f t="shared" si="44"/>
        <v>0.34494949494949495</v>
      </c>
    </row>
    <row r="73" spans="1:26" s="28" customFormat="1" outlineLevel="1" collapsed="1" x14ac:dyDescent="0.25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SUM(OSRRefD22_11x_0)</f>
        <v>0</v>
      </c>
      <c r="E73" s="1"/>
      <c r="F73" s="5">
        <f t="shared" si="37"/>
        <v>0</v>
      </c>
      <c r="G73" s="1"/>
      <c r="H73" s="1">
        <f>SUM(OSRRefH22_11x_0)</f>
        <v>0</v>
      </c>
      <c r="I73" s="1"/>
      <c r="J73" s="5">
        <f t="shared" si="38"/>
        <v>0</v>
      </c>
      <c r="K73" s="1"/>
      <c r="L73" s="1">
        <f t="shared" si="39"/>
        <v>0</v>
      </c>
      <c r="M73" s="1"/>
      <c r="N73" s="5">
        <f t="shared" si="40"/>
        <v>0</v>
      </c>
      <c r="O73" s="14"/>
      <c r="P73" s="1">
        <f>SUM(OSRRefP22_11x_0)</f>
        <v>15.02</v>
      </c>
      <c r="Q73" s="1"/>
      <c r="R73" s="5">
        <f t="shared" si="41"/>
        <v>2.443186162001786E-4</v>
      </c>
      <c r="S73" s="1"/>
      <c r="T73" s="1">
        <f>SUM(OSRRefT22_11x_0)</f>
        <v>0</v>
      </c>
      <c r="U73" s="1"/>
      <c r="V73" s="5">
        <f t="shared" si="42"/>
        <v>0</v>
      </c>
      <c r="W73" s="1"/>
      <c r="X73" s="1">
        <f t="shared" si="43"/>
        <v>15.02</v>
      </c>
      <c r="Y73" s="1"/>
      <c r="Z73" s="5">
        <f t="shared" si="44"/>
        <v>0</v>
      </c>
    </row>
    <row r="74" spans="1:26" s="24" customFormat="1" hidden="1" outlineLevel="2" x14ac:dyDescent="0.25">
      <c r="A74" s="29"/>
      <c r="B74" s="11" t="str">
        <f>CONCATENATE("          ", "6274", " - ", "UTILITIES")</f>
        <v xml:space="preserve">          6274 - UTILITIES</v>
      </c>
      <c r="C74" s="11"/>
      <c r="D74" s="6"/>
      <c r="E74" s="2"/>
      <c r="F74" s="7">
        <f t="shared" si="37"/>
        <v>0</v>
      </c>
      <c r="G74" s="2"/>
      <c r="H74" s="6"/>
      <c r="I74" s="2"/>
      <c r="J74" s="7">
        <f t="shared" si="38"/>
        <v>0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>
        <v>15.02</v>
      </c>
      <c r="Q74" s="2"/>
      <c r="R74" s="7">
        <f t="shared" si="41"/>
        <v>2.443186162001786E-4</v>
      </c>
      <c r="S74" s="2"/>
      <c r="T74" s="6"/>
      <c r="U74" s="2"/>
      <c r="V74" s="7">
        <f t="shared" si="42"/>
        <v>0</v>
      </c>
      <c r="W74" s="2"/>
      <c r="X74" s="6">
        <f t="shared" si="43"/>
        <v>15.02</v>
      </c>
      <c r="Y74" s="2"/>
      <c r="Z74" s="7">
        <f t="shared" si="44"/>
        <v>0</v>
      </c>
    </row>
    <row r="75" spans="1:26" s="61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25">
      <c r="A76" s="10"/>
      <c r="B76" s="25" t="s">
        <v>0</v>
      </c>
      <c r="C76" s="10"/>
      <c r="D76" s="4">
        <f>SUM(OSRRefD25x_0)</f>
        <v>6782</v>
      </c>
      <c r="E76" s="4"/>
      <c r="F76" s="12">
        <f t="shared" ref="F76:F77" si="45">IF(D$12=0,0,D76/D$12)</f>
        <v>0.74486873088953709</v>
      </c>
      <c r="G76" s="4"/>
      <c r="H76" s="4">
        <f>SUM(OSRRefH25x_0)</f>
        <v>6875</v>
      </c>
      <c r="I76" s="4"/>
      <c r="J76" s="12">
        <f t="shared" ref="J76:J77" si="46">IF(H$12=0,0,H76/H$12)</f>
        <v>0.32738095238095238</v>
      </c>
      <c r="K76" s="4"/>
      <c r="L76" s="4">
        <f t="shared" ref="L76:L77" si="47">+D76-H76</f>
        <v>-93</v>
      </c>
      <c r="M76" s="4"/>
      <c r="N76" s="12">
        <f t="shared" ref="N76:N77" si="48">IF(H76=0,0,L76/H76)</f>
        <v>-1.3527272727272728E-2</v>
      </c>
      <c r="O76" s="10"/>
      <c r="P76" s="4">
        <f>SUM(OSRRefP25x_0)</f>
        <v>20346</v>
      </c>
      <c r="Q76" s="4"/>
      <c r="R76" s="12">
        <f t="shared" ref="R76:R77" si="49">IF(P$12=0,0,P76/P$12)</f>
        <v>0.33095250101257218</v>
      </c>
      <c r="S76" s="4"/>
      <c r="T76" s="4">
        <f>SUM(OSRRefT25x_0)</f>
        <v>20625</v>
      </c>
      <c r="U76" s="4"/>
      <c r="V76" s="12">
        <f t="shared" ref="V76:V77" si="50">IF(T$12=0,0,T76/T$12)</f>
        <v>0.22294164063428923</v>
      </c>
      <c r="W76" s="4"/>
      <c r="X76" s="4">
        <f t="shared" ref="X76:X77" si="51">+P76-T76</f>
        <v>-279</v>
      </c>
      <c r="Y76" s="4"/>
      <c r="Z76" s="12">
        <f t="shared" ref="Z76:Z77" si="52">IF(T76=0,0,X76/T76)</f>
        <v>-1.3527272727272728E-2</v>
      </c>
    </row>
    <row r="77" spans="1:26" s="24" customFormat="1" hidden="1" outlineLevel="1" x14ac:dyDescent="0.25">
      <c r="A77" s="51"/>
      <c r="B77" s="11" t="str">
        <f>CONCATENATE("          ", "9150", " - ", "MISC. INCOME")</f>
        <v xml:space="preserve">          9150 - MISC. INCOME</v>
      </c>
      <c r="C77" s="11"/>
      <c r="D77" s="2">
        <f>--6782</f>
        <v>6782</v>
      </c>
      <c r="E77" s="2"/>
      <c r="F77" s="22">
        <f t="shared" si="45"/>
        <v>0.74486873088953709</v>
      </c>
      <c r="G77" s="2"/>
      <c r="H77" s="2">
        <v>6875</v>
      </c>
      <c r="I77" s="2"/>
      <c r="J77" s="22">
        <f t="shared" si="46"/>
        <v>0.32738095238095238</v>
      </c>
      <c r="K77" s="2"/>
      <c r="L77" s="2">
        <f t="shared" si="47"/>
        <v>-93</v>
      </c>
      <c r="M77" s="2"/>
      <c r="N77" s="22">
        <f t="shared" si="48"/>
        <v>-1.3527272727272728E-2</v>
      </c>
      <c r="O77" s="11"/>
      <c r="P77" s="2">
        <f>--20346</f>
        <v>20346</v>
      </c>
      <c r="Q77" s="2"/>
      <c r="R77" s="22">
        <f t="shared" si="49"/>
        <v>0.33095250101257218</v>
      </c>
      <c r="S77" s="2"/>
      <c r="T77" s="2">
        <v>20625</v>
      </c>
      <c r="U77" s="2"/>
      <c r="V77" s="22">
        <f t="shared" si="50"/>
        <v>0.22294164063428923</v>
      </c>
      <c r="W77" s="2"/>
      <c r="X77" s="2">
        <f t="shared" si="51"/>
        <v>-279</v>
      </c>
      <c r="Y77" s="2"/>
      <c r="Z77" s="22">
        <f t="shared" si="52"/>
        <v>-1.3527272727272728E-2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6" t="s">
        <v>3</v>
      </c>
      <c r="C79" s="26"/>
      <c r="D79" s="20">
        <f>+D26-D28+D76</f>
        <v>-22426.079999999994</v>
      </c>
      <c r="E79" s="13"/>
      <c r="F79" s="21">
        <f>IF(D$12=0,0,D79/D$12)</f>
        <v>-2.4630618915404341</v>
      </c>
      <c r="G79" s="13"/>
      <c r="H79" s="20">
        <f>+H26-H28+H76</f>
        <v>-6352.0847169923436</v>
      </c>
      <c r="I79" s="13"/>
      <c r="J79" s="21">
        <f>IF(H$12=0,0,H79/H$12)</f>
        <v>-0.30248022461868301</v>
      </c>
      <c r="K79" s="16"/>
      <c r="L79" s="20">
        <f>+D79-H79</f>
        <v>-16073.995283007651</v>
      </c>
      <c r="M79" s="16"/>
      <c r="N79" s="21">
        <f>IF(H79=0,0,L79/H79)</f>
        <v>2.5305070695937673</v>
      </c>
      <c r="O79" s="25"/>
      <c r="P79" s="20">
        <f>+P26-P28+P76</f>
        <v>44766.720000000023</v>
      </c>
      <c r="Q79" s="13"/>
      <c r="R79" s="21">
        <f>IF(P$12=0,0,P79/P$12)</f>
        <v>0.72818529175904567</v>
      </c>
      <c r="S79" s="13"/>
      <c r="T79" s="20">
        <f>+T26-T28+T76</f>
        <v>15496.964389774905</v>
      </c>
      <c r="U79" s="13"/>
      <c r="V79" s="21">
        <f>IF(T$12=0,0,T79/T$12)</f>
        <v>0.1675112080440036</v>
      </c>
      <c r="W79" s="16"/>
      <c r="X79" s="20">
        <f>+P79-T79</f>
        <v>29269.755610225118</v>
      </c>
      <c r="Y79" s="16"/>
      <c r="Z79" s="21">
        <f>IF(T79=0,0,X79/T79)</f>
        <v>1.8887412317690861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2546.6</v>
      </c>
      <c r="E81" s="4"/>
      <c r="F81" s="12">
        <f>IF(D$12=0,0,D81/D$12)</f>
        <v>0.27969370540891991</v>
      </c>
      <c r="G81" s="4"/>
      <c r="H81" s="4">
        <v>1696</v>
      </c>
      <c r="I81" s="4"/>
      <c r="J81" s="12">
        <f>IF(H$12=0,0,H81/H$12)</f>
        <v>8.0761904761904757E-2</v>
      </c>
      <c r="K81" s="4"/>
      <c r="L81" s="4">
        <f>+D81-H81</f>
        <v>850.59999999999991</v>
      </c>
      <c r="M81" s="4"/>
      <c r="N81" s="12">
        <f>IF(H81=0,0,L81/H81)</f>
        <v>0.50153301886792445</v>
      </c>
      <c r="O81" s="10"/>
      <c r="P81" s="4">
        <v>11388.94</v>
      </c>
      <c r="Q81" s="4"/>
      <c r="R81" s="12">
        <f>IF(P$12=0,0,P81/P$12)</f>
        <v>0.18525499738927179</v>
      </c>
      <c r="S81" s="4"/>
      <c r="T81" s="4">
        <v>13374</v>
      </c>
      <c r="U81" s="4"/>
      <c r="V81" s="12">
        <f>IF(T$12=0,0,T81/T$12)</f>
        <v>0.14456346675602347</v>
      </c>
      <c r="W81" s="4"/>
      <c r="X81" s="4">
        <f>+P81-T81</f>
        <v>-1985.0599999999995</v>
      </c>
      <c r="Y81" s="4"/>
      <c r="Z81" s="12">
        <f>IF(T81=0,0,X81/T81)</f>
        <v>-0.14842679826529082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4</v>
      </c>
      <c r="C83" s="26"/>
      <c r="D83" s="33">
        <f>+D79-D81</f>
        <v>-24972.679999999993</v>
      </c>
      <c r="E83" s="13"/>
      <c r="F83" s="34">
        <f>IF(D$12=0,0,D83/D$12)</f>
        <v>-2.7427555969493542</v>
      </c>
      <c r="G83" s="13"/>
      <c r="H83" s="33">
        <f>+H79-H81</f>
        <v>-8048.0847169923436</v>
      </c>
      <c r="I83" s="13"/>
      <c r="J83" s="34">
        <f>IF(H$12=0,0,H83/H$12)</f>
        <v>-0.38324212938058777</v>
      </c>
      <c r="K83" s="16"/>
      <c r="L83" s="33">
        <f>D83-H83</f>
        <v>-16924.595283007649</v>
      </c>
      <c r="M83" s="16"/>
      <c r="N83" s="34">
        <f>IF(H83=0,0,L83/H83)</f>
        <v>2.1029345338865362</v>
      </c>
      <c r="O83" s="25"/>
      <c r="P83" s="33">
        <f>+P79-P81</f>
        <v>33377.780000000021</v>
      </c>
      <c r="Q83" s="13"/>
      <c r="R83" s="34">
        <f>IF(P$12=0,0,P83/P$12)</f>
        <v>0.5429302943697738</v>
      </c>
      <c r="S83" s="13"/>
      <c r="T83" s="33">
        <f>+T79-T81</f>
        <v>2122.9643897749047</v>
      </c>
      <c r="U83" s="13"/>
      <c r="V83" s="34">
        <f>IF(T$12=0,0,T83/T$12)</f>
        <v>2.294774128798012E-2</v>
      </c>
      <c r="W83" s="16"/>
      <c r="X83" s="33">
        <f>P83-T83</f>
        <v>31254.815610225116</v>
      </c>
      <c r="Y83" s="16"/>
      <c r="Z83" s="34">
        <f>IF(T83=0,0,X83/T83)</f>
        <v>14.722251470991006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5</v>
      </c>
      <c r="C86" s="26"/>
      <c r="D86" s="31">
        <f>SUM(D83:D85)</f>
        <v>-24972.679999999993</v>
      </c>
      <c r="E86" s="13"/>
      <c r="F86" s="32">
        <f>IF(D$12=0,0,D86/D$12)</f>
        <v>-2.7427555969493542</v>
      </c>
      <c r="G86" s="13"/>
      <c r="H86" s="31">
        <f>SUM(H83:H85)</f>
        <v>-8048.0847169923436</v>
      </c>
      <c r="I86" s="13"/>
      <c r="J86" s="32">
        <f>IF(H$12=0,0,H86/H$12)</f>
        <v>-0.38324212938058777</v>
      </c>
      <c r="K86" s="16"/>
      <c r="L86" s="31">
        <f>+D86-H86</f>
        <v>-16924.595283007649</v>
      </c>
      <c r="M86" s="16"/>
      <c r="N86" s="32">
        <f>IF(H86=0,0,L86/H86)</f>
        <v>2.1029345338865362</v>
      </c>
      <c r="O86" s="25"/>
      <c r="P86" s="31">
        <f>SUM(P83:P85)</f>
        <v>33377.780000000021</v>
      </c>
      <c r="Q86" s="13"/>
      <c r="R86" s="32">
        <f>IF(P$12=0,0,P86/P$12)</f>
        <v>0.5429302943697738</v>
      </c>
      <c r="S86" s="13"/>
      <c r="T86" s="31">
        <f>SUM(T83:T85)</f>
        <v>2122.9643897749047</v>
      </c>
      <c r="U86" s="13"/>
      <c r="V86" s="32">
        <f>IF(T$12=0,0,T86/T$12)</f>
        <v>2.294774128798012E-2</v>
      </c>
      <c r="W86" s="16"/>
      <c r="X86" s="31">
        <f>+P86-T86</f>
        <v>31254.815610225116</v>
      </c>
      <c r="Y86" s="16"/>
      <c r="Z86" s="32">
        <f>IF(T86=0,0,X86/T86)</f>
        <v>14.722251470991006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5">
        <v>44123.571558101852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3" t="s">
        <v>314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2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5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","316", " - ", "Campus Copy Center")</f>
        <v>Department 316 - Campus Copy Center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9104.9600000000009</v>
      </c>
      <c r="E12" s="4"/>
      <c r="F12" s="12"/>
      <c r="G12" s="4"/>
      <c r="H12" s="4">
        <f>SUM(OSRRefH13x_0)</f>
        <v>21000</v>
      </c>
      <c r="I12" s="4"/>
      <c r="J12" s="12"/>
      <c r="K12" s="4"/>
      <c r="L12" s="4">
        <f t="shared" ref="L12:L22" si="0">+D12-H12</f>
        <v>-11895.039999999999</v>
      </c>
      <c r="M12" s="4"/>
      <c r="N12" s="12">
        <f t="shared" ref="N12:N22" si="1">IF(H12=0,0,L12/H12)</f>
        <v>-0.56643047619047615</v>
      </c>
      <c r="O12" s="10"/>
      <c r="P12" s="4">
        <f>SUM(OSRRefP13x_0)</f>
        <v>61477.1</v>
      </c>
      <c r="Q12" s="4"/>
      <c r="R12" s="12"/>
      <c r="S12" s="4"/>
      <c r="T12" s="4">
        <f>SUM(OSRRefT13x_0)</f>
        <v>92513</v>
      </c>
      <c r="U12" s="4"/>
      <c r="V12" s="12"/>
      <c r="W12" s="4"/>
      <c r="X12" s="4">
        <f t="shared" ref="X12:X22" si="2">+P12-T12</f>
        <v>-31035.9</v>
      </c>
      <c r="Y12" s="4"/>
      <c r="Z12" s="12">
        <f t="shared" ref="Z12:Z22" si="3">IF(T12=0,0,X12/T12)</f>
        <v>-0.3354760952514782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18000</v>
      </c>
      <c r="I13" s="2"/>
      <c r="J13" s="22"/>
      <c r="K13" s="2"/>
      <c r="L13" s="2">
        <f t="shared" si="0"/>
        <v>-18000</v>
      </c>
      <c r="M13" s="2"/>
      <c r="N13" s="22">
        <f t="shared" si="1"/>
        <v>-1</v>
      </c>
      <c r="O13" s="11"/>
      <c r="P13" s="2">
        <f>-7.3</f>
        <v>-7.3</v>
      </c>
      <c r="Q13" s="2"/>
      <c r="R13" s="22"/>
      <c r="S13" s="2"/>
      <c r="T13" s="2">
        <v>87013</v>
      </c>
      <c r="U13" s="2"/>
      <c r="V13" s="22"/>
      <c r="W13" s="2"/>
      <c r="X13" s="2">
        <f t="shared" si="2"/>
        <v>-87020.3</v>
      </c>
      <c r="Y13" s="2"/>
      <c r="Z13" s="22">
        <f t="shared" si="3"/>
        <v>-1.0000838955098663</v>
      </c>
    </row>
    <row r="14" spans="1:26" s="24" customFormat="1" hidden="1" outlineLevel="1" x14ac:dyDescent="0.25">
      <c r="A14" s="51"/>
      <c r="B14" s="11" t="str">
        <f>CONCATENATE("          ", "4041", " - ", "TAXABLE SALES-LOGO GIFTS")</f>
        <v xml:space="preserve">          4041 - TAXABLE SALES-LOGO GIFTS</v>
      </c>
      <c r="C14" s="11"/>
      <c r="D14" s="2">
        <f>--8785.72</f>
        <v>8785.7199999999993</v>
      </c>
      <c r="E14" s="2"/>
      <c r="F14" s="22"/>
      <c r="G14" s="2"/>
      <c r="H14" s="2"/>
      <c r="I14" s="2"/>
      <c r="J14" s="22"/>
      <c r="K14" s="2"/>
      <c r="L14" s="2">
        <f t="shared" si="0"/>
        <v>8785.7199999999993</v>
      </c>
      <c r="M14" s="2"/>
      <c r="N14" s="22">
        <f t="shared" si="1"/>
        <v>0</v>
      </c>
      <c r="O14" s="11"/>
      <c r="P14" s="2">
        <f>--52221.77</f>
        <v>52221.77</v>
      </c>
      <c r="Q14" s="2"/>
      <c r="R14" s="22"/>
      <c r="S14" s="2"/>
      <c r="T14" s="2"/>
      <c r="U14" s="2"/>
      <c r="V14" s="22"/>
      <c r="W14" s="2"/>
      <c r="X14" s="2">
        <f t="shared" si="2"/>
        <v>52221.77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--476.85</f>
        <v>476.85</v>
      </c>
      <c r="E15" s="2"/>
      <c r="F15" s="22"/>
      <c r="G15" s="2"/>
      <c r="H15" s="2"/>
      <c r="I15" s="2"/>
      <c r="J15" s="22"/>
      <c r="K15" s="2"/>
      <c r="L15" s="2">
        <f t="shared" si="0"/>
        <v>476.85</v>
      </c>
      <c r="M15" s="2"/>
      <c r="N15" s="22">
        <f t="shared" si="1"/>
        <v>0</v>
      </c>
      <c r="O15" s="11"/>
      <c r="P15" s="2">
        <f>--9433.72</f>
        <v>9433.7199999999993</v>
      </c>
      <c r="Q15" s="2"/>
      <c r="R15" s="22"/>
      <c r="S15" s="2"/>
      <c r="T15" s="2"/>
      <c r="U15" s="2"/>
      <c r="V15" s="22"/>
      <c r="W15" s="2"/>
      <c r="X15" s="2">
        <f t="shared" si="2"/>
        <v>9433.7199999999993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"4043", " - ", "TAXABLE SALES-CARDS")</f>
        <v xml:space="preserve">          4043 - TAXABLE SALES-CARDS</v>
      </c>
      <c r="C16" s="11"/>
      <c r="D16" s="2">
        <f>--2.99</f>
        <v>2.99</v>
      </c>
      <c r="E16" s="2"/>
      <c r="F16" s="22"/>
      <c r="G16" s="2"/>
      <c r="H16" s="2"/>
      <c r="I16" s="2"/>
      <c r="J16" s="22"/>
      <c r="K16" s="2"/>
      <c r="L16" s="2">
        <f t="shared" si="0"/>
        <v>2.99</v>
      </c>
      <c r="M16" s="2"/>
      <c r="N16" s="22">
        <f t="shared" si="1"/>
        <v>0</v>
      </c>
      <c r="O16" s="11"/>
      <c r="P16" s="2">
        <f>--7.98</f>
        <v>7.98</v>
      </c>
      <c r="Q16" s="2"/>
      <c r="R16" s="22"/>
      <c r="S16" s="2"/>
      <c r="T16" s="2"/>
      <c r="U16" s="2"/>
      <c r="V16" s="22"/>
      <c r="W16" s="2"/>
      <c r="X16" s="2">
        <f t="shared" si="2"/>
        <v>7.98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ref="D17:D19" si="4">0</f>
        <v>0</v>
      </c>
      <c r="E17" s="2"/>
      <c r="F17" s="22"/>
      <c r="G17" s="2"/>
      <c r="H17" s="2">
        <v>3000</v>
      </c>
      <c r="I17" s="2"/>
      <c r="J17" s="22"/>
      <c r="K17" s="2"/>
      <c r="L17" s="2">
        <f t="shared" si="0"/>
        <v>-3000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5500</v>
      </c>
      <c r="U17" s="2"/>
      <c r="V17" s="22"/>
      <c r="W17" s="2"/>
      <c r="X17" s="2">
        <f t="shared" si="2"/>
        <v>-5500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si="4"/>
        <v>0</v>
      </c>
      <c r="E18" s="2"/>
      <c r="F18" s="22"/>
      <c r="G18" s="2"/>
      <c r="H18" s="2"/>
      <c r="I18" s="2"/>
      <c r="J18" s="22"/>
      <c r="K18" s="2"/>
      <c r="L18" s="2">
        <f t="shared" si="0"/>
        <v>0</v>
      </c>
      <c r="M18" s="2"/>
      <c r="N18" s="22">
        <f t="shared" si="1"/>
        <v>0</v>
      </c>
      <c r="O18" s="11"/>
      <c r="P18" s="2">
        <f>--457.5</f>
        <v>457.5</v>
      </c>
      <c r="Q18" s="2"/>
      <c r="R18" s="22"/>
      <c r="S18" s="2"/>
      <c r="T18" s="2"/>
      <c r="U18" s="2"/>
      <c r="V18" s="22"/>
      <c r="W18" s="2"/>
      <c r="X18" s="2">
        <f t="shared" si="2"/>
        <v>457.5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si="4"/>
        <v>0</v>
      </c>
      <c r="E19" s="2"/>
      <c r="F19" s="22"/>
      <c r="G19" s="2"/>
      <c r="H19" s="2"/>
      <c r="I19" s="2"/>
      <c r="J19" s="22"/>
      <c r="K19" s="2"/>
      <c r="L19" s="2">
        <f t="shared" si="0"/>
        <v>0</v>
      </c>
      <c r="M19" s="2"/>
      <c r="N19" s="22">
        <f t="shared" si="1"/>
        <v>0</v>
      </c>
      <c r="O19" s="11"/>
      <c r="P19" s="2">
        <f>--5.98</f>
        <v>5.98</v>
      </c>
      <c r="Q19" s="2"/>
      <c r="R19" s="22"/>
      <c r="S19" s="2"/>
      <c r="T19" s="2"/>
      <c r="U19" s="2"/>
      <c r="V19" s="22"/>
      <c r="W19" s="2"/>
      <c r="X19" s="2">
        <f t="shared" si="2"/>
        <v>5.98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--49.7</f>
        <v>49.7</v>
      </c>
      <c r="E20" s="2"/>
      <c r="F20" s="22"/>
      <c r="G20" s="2"/>
      <c r="H20" s="2"/>
      <c r="I20" s="2"/>
      <c r="J20" s="22"/>
      <c r="K20" s="2"/>
      <c r="L20" s="2">
        <f t="shared" si="0"/>
        <v>49.7</v>
      </c>
      <c r="M20" s="2"/>
      <c r="N20" s="22">
        <f t="shared" si="1"/>
        <v>0</v>
      </c>
      <c r="O20" s="11"/>
      <c r="P20" s="2">
        <f>--65.2</f>
        <v>65.2</v>
      </c>
      <c r="Q20" s="2"/>
      <c r="R20" s="22"/>
      <c r="S20" s="2"/>
      <c r="T20" s="2"/>
      <c r="U20" s="2"/>
      <c r="V20" s="22"/>
      <c r="W20" s="2"/>
      <c r="X20" s="2">
        <f t="shared" si="2"/>
        <v>65.2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"4147", " - ", "NON-TAXABLE SALES-MISC")</f>
        <v xml:space="preserve">          4147 - NON-TAXABLE SALES-MISC</v>
      </c>
      <c r="C21" s="11"/>
      <c r="D21" s="2">
        <f>--24</f>
        <v>24</v>
      </c>
      <c r="E21" s="2"/>
      <c r="F21" s="22"/>
      <c r="G21" s="2"/>
      <c r="H21" s="2"/>
      <c r="I21" s="2"/>
      <c r="J21" s="22"/>
      <c r="K21" s="2"/>
      <c r="L21" s="2">
        <f t="shared" si="0"/>
        <v>24</v>
      </c>
      <c r="M21" s="2"/>
      <c r="N21" s="22">
        <f t="shared" si="1"/>
        <v>0</v>
      </c>
      <c r="O21" s="11"/>
      <c r="P21" s="2">
        <f>--48</f>
        <v>48</v>
      </c>
      <c r="Q21" s="2"/>
      <c r="R21" s="22"/>
      <c r="S21" s="2"/>
      <c r="T21" s="2"/>
      <c r="U21" s="2"/>
      <c r="V21" s="22"/>
      <c r="W21" s="2"/>
      <c r="X21" s="2">
        <f t="shared" si="2"/>
        <v>48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-234.3</f>
        <v>-234.3</v>
      </c>
      <c r="E22" s="2"/>
      <c r="F22" s="22"/>
      <c r="G22" s="2"/>
      <c r="H22" s="2"/>
      <c r="I22" s="2"/>
      <c r="J22" s="22"/>
      <c r="K22" s="2"/>
      <c r="L22" s="2">
        <f t="shared" si="0"/>
        <v>-234.3</v>
      </c>
      <c r="M22" s="2"/>
      <c r="N22" s="22">
        <f t="shared" si="1"/>
        <v>0</v>
      </c>
      <c r="O22" s="11"/>
      <c r="P22" s="2">
        <f>-755.75</f>
        <v>-755.75</v>
      </c>
      <c r="Q22" s="2"/>
      <c r="R22" s="22"/>
      <c r="S22" s="2"/>
      <c r="T22" s="2"/>
      <c r="U22" s="2"/>
      <c r="V22" s="22"/>
      <c r="W22" s="2"/>
      <c r="X22" s="2">
        <f t="shared" si="2"/>
        <v>-755.75</v>
      </c>
      <c r="Y22" s="2"/>
      <c r="Z22" s="22">
        <f t="shared" si="3"/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5" t="s">
        <v>8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6</v>
      </c>
      <c r="C26" s="26"/>
      <c r="D26" s="20">
        <f>D12-D24</f>
        <v>9104.9600000000009</v>
      </c>
      <c r="E26" s="13"/>
      <c r="F26" s="21">
        <f>IF(D$12=0,0,D26/D$12)</f>
        <v>1</v>
      </c>
      <c r="G26" s="13"/>
      <c r="H26" s="20">
        <f>H12-H24</f>
        <v>21000</v>
      </c>
      <c r="I26" s="13"/>
      <c r="J26" s="21">
        <f>IF(H$12=0,0,H26/H$12)</f>
        <v>1</v>
      </c>
      <c r="K26" s="16"/>
      <c r="L26" s="20">
        <f>+D26-H26</f>
        <v>-11895.039999999999</v>
      </c>
      <c r="M26" s="16"/>
      <c r="N26" s="21">
        <f>IF(H26=0,0,L26/H26)</f>
        <v>-0.56643047619047615</v>
      </c>
      <c r="O26" s="25"/>
      <c r="P26" s="20">
        <f>P12-P24</f>
        <v>61477.1</v>
      </c>
      <c r="Q26" s="13"/>
      <c r="R26" s="21">
        <f>IF(P$12=0,0,P26/P$12)</f>
        <v>1</v>
      </c>
      <c r="S26" s="13"/>
      <c r="T26" s="20">
        <f>T12-T24</f>
        <v>92513</v>
      </c>
      <c r="U26" s="13"/>
      <c r="V26" s="21">
        <f>IF(T$12=0,0,T26/T$12)</f>
        <v>1</v>
      </c>
      <c r="W26" s="16"/>
      <c r="X26" s="20">
        <f>+P26-T26</f>
        <v>-31035.9</v>
      </c>
      <c r="Y26" s="16"/>
      <c r="Z26" s="21">
        <f>IF(T26=0,0,X26/T26)</f>
        <v>-0.3354760952514782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9</v>
      </c>
      <c r="C28" s="10"/>
      <c r="D28" s="19">
        <f>SUM(OSRRefD22x_0)</f>
        <v>38313.039999999994</v>
      </c>
      <c r="E28" s="19"/>
      <c r="F28" s="35">
        <f t="shared" ref="F28:F38" si="5">IF(D$12=0,0,D28/D$12)</f>
        <v>4.2079306224299708</v>
      </c>
      <c r="G28" s="19"/>
      <c r="H28" s="19">
        <f>SUM(OSRRefH22x_0)</f>
        <v>34227.084716992344</v>
      </c>
      <c r="I28" s="19"/>
      <c r="J28" s="35">
        <f t="shared" ref="J28:J38" si="6">IF(H$12=0,0,H28/H$12)</f>
        <v>1.6298611769996354</v>
      </c>
      <c r="K28" s="4"/>
      <c r="L28" s="19">
        <f t="shared" ref="L28:L38" si="7">+D28-H28</f>
        <v>4085.95528300765</v>
      </c>
      <c r="M28" s="4"/>
      <c r="N28" s="35">
        <f t="shared" ref="N28:N38" si="8">IF(H28=0,0,L28/H28)</f>
        <v>0.11937783532522538</v>
      </c>
      <c r="O28" s="10"/>
      <c r="P28" s="19">
        <f>SUM(OSRRefP22x_0)</f>
        <v>37056.379999999976</v>
      </c>
      <c r="Q28" s="19"/>
      <c r="R28" s="35">
        <f t="shared" ref="R28:R38" si="9">IF(P$12=0,0,P28/P$12)</f>
        <v>0.60276720925352656</v>
      </c>
      <c r="S28" s="19"/>
      <c r="T28" s="19">
        <f>SUM(OSRRefT22x_0)</f>
        <v>97641.035610225095</v>
      </c>
      <c r="U28" s="19"/>
      <c r="V28" s="35">
        <f t="shared" ref="V28:V38" si="10">IF(T$12=0,0,T28/T$12)</f>
        <v>1.0554304325902857</v>
      </c>
      <c r="W28" s="4"/>
      <c r="X28" s="19">
        <f t="shared" ref="X28:X38" si="11">+P28-T28</f>
        <v>-60584.65561022512</v>
      </c>
      <c r="Y28" s="4"/>
      <c r="Z28" s="35">
        <f t="shared" ref="Z28:Z38" si="12">IF(T28=0,0,X28/T28)</f>
        <v>-0.62048354190008836</v>
      </c>
    </row>
    <row r="29" spans="1:26" s="28" customFormat="1" outlineLevel="1" collapsed="1" x14ac:dyDescent="0.25">
      <c r="A29" s="27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9025.3599999999988</v>
      </c>
      <c r="E29" s="1"/>
      <c r="F29" s="5">
        <f t="shared" si="5"/>
        <v>0.99125751238885151</v>
      </c>
      <c r="G29" s="1"/>
      <c r="H29" s="1">
        <f>SUM(OSRRefH22_0x_0)</f>
        <v>6438.576155453844</v>
      </c>
      <c r="I29" s="1"/>
      <c r="J29" s="5">
        <f t="shared" si="6"/>
        <v>0.30659886454542112</v>
      </c>
      <c r="K29" s="1"/>
      <c r="L29" s="1">
        <f t="shared" si="7"/>
        <v>2586.7838445461548</v>
      </c>
      <c r="M29" s="1"/>
      <c r="N29" s="5">
        <f t="shared" si="8"/>
        <v>0.40176333743524961</v>
      </c>
      <c r="O29" s="14"/>
      <c r="P29" s="1">
        <f>SUM(OSRRefP22_0x_0)</f>
        <v>25858.910000000003</v>
      </c>
      <c r="Q29" s="1"/>
      <c r="R29" s="5">
        <f t="shared" si="9"/>
        <v>0.42062670490312659</v>
      </c>
      <c r="S29" s="1"/>
      <c r="T29" s="1">
        <f>SUM(OSRRefT22_0x_0)</f>
        <v>20166.132785224992</v>
      </c>
      <c r="U29" s="1"/>
      <c r="V29" s="5">
        <f t="shared" si="10"/>
        <v>0.21798161107330855</v>
      </c>
      <c r="W29" s="1"/>
      <c r="X29" s="1">
        <f t="shared" si="11"/>
        <v>5692.7772147750111</v>
      </c>
      <c r="Y29" s="1"/>
      <c r="Z29" s="5">
        <f t="shared" si="12"/>
        <v>0.28229394675740238</v>
      </c>
    </row>
    <row r="30" spans="1:26" s="24" customFormat="1" hidden="1" outlineLevel="2" x14ac:dyDescent="0.25">
      <c r="A30" s="29"/>
      <c r="B30" s="11" t="str">
        <f>CONCATENATE("          ", "6111", " - ", "F.I.C.A.")</f>
        <v xml:space="preserve">          6111 - F.I.C.A.</v>
      </c>
      <c r="C30" s="11"/>
      <c r="D30" s="6">
        <v>1220.78</v>
      </c>
      <c r="E30" s="2"/>
      <c r="F30" s="7">
        <f t="shared" si="5"/>
        <v>0.1340785681650441</v>
      </c>
      <c r="G30" s="2"/>
      <c r="H30" s="6">
        <v>1068.6674513769199</v>
      </c>
      <c r="I30" s="2"/>
      <c r="J30" s="7">
        <f t="shared" si="6"/>
        <v>5.0888926256043805E-2</v>
      </c>
      <c r="K30" s="2"/>
      <c r="L30" s="6">
        <f t="shared" si="7"/>
        <v>152.1125486230801</v>
      </c>
      <c r="M30" s="2"/>
      <c r="N30" s="7">
        <f t="shared" si="8"/>
        <v>0.14233852488638196</v>
      </c>
      <c r="O30" s="11"/>
      <c r="P30" s="6">
        <v>3554.26</v>
      </c>
      <c r="Q30" s="2"/>
      <c r="R30" s="7">
        <f t="shared" si="9"/>
        <v>5.7814373156834013E-2</v>
      </c>
      <c r="S30" s="2"/>
      <c r="T30" s="6">
        <v>3460.80962197499</v>
      </c>
      <c r="U30" s="2"/>
      <c r="V30" s="7">
        <f t="shared" si="10"/>
        <v>3.7408900608292779E-2</v>
      </c>
      <c r="W30" s="2"/>
      <c r="X30" s="6">
        <f t="shared" si="11"/>
        <v>93.450378025010195</v>
      </c>
      <c r="Y30" s="2"/>
      <c r="Z30" s="7">
        <f t="shared" si="12"/>
        <v>2.7002461340731192E-2</v>
      </c>
    </row>
    <row r="31" spans="1:26" s="24" customFormat="1" hidden="1" outlineLevel="2" x14ac:dyDescent="0.25">
      <c r="A31" s="29"/>
      <c r="B31" s="11" t="str">
        <f>CONCATENATE("          ", "6112", " - ", "COMPENSATION INSURANCE")</f>
        <v xml:space="preserve">          6112 - COMPENSATION INSURANCE</v>
      </c>
      <c r="C31" s="11"/>
      <c r="D31" s="6">
        <v>316.77</v>
      </c>
      <c r="E31" s="2"/>
      <c r="F31" s="7">
        <f t="shared" si="5"/>
        <v>3.4790927143007765E-2</v>
      </c>
      <c r="G31" s="2"/>
      <c r="H31" s="6">
        <v>286.473111923077</v>
      </c>
      <c r="I31" s="2"/>
      <c r="J31" s="7">
        <f t="shared" si="6"/>
        <v>1.3641576758241762E-2</v>
      </c>
      <c r="K31" s="2"/>
      <c r="L31" s="6">
        <f t="shared" si="7"/>
        <v>30.296888076922983</v>
      </c>
      <c r="M31" s="2"/>
      <c r="N31" s="7">
        <f t="shared" si="8"/>
        <v>0.10575822587167701</v>
      </c>
      <c r="O31" s="11"/>
      <c r="P31" s="6">
        <v>922.34</v>
      </c>
      <c r="Q31" s="2"/>
      <c r="R31" s="7">
        <f t="shared" si="9"/>
        <v>1.5002984851269822E-2</v>
      </c>
      <c r="S31" s="2"/>
      <c r="T31" s="6">
        <v>881.21248875000003</v>
      </c>
      <c r="U31" s="2"/>
      <c r="V31" s="7">
        <f t="shared" si="10"/>
        <v>9.5252828116048557E-3</v>
      </c>
      <c r="W31" s="2"/>
      <c r="X31" s="6">
        <f t="shared" si="11"/>
        <v>41.127511249999998</v>
      </c>
      <c r="Y31" s="2"/>
      <c r="Z31" s="7">
        <f t="shared" si="12"/>
        <v>4.6671502929264398E-2</v>
      </c>
    </row>
    <row r="32" spans="1:26" s="24" customFormat="1" hidden="1" outlineLevel="2" x14ac:dyDescent="0.25">
      <c r="A32" s="29"/>
      <c r="B32" s="11" t="str">
        <f>CONCATENATE("          ", "6113", " - ", "GROUP INSURANCE")</f>
        <v xml:space="preserve">          6113 - GROUP INSURANCE</v>
      </c>
      <c r="C32" s="11"/>
      <c r="D32" s="6">
        <v>3423.78</v>
      </c>
      <c r="E32" s="2"/>
      <c r="F32" s="7">
        <f t="shared" si="5"/>
        <v>0.37603460092081675</v>
      </c>
      <c r="G32" s="2"/>
      <c r="H32" s="6">
        <v>2645</v>
      </c>
      <c r="I32" s="2"/>
      <c r="J32" s="7">
        <f t="shared" si="6"/>
        <v>0.12595238095238095</v>
      </c>
      <c r="K32" s="2"/>
      <c r="L32" s="6">
        <f t="shared" si="7"/>
        <v>778.7800000000002</v>
      </c>
      <c r="M32" s="2"/>
      <c r="N32" s="7">
        <f t="shared" si="8"/>
        <v>0.29443478260869571</v>
      </c>
      <c r="O32" s="11"/>
      <c r="P32" s="6">
        <v>9469.99</v>
      </c>
      <c r="Q32" s="2"/>
      <c r="R32" s="7">
        <f t="shared" si="9"/>
        <v>0.15404093556787812</v>
      </c>
      <c r="S32" s="2"/>
      <c r="T32" s="6">
        <v>7935</v>
      </c>
      <c r="U32" s="2"/>
      <c r="V32" s="7">
        <f t="shared" si="10"/>
        <v>8.5771729378573816E-2</v>
      </c>
      <c r="W32" s="2"/>
      <c r="X32" s="6">
        <f t="shared" si="11"/>
        <v>1534.9899999999998</v>
      </c>
      <c r="Y32" s="2"/>
      <c r="Z32" s="7">
        <f t="shared" si="12"/>
        <v>0.19344549464398234</v>
      </c>
    </row>
    <row r="33" spans="1:26" s="24" customFormat="1" hidden="1" outlineLevel="2" x14ac:dyDescent="0.25">
      <c r="A33" s="29"/>
      <c r="B33" s="11" t="str">
        <f>CONCATENATE("          ", "6114", " - ", "STATE UNEMPLOYMENT INSURANCE")</f>
        <v xml:space="preserve">          6114 - STATE UNEMPLOYMENT INSURANCE</v>
      </c>
      <c r="C33" s="11"/>
      <c r="D33" s="6">
        <v>44.52</v>
      </c>
      <c r="E33" s="2"/>
      <c r="F33" s="7">
        <f t="shared" si="5"/>
        <v>4.889642568446209E-3</v>
      </c>
      <c r="G33" s="2"/>
      <c r="H33" s="6">
        <v>44.959285999999999</v>
      </c>
      <c r="I33" s="2"/>
      <c r="J33" s="7">
        <f t="shared" si="6"/>
        <v>2.1409183809523811E-3</v>
      </c>
      <c r="K33" s="2"/>
      <c r="L33" s="6">
        <f t="shared" si="7"/>
        <v>-0.43928599999999562</v>
      </c>
      <c r="M33" s="2"/>
      <c r="N33" s="7">
        <f t="shared" si="8"/>
        <v>-9.7707512525887445E-3</v>
      </c>
      <c r="O33" s="11"/>
      <c r="P33" s="6">
        <v>129.62</v>
      </c>
      <c r="Q33" s="2"/>
      <c r="R33" s="7">
        <f t="shared" si="9"/>
        <v>2.1084273656369608E-3</v>
      </c>
      <c r="S33" s="2"/>
      <c r="T33" s="6">
        <v>131.6876795</v>
      </c>
      <c r="U33" s="2"/>
      <c r="V33" s="7">
        <f t="shared" si="10"/>
        <v>1.4234505366813313E-3</v>
      </c>
      <c r="W33" s="2"/>
      <c r="X33" s="6">
        <f t="shared" si="11"/>
        <v>-2.067679499999997</v>
      </c>
      <c r="Y33" s="2"/>
      <c r="Z33" s="7">
        <f t="shared" si="12"/>
        <v>-1.5701389134129263E-2</v>
      </c>
    </row>
    <row r="34" spans="1:26" s="24" customFormat="1" hidden="1" outlineLevel="2" x14ac:dyDescent="0.25">
      <c r="A34" s="29"/>
      <c r="B34" s="11" t="str">
        <f>CONCATENATE("          ", "6115", " - ", "P.E.R.S.")</f>
        <v xml:space="preserve">          6115 - P.E.R.S.</v>
      </c>
      <c r="C34" s="11"/>
      <c r="D34" s="6">
        <v>1614.45</v>
      </c>
      <c r="E34" s="2"/>
      <c r="F34" s="7">
        <f t="shared" si="5"/>
        <v>0.17731544125399781</v>
      </c>
      <c r="G34" s="2"/>
      <c r="H34" s="6">
        <v>991.92684461538511</v>
      </c>
      <c r="I34" s="2"/>
      <c r="J34" s="7">
        <f t="shared" si="6"/>
        <v>4.7234611648351674E-2</v>
      </c>
      <c r="K34" s="2"/>
      <c r="L34" s="6">
        <f t="shared" si="7"/>
        <v>622.52315538461494</v>
      </c>
      <c r="M34" s="2"/>
      <c r="N34" s="7">
        <f t="shared" si="8"/>
        <v>0.62758978523864362</v>
      </c>
      <c r="O34" s="11"/>
      <c r="P34" s="6">
        <v>5295.36</v>
      </c>
      <c r="Q34" s="2"/>
      <c r="R34" s="7">
        <f t="shared" si="9"/>
        <v>8.6135487848320758E-2</v>
      </c>
      <c r="S34" s="2"/>
      <c r="T34" s="6">
        <v>3223.7622449999999</v>
      </c>
      <c r="U34" s="2"/>
      <c r="V34" s="7">
        <f t="shared" si="10"/>
        <v>3.4846586371645068E-2</v>
      </c>
      <c r="W34" s="2"/>
      <c r="X34" s="6">
        <f t="shared" si="11"/>
        <v>2071.5977549999998</v>
      </c>
      <c r="Y34" s="2"/>
      <c r="Z34" s="7">
        <f t="shared" si="12"/>
        <v>0.64260252387191785</v>
      </c>
    </row>
    <row r="35" spans="1:26" s="24" customFormat="1" hidden="1" outlineLevel="2" x14ac:dyDescent="0.25">
      <c r="A35" s="29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5"/>
        <v>0</v>
      </c>
      <c r="G35" s="2"/>
      <c r="H35" s="6">
        <v>0</v>
      </c>
      <c r="I35" s="2"/>
      <c r="J35" s="7">
        <f t="shared" si="6"/>
        <v>0</v>
      </c>
      <c r="K35" s="2"/>
      <c r="L35" s="6">
        <f t="shared" si="7"/>
        <v>0</v>
      </c>
      <c r="M35" s="2"/>
      <c r="N35" s="7">
        <f t="shared" si="8"/>
        <v>0</v>
      </c>
      <c r="O35" s="11"/>
      <c r="P35" s="6"/>
      <c r="Q35" s="2"/>
      <c r="R35" s="7">
        <f t="shared" si="9"/>
        <v>0</v>
      </c>
      <c r="S35" s="2"/>
      <c r="T35" s="6">
        <v>0</v>
      </c>
      <c r="U35" s="2"/>
      <c r="V35" s="7">
        <f t="shared" si="10"/>
        <v>0</v>
      </c>
      <c r="W35" s="2"/>
      <c r="X35" s="6">
        <f t="shared" si="11"/>
        <v>0</v>
      </c>
      <c r="Y35" s="2"/>
      <c r="Z35" s="7">
        <f t="shared" si="12"/>
        <v>0</v>
      </c>
    </row>
    <row r="36" spans="1:26" s="24" customFormat="1" hidden="1" outlineLevel="2" x14ac:dyDescent="0.25">
      <c r="A36" s="29"/>
      <c r="B36" s="11" t="str">
        <f>CONCATENATE("          ", "6118", " - ", "VACATION")</f>
        <v xml:space="preserve">          6118 - VACATION</v>
      </c>
      <c r="C36" s="11"/>
      <c r="D36" s="6">
        <v>1216.0999999999999</v>
      </c>
      <c r="E36" s="2"/>
      <c r="F36" s="7">
        <f t="shared" si="5"/>
        <v>0.13356456261202682</v>
      </c>
      <c r="G36" s="2"/>
      <c r="H36" s="6">
        <v>956.61308461538511</v>
      </c>
      <c r="I36" s="2"/>
      <c r="J36" s="7">
        <f t="shared" si="6"/>
        <v>4.5553004029304053E-2</v>
      </c>
      <c r="K36" s="2"/>
      <c r="L36" s="6">
        <f t="shared" si="7"/>
        <v>259.4869153846148</v>
      </c>
      <c r="M36" s="2"/>
      <c r="N36" s="7">
        <f t="shared" si="8"/>
        <v>0.27125587090306613</v>
      </c>
      <c r="O36" s="11"/>
      <c r="P36" s="6">
        <v>3411.08</v>
      </c>
      <c r="Q36" s="2"/>
      <c r="R36" s="7">
        <f t="shared" si="9"/>
        <v>5.5485375855399817E-2</v>
      </c>
      <c r="S36" s="2"/>
      <c r="T36" s="6">
        <v>3108.9925250000001</v>
      </c>
      <c r="U36" s="2"/>
      <c r="V36" s="7">
        <f t="shared" si="10"/>
        <v>3.3606006993611708E-2</v>
      </c>
      <c r="W36" s="2"/>
      <c r="X36" s="6">
        <f t="shared" si="11"/>
        <v>302.08747499999981</v>
      </c>
      <c r="Y36" s="2"/>
      <c r="Z36" s="7">
        <f t="shared" si="12"/>
        <v>9.716571287028096E-2</v>
      </c>
    </row>
    <row r="37" spans="1:26" s="24" customFormat="1" hidden="1" outlineLevel="2" x14ac:dyDescent="0.25">
      <c r="A37" s="29"/>
      <c r="B37" s="11" t="str">
        <f>CONCATENATE("          ", "6119", " - ", "SICK LEAVE")</f>
        <v xml:space="preserve">          6119 - SICK LEAVE</v>
      </c>
      <c r="C37" s="11"/>
      <c r="D37" s="6">
        <v>738.5</v>
      </c>
      <c r="E37" s="2"/>
      <c r="F37" s="7">
        <f t="shared" si="5"/>
        <v>8.1109636945137592E-2</v>
      </c>
      <c r="G37" s="2"/>
      <c r="H37" s="6">
        <v>444.93637692307703</v>
      </c>
      <c r="I37" s="2"/>
      <c r="J37" s="7">
        <f t="shared" si="6"/>
        <v>2.1187446520146525E-2</v>
      </c>
      <c r="K37" s="2"/>
      <c r="L37" s="6">
        <f t="shared" si="7"/>
        <v>293.56362307692297</v>
      </c>
      <c r="M37" s="2"/>
      <c r="N37" s="7">
        <f t="shared" si="8"/>
        <v>0.65978786699131997</v>
      </c>
      <c r="O37" s="11"/>
      <c r="P37" s="6">
        <v>2109.52</v>
      </c>
      <c r="Q37" s="2"/>
      <c r="R37" s="7">
        <f t="shared" si="9"/>
        <v>3.431391526275638E-2</v>
      </c>
      <c r="S37" s="2"/>
      <c r="T37" s="6">
        <v>1424.6682249999999</v>
      </c>
      <c r="U37" s="2"/>
      <c r="V37" s="7">
        <f t="shared" si="10"/>
        <v>1.5399654372898943E-2</v>
      </c>
      <c r="W37" s="2"/>
      <c r="X37" s="6">
        <f t="shared" si="11"/>
        <v>684.85177500000009</v>
      </c>
      <c r="Y37" s="2"/>
      <c r="Z37" s="7">
        <f t="shared" si="12"/>
        <v>0.48070965785735842</v>
      </c>
    </row>
    <row r="38" spans="1:26" s="24" customFormat="1" hidden="1" outlineLevel="2" x14ac:dyDescent="0.25">
      <c r="A38" s="29"/>
      <c r="B38" s="11" t="str">
        <f>CONCATENATE("          ", "6156", " - ", "EMPLOYEE MEALS")</f>
        <v xml:space="preserve">          6156 - EMPLOYEE MEALS</v>
      </c>
      <c r="C38" s="11"/>
      <c r="D38" s="6">
        <v>450.46</v>
      </c>
      <c r="E38" s="2"/>
      <c r="F38" s="7">
        <f t="shared" si="5"/>
        <v>4.9474132780374644E-2</v>
      </c>
      <c r="G38" s="2"/>
      <c r="H38" s="6"/>
      <c r="I38" s="2"/>
      <c r="J38" s="7">
        <f t="shared" si="6"/>
        <v>0</v>
      </c>
      <c r="K38" s="2"/>
      <c r="L38" s="6">
        <f t="shared" si="7"/>
        <v>450.46</v>
      </c>
      <c r="M38" s="2"/>
      <c r="N38" s="7">
        <f t="shared" si="8"/>
        <v>0</v>
      </c>
      <c r="O38" s="11"/>
      <c r="P38" s="6">
        <v>966.74</v>
      </c>
      <c r="Q38" s="2"/>
      <c r="R38" s="7">
        <f t="shared" si="9"/>
        <v>1.5725204995030672E-2</v>
      </c>
      <c r="S38" s="2"/>
      <c r="T38" s="6"/>
      <c r="U38" s="2"/>
      <c r="V38" s="7">
        <f t="shared" si="10"/>
        <v>0</v>
      </c>
      <c r="W38" s="2"/>
      <c r="X38" s="6">
        <f t="shared" si="11"/>
        <v>966.74</v>
      </c>
      <c r="Y38" s="2"/>
      <c r="Z38" s="7">
        <f t="shared" si="12"/>
        <v>0</v>
      </c>
    </row>
    <row r="39" spans="1:26" s="28" customFormat="1" outlineLevel="1" collapsed="1" x14ac:dyDescent="0.25">
      <c r="A39" s="27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15984.94</v>
      </c>
      <c r="E39" s="1"/>
      <c r="F39" s="5">
        <f t="shared" ref="F39:F49" si="13">IF(D$12=0,0,D39/D$12)</f>
        <v>1.755629898428988</v>
      </c>
      <c r="G39" s="1"/>
      <c r="H39" s="1">
        <f>SUM(OSRRefH22_1x_0)</f>
        <v>10197.5085615385</v>
      </c>
      <c r="I39" s="1"/>
      <c r="J39" s="5">
        <f t="shared" ref="J39:J49" si="14">IF(H$12=0,0,H39/H$12)</f>
        <v>0.4855956457875476</v>
      </c>
      <c r="K39" s="1"/>
      <c r="L39" s="1">
        <f t="shared" ref="L39:L49" si="15">+D39-H39</f>
        <v>5787.4314384615009</v>
      </c>
      <c r="M39" s="1"/>
      <c r="N39" s="5">
        <f t="shared" ref="N39:N49" si="16">IF(H39=0,0,L39/H39)</f>
        <v>0.56753386413321627</v>
      </c>
      <c r="O39" s="14"/>
      <c r="P39" s="1">
        <f>SUM(OSRRefP22_1x_0)</f>
        <v>44550.659999999996</v>
      </c>
      <c r="Q39" s="1"/>
      <c r="R39" s="5">
        <f t="shared" ref="R39:R49" si="17">IF(P$12=0,0,P39/P$12)</f>
        <v>0.72467081238379816</v>
      </c>
      <c r="S39" s="1"/>
      <c r="T39" s="1">
        <f>SUM(OSRRefT22_1x_0)</f>
        <v>33141.902825000099</v>
      </c>
      <c r="U39" s="1"/>
      <c r="V39" s="5">
        <f t="shared" ref="V39:V49" si="18">IF(T$12=0,0,T39/T$12)</f>
        <v>0.35824049403867669</v>
      </c>
      <c r="W39" s="1"/>
      <c r="X39" s="1">
        <f t="shared" ref="X39:X49" si="19">+P39-T39</f>
        <v>11408.757174999897</v>
      </c>
      <c r="Y39" s="1"/>
      <c r="Z39" s="5">
        <f t="shared" ref="Z39:Z49" si="20">IF(T39=0,0,X39/T39)</f>
        <v>0.34423965441096738</v>
      </c>
    </row>
    <row r="40" spans="1:26" s="24" customFormat="1" hidden="1" outlineLevel="2" x14ac:dyDescent="0.25">
      <c r="A40" s="29"/>
      <c r="B40" s="11" t="str">
        <f>CONCATENATE("          ", "6001", " - ", "ADMINISTRATIVE SALARIES")</f>
        <v xml:space="preserve">          6001 - ADMINISTRATIVE SALARIES</v>
      </c>
      <c r="C40" s="11"/>
      <c r="D40" s="6"/>
      <c r="E40" s="2"/>
      <c r="F40" s="7">
        <f t="shared" si="13"/>
        <v>0</v>
      </c>
      <c r="G40" s="2"/>
      <c r="H40" s="6">
        <v>0</v>
      </c>
      <c r="I40" s="2"/>
      <c r="J40" s="7">
        <f t="shared" si="14"/>
        <v>0</v>
      </c>
      <c r="K40" s="2"/>
      <c r="L40" s="6">
        <f t="shared" si="15"/>
        <v>0</v>
      </c>
      <c r="M40" s="2"/>
      <c r="N40" s="7">
        <f t="shared" si="16"/>
        <v>0</v>
      </c>
      <c r="O40" s="11"/>
      <c r="P40" s="6"/>
      <c r="Q40" s="2"/>
      <c r="R40" s="7">
        <f t="shared" si="17"/>
        <v>0</v>
      </c>
      <c r="S40" s="2"/>
      <c r="T40" s="6">
        <v>0</v>
      </c>
      <c r="U40" s="2"/>
      <c r="V40" s="7">
        <f t="shared" si="18"/>
        <v>0</v>
      </c>
      <c r="W40" s="2"/>
      <c r="X40" s="6">
        <f t="shared" si="19"/>
        <v>0</v>
      </c>
      <c r="Y40" s="2"/>
      <c r="Z40" s="7">
        <f t="shared" si="20"/>
        <v>0</v>
      </c>
    </row>
    <row r="41" spans="1:26" s="24" customFormat="1" hidden="1" outlineLevel="2" x14ac:dyDescent="0.25">
      <c r="A41" s="29"/>
      <c r="B41" s="11" t="str">
        <f>CONCATENATE("          ", "6002", " - ", "STAFF SALARIES")</f>
        <v xml:space="preserve">          6002 - STAFF SALARIES</v>
      </c>
      <c r="C41" s="11"/>
      <c r="D41" s="6">
        <v>14903.76</v>
      </c>
      <c r="E41" s="2"/>
      <c r="F41" s="7">
        <f t="shared" si="13"/>
        <v>1.6368836326573646</v>
      </c>
      <c r="G41" s="2"/>
      <c r="H41" s="6">
        <v>10197.5085615385</v>
      </c>
      <c r="I41" s="2"/>
      <c r="J41" s="7">
        <f t="shared" si="14"/>
        <v>0.4855956457875476</v>
      </c>
      <c r="K41" s="2"/>
      <c r="L41" s="6">
        <f t="shared" si="15"/>
        <v>4706.2514384615006</v>
      </c>
      <c r="M41" s="2"/>
      <c r="N41" s="7">
        <f t="shared" si="16"/>
        <v>0.46150992765153098</v>
      </c>
      <c r="O41" s="11"/>
      <c r="P41" s="6">
        <v>42013.96</v>
      </c>
      <c r="Q41" s="2"/>
      <c r="R41" s="7">
        <f t="shared" si="17"/>
        <v>0.68340829349465082</v>
      </c>
      <c r="S41" s="2"/>
      <c r="T41" s="6">
        <v>33141.902825000099</v>
      </c>
      <c r="U41" s="2"/>
      <c r="V41" s="7">
        <f t="shared" si="18"/>
        <v>0.35824049403867669</v>
      </c>
      <c r="W41" s="2"/>
      <c r="X41" s="6">
        <f t="shared" si="19"/>
        <v>8872.0571749998999</v>
      </c>
      <c r="Y41" s="2"/>
      <c r="Z41" s="7">
        <f t="shared" si="20"/>
        <v>0.26769908842733664</v>
      </c>
    </row>
    <row r="42" spans="1:26" s="24" customFormat="1" hidden="1" outlineLevel="2" x14ac:dyDescent="0.25">
      <c r="A42" s="29"/>
      <c r="B42" s="11" t="str">
        <f>CONCATENATE("          ", "6003", " - ", "STAFF HOURLY-9 MONTH")</f>
        <v xml:space="preserve">          6003 - STAFF HOURLY-9 MONTH</v>
      </c>
      <c r="C42" s="11"/>
      <c r="D42" s="6"/>
      <c r="E42" s="2"/>
      <c r="F42" s="7">
        <f t="shared" si="13"/>
        <v>0</v>
      </c>
      <c r="G42" s="2"/>
      <c r="H42" s="6">
        <v>0</v>
      </c>
      <c r="I42" s="2"/>
      <c r="J42" s="7">
        <f t="shared" si="14"/>
        <v>0</v>
      </c>
      <c r="K42" s="2"/>
      <c r="L42" s="6">
        <f t="shared" si="15"/>
        <v>0</v>
      </c>
      <c r="M42" s="2"/>
      <c r="N42" s="7">
        <f t="shared" si="16"/>
        <v>0</v>
      </c>
      <c r="O42" s="11"/>
      <c r="P42" s="6"/>
      <c r="Q42" s="2"/>
      <c r="R42" s="7">
        <f t="shared" si="17"/>
        <v>0</v>
      </c>
      <c r="S42" s="2"/>
      <c r="T42" s="6">
        <v>0</v>
      </c>
      <c r="U42" s="2"/>
      <c r="V42" s="7">
        <f t="shared" si="18"/>
        <v>0</v>
      </c>
      <c r="W42" s="2"/>
      <c r="X42" s="6">
        <f t="shared" si="19"/>
        <v>0</v>
      </c>
      <c r="Y42" s="2"/>
      <c r="Z42" s="7">
        <f t="shared" si="20"/>
        <v>0</v>
      </c>
    </row>
    <row r="43" spans="1:26" s="24" customFormat="1" hidden="1" outlineLevel="2" x14ac:dyDescent="0.25">
      <c r="A43" s="29"/>
      <c r="B43" s="11" t="str">
        <f>CONCATENATE("          ", "6004", " - ", "STAFF HOURLY")</f>
        <v xml:space="preserve">          6004 - STAFF HOURLY</v>
      </c>
      <c r="C43" s="11"/>
      <c r="D43" s="6"/>
      <c r="E43" s="2"/>
      <c r="F43" s="7">
        <f t="shared" si="13"/>
        <v>0</v>
      </c>
      <c r="G43" s="2"/>
      <c r="H43" s="6">
        <v>0</v>
      </c>
      <c r="I43" s="2"/>
      <c r="J43" s="7">
        <f t="shared" si="14"/>
        <v>0</v>
      </c>
      <c r="K43" s="2"/>
      <c r="L43" s="6">
        <f t="shared" si="15"/>
        <v>0</v>
      </c>
      <c r="M43" s="2"/>
      <c r="N43" s="7">
        <f t="shared" si="16"/>
        <v>0</v>
      </c>
      <c r="O43" s="11"/>
      <c r="P43" s="6"/>
      <c r="Q43" s="2"/>
      <c r="R43" s="7">
        <f t="shared" si="17"/>
        <v>0</v>
      </c>
      <c r="S43" s="2"/>
      <c r="T43" s="6">
        <v>0</v>
      </c>
      <c r="U43" s="2"/>
      <c r="V43" s="7">
        <f t="shared" si="18"/>
        <v>0</v>
      </c>
      <c r="W43" s="2"/>
      <c r="X43" s="6">
        <f t="shared" si="19"/>
        <v>0</v>
      </c>
      <c r="Y43" s="2"/>
      <c r="Z43" s="7">
        <f t="shared" si="20"/>
        <v>0</v>
      </c>
    </row>
    <row r="44" spans="1:26" s="24" customFormat="1" hidden="1" outlineLevel="2" x14ac:dyDescent="0.25">
      <c r="A44" s="29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13"/>
        <v>0</v>
      </c>
      <c r="G44" s="2"/>
      <c r="H44" s="6">
        <v>0</v>
      </c>
      <c r="I44" s="2"/>
      <c r="J44" s="7">
        <f t="shared" si="14"/>
        <v>0</v>
      </c>
      <c r="K44" s="2"/>
      <c r="L44" s="6">
        <f t="shared" si="15"/>
        <v>0</v>
      </c>
      <c r="M44" s="2"/>
      <c r="N44" s="7">
        <f t="shared" si="16"/>
        <v>0</v>
      </c>
      <c r="O44" s="11"/>
      <c r="P44" s="6">
        <v>383.25</v>
      </c>
      <c r="Q44" s="2"/>
      <c r="R44" s="7">
        <f t="shared" si="17"/>
        <v>6.234028605773532E-3</v>
      </c>
      <c r="S44" s="2"/>
      <c r="T44" s="6">
        <v>0</v>
      </c>
      <c r="U44" s="2"/>
      <c r="V44" s="7">
        <f t="shared" si="18"/>
        <v>0</v>
      </c>
      <c r="W44" s="2"/>
      <c r="X44" s="6">
        <f t="shared" si="19"/>
        <v>383.25</v>
      </c>
      <c r="Y44" s="2"/>
      <c r="Z44" s="7">
        <f t="shared" si="20"/>
        <v>0</v>
      </c>
    </row>
    <row r="45" spans="1:26" s="24" customFormat="1" hidden="1" outlineLevel="2" x14ac:dyDescent="0.25">
      <c r="A45" s="29"/>
      <c r="B45" s="11" t="str">
        <f>CONCATENATE("          ", "6006", " - ", "TEMPORARY PART TIME")</f>
        <v xml:space="preserve">          6006 - TEMPORARY PART TIME</v>
      </c>
      <c r="C45" s="11"/>
      <c r="D45" s="6"/>
      <c r="E45" s="2"/>
      <c r="F45" s="7">
        <f t="shared" si="13"/>
        <v>0</v>
      </c>
      <c r="G45" s="2"/>
      <c r="H45" s="6">
        <v>0</v>
      </c>
      <c r="I45" s="2"/>
      <c r="J45" s="7">
        <f t="shared" si="14"/>
        <v>0</v>
      </c>
      <c r="K45" s="2"/>
      <c r="L45" s="6">
        <f t="shared" si="15"/>
        <v>0</v>
      </c>
      <c r="M45" s="2"/>
      <c r="N45" s="7">
        <f t="shared" si="16"/>
        <v>0</v>
      </c>
      <c r="O45" s="11"/>
      <c r="P45" s="6"/>
      <c r="Q45" s="2"/>
      <c r="R45" s="7">
        <f t="shared" si="17"/>
        <v>0</v>
      </c>
      <c r="S45" s="2"/>
      <c r="T45" s="6">
        <v>0</v>
      </c>
      <c r="U45" s="2"/>
      <c r="V45" s="7">
        <f t="shared" si="18"/>
        <v>0</v>
      </c>
      <c r="W45" s="2"/>
      <c r="X45" s="6">
        <f t="shared" si="19"/>
        <v>0</v>
      </c>
      <c r="Y45" s="2"/>
      <c r="Z45" s="7">
        <f t="shared" si="20"/>
        <v>0</v>
      </c>
    </row>
    <row r="46" spans="1:26" s="24" customFormat="1" hidden="1" outlineLevel="2" x14ac:dyDescent="0.25">
      <c r="A46" s="29"/>
      <c r="B46" s="11" t="str">
        <f>CONCATENATE("          ", "6007", " - ", "STUDENT HOURLY")</f>
        <v xml:space="preserve">          6007 - STUDENT HOURLY</v>
      </c>
      <c r="C46" s="11"/>
      <c r="D46" s="6">
        <v>1081.18</v>
      </c>
      <c r="E46" s="2"/>
      <c r="F46" s="7">
        <f t="shared" si="13"/>
        <v>0.11874626577162338</v>
      </c>
      <c r="G46" s="2"/>
      <c r="H46" s="6">
        <v>0</v>
      </c>
      <c r="I46" s="2"/>
      <c r="J46" s="7">
        <f t="shared" si="14"/>
        <v>0</v>
      </c>
      <c r="K46" s="2"/>
      <c r="L46" s="6">
        <f t="shared" si="15"/>
        <v>1081.18</v>
      </c>
      <c r="M46" s="2"/>
      <c r="N46" s="7">
        <f t="shared" si="16"/>
        <v>0</v>
      </c>
      <c r="O46" s="11"/>
      <c r="P46" s="6">
        <v>2153.4499999999998</v>
      </c>
      <c r="Q46" s="2"/>
      <c r="R46" s="7">
        <f t="shared" si="17"/>
        <v>3.5028490283373806E-2</v>
      </c>
      <c r="S46" s="2"/>
      <c r="T46" s="6">
        <v>0</v>
      </c>
      <c r="U46" s="2"/>
      <c r="V46" s="7">
        <f t="shared" si="18"/>
        <v>0</v>
      </c>
      <c r="W46" s="2"/>
      <c r="X46" s="6">
        <f t="shared" si="19"/>
        <v>2153.4499999999998</v>
      </c>
      <c r="Y46" s="2"/>
      <c r="Z46" s="7">
        <f t="shared" si="20"/>
        <v>0</v>
      </c>
    </row>
    <row r="47" spans="1:26" s="24" customFormat="1" hidden="1" outlineLevel="2" x14ac:dyDescent="0.25">
      <c r="A47" s="29"/>
      <c r="B47" s="11" t="str">
        <f>CONCATENATE("          ", "6008", " - ", "STUDENT HOURLY-FICA EXEMPT")</f>
        <v xml:space="preserve">          6008 - STUDENT HOURLY-FICA EXEMPT</v>
      </c>
      <c r="C47" s="11"/>
      <c r="D47" s="6"/>
      <c r="E47" s="2"/>
      <c r="F47" s="7">
        <f t="shared" si="13"/>
        <v>0</v>
      </c>
      <c r="G47" s="2"/>
      <c r="H47" s="6">
        <v>0</v>
      </c>
      <c r="I47" s="2"/>
      <c r="J47" s="7">
        <f t="shared" si="14"/>
        <v>0</v>
      </c>
      <c r="K47" s="2"/>
      <c r="L47" s="6">
        <f t="shared" si="15"/>
        <v>0</v>
      </c>
      <c r="M47" s="2"/>
      <c r="N47" s="7">
        <f t="shared" si="16"/>
        <v>0</v>
      </c>
      <c r="O47" s="11"/>
      <c r="P47" s="6"/>
      <c r="Q47" s="2"/>
      <c r="R47" s="7">
        <f t="shared" si="17"/>
        <v>0</v>
      </c>
      <c r="S47" s="2"/>
      <c r="T47" s="6">
        <v>0</v>
      </c>
      <c r="U47" s="2"/>
      <c r="V47" s="7">
        <f t="shared" si="18"/>
        <v>0</v>
      </c>
      <c r="W47" s="2"/>
      <c r="X47" s="6">
        <f t="shared" si="19"/>
        <v>0</v>
      </c>
      <c r="Y47" s="2"/>
      <c r="Z47" s="7">
        <f t="shared" si="20"/>
        <v>0</v>
      </c>
    </row>
    <row r="48" spans="1:26" s="24" customFormat="1" hidden="1" outlineLevel="2" x14ac:dyDescent="0.25">
      <c r="A48" s="29"/>
      <c r="B48" s="11" t="str">
        <f>CONCATENATE("          ", "6009", " - ", "TEMPORARY-SEASONAL")</f>
        <v xml:space="preserve">          6009 - TEMPORARY-SEASONAL</v>
      </c>
      <c r="C48" s="11"/>
      <c r="D48" s="6"/>
      <c r="E48" s="2"/>
      <c r="F48" s="7">
        <f t="shared" si="13"/>
        <v>0</v>
      </c>
      <c r="G48" s="2"/>
      <c r="H48" s="6">
        <v>0</v>
      </c>
      <c r="I48" s="2"/>
      <c r="J48" s="7">
        <f t="shared" si="14"/>
        <v>0</v>
      </c>
      <c r="K48" s="2"/>
      <c r="L48" s="6">
        <f t="shared" si="15"/>
        <v>0</v>
      </c>
      <c r="M48" s="2"/>
      <c r="N48" s="7">
        <f t="shared" si="16"/>
        <v>0</v>
      </c>
      <c r="O48" s="11"/>
      <c r="P48" s="6"/>
      <c r="Q48" s="2"/>
      <c r="R48" s="7">
        <f t="shared" si="17"/>
        <v>0</v>
      </c>
      <c r="S48" s="2"/>
      <c r="T48" s="6">
        <v>0</v>
      </c>
      <c r="U48" s="2"/>
      <c r="V48" s="7">
        <f t="shared" si="18"/>
        <v>0</v>
      </c>
      <c r="W48" s="2"/>
      <c r="X48" s="6">
        <f t="shared" si="19"/>
        <v>0</v>
      </c>
      <c r="Y48" s="2"/>
      <c r="Z48" s="7">
        <f t="shared" si="20"/>
        <v>0</v>
      </c>
    </row>
    <row r="49" spans="1:26" s="24" customFormat="1" hidden="1" outlineLevel="2" x14ac:dyDescent="0.25">
      <c r="A49" s="29"/>
      <c r="B49" s="11" t="str">
        <f>CONCATENATE("          ", "6010", " - ", "GRATUITY")</f>
        <v xml:space="preserve">          6010 - GRATUITY</v>
      </c>
      <c r="C49" s="11"/>
      <c r="D49" s="6"/>
      <c r="E49" s="2"/>
      <c r="F49" s="7">
        <f t="shared" si="13"/>
        <v>0</v>
      </c>
      <c r="G49" s="2"/>
      <c r="H49" s="6">
        <v>0</v>
      </c>
      <c r="I49" s="2"/>
      <c r="J49" s="7">
        <f t="shared" si="14"/>
        <v>0</v>
      </c>
      <c r="K49" s="2"/>
      <c r="L49" s="6">
        <f t="shared" si="15"/>
        <v>0</v>
      </c>
      <c r="M49" s="2"/>
      <c r="N49" s="7">
        <f t="shared" si="16"/>
        <v>0</v>
      </c>
      <c r="O49" s="11"/>
      <c r="P49" s="6"/>
      <c r="Q49" s="2"/>
      <c r="R49" s="7">
        <f t="shared" si="17"/>
        <v>0</v>
      </c>
      <c r="S49" s="2"/>
      <c r="T49" s="6">
        <v>0</v>
      </c>
      <c r="U49" s="2"/>
      <c r="V49" s="7">
        <f t="shared" si="18"/>
        <v>0</v>
      </c>
      <c r="W49" s="2"/>
      <c r="X49" s="6">
        <f t="shared" si="19"/>
        <v>0</v>
      </c>
      <c r="Y49" s="2"/>
      <c r="Z49" s="7">
        <f t="shared" si="20"/>
        <v>0</v>
      </c>
    </row>
    <row r="50" spans="1:26" s="28" customFormat="1" outlineLevel="1" collapsed="1" x14ac:dyDescent="0.25">
      <c r="A50" s="27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0</v>
      </c>
      <c r="E50" s="1"/>
      <c r="F50" s="5">
        <f t="shared" ref="F50:F60" si="21">IF(D$12=0,0,D50/D$12)</f>
        <v>0</v>
      </c>
      <c r="G50" s="1"/>
      <c r="H50" s="1">
        <f>SUM(OSRRefH22_2x_0)</f>
        <v>50</v>
      </c>
      <c r="I50" s="1"/>
      <c r="J50" s="5">
        <f t="shared" ref="J50:J60" si="22">IF(H$12=0,0,H50/H$12)</f>
        <v>2.3809523809523812E-3</v>
      </c>
      <c r="K50" s="1"/>
      <c r="L50" s="1">
        <f t="shared" ref="L50:L60" si="23">+D50-H50</f>
        <v>-50</v>
      </c>
      <c r="M50" s="1"/>
      <c r="N50" s="5">
        <f t="shared" ref="N50:N60" si="24">IF(H50=0,0,L50/H50)</f>
        <v>-1</v>
      </c>
      <c r="O50" s="14"/>
      <c r="P50" s="1">
        <f>SUM(OSRRefP22_2x_0)</f>
        <v>0</v>
      </c>
      <c r="Q50" s="1"/>
      <c r="R50" s="5">
        <f t="shared" ref="R50:R60" si="25">IF(P$12=0,0,P50/P$12)</f>
        <v>0</v>
      </c>
      <c r="S50" s="1"/>
      <c r="T50" s="1">
        <f>SUM(OSRRefT22_2x_0)</f>
        <v>150</v>
      </c>
      <c r="U50" s="1"/>
      <c r="V50" s="5">
        <f t="shared" ref="V50:V60" si="26">IF(T$12=0,0,T50/T$12)</f>
        <v>1.621393750067558E-3</v>
      </c>
      <c r="W50" s="1"/>
      <c r="X50" s="1">
        <f t="shared" ref="X50:X60" si="27">+P50-T50</f>
        <v>-150</v>
      </c>
      <c r="Y50" s="1"/>
      <c r="Z50" s="5">
        <f t="shared" ref="Z50:Z60" si="28">IF(T50=0,0,X50/T50)</f>
        <v>-1</v>
      </c>
    </row>
    <row r="51" spans="1:26" s="24" customFormat="1" hidden="1" outlineLevel="2" x14ac:dyDescent="0.25">
      <c r="A51" s="29"/>
      <c r="B51" s="11" t="str">
        <f>CONCATENATE("          ", "6362", " - ", "ADVERTISING EXPENSE")</f>
        <v xml:space="preserve">          6362 - ADVERTISING EXPENSE</v>
      </c>
      <c r="C51" s="11"/>
      <c r="D51" s="6"/>
      <c r="E51" s="2"/>
      <c r="F51" s="7">
        <f t="shared" si="21"/>
        <v>0</v>
      </c>
      <c r="G51" s="2"/>
      <c r="H51" s="6">
        <v>50</v>
      </c>
      <c r="I51" s="2"/>
      <c r="J51" s="7">
        <f t="shared" si="22"/>
        <v>2.3809523809523812E-3</v>
      </c>
      <c r="K51" s="2"/>
      <c r="L51" s="6">
        <f t="shared" si="23"/>
        <v>-50</v>
      </c>
      <c r="M51" s="2"/>
      <c r="N51" s="7">
        <f t="shared" si="24"/>
        <v>-1</v>
      </c>
      <c r="O51" s="11"/>
      <c r="P51" s="6"/>
      <c r="Q51" s="2"/>
      <c r="R51" s="7">
        <f t="shared" si="25"/>
        <v>0</v>
      </c>
      <c r="S51" s="2"/>
      <c r="T51" s="6">
        <v>150</v>
      </c>
      <c r="U51" s="2"/>
      <c r="V51" s="7">
        <f t="shared" si="26"/>
        <v>1.621393750067558E-3</v>
      </c>
      <c r="W51" s="2"/>
      <c r="X51" s="6">
        <f t="shared" si="27"/>
        <v>-150</v>
      </c>
      <c r="Y51" s="2"/>
      <c r="Z51" s="7">
        <f t="shared" si="28"/>
        <v>-1</v>
      </c>
    </row>
    <row r="52" spans="1:26" s="28" customFormat="1" outlineLevel="1" collapsed="1" x14ac:dyDescent="0.25">
      <c r="A52" s="27"/>
      <c r="B52" s="14" t="str">
        <f>CONCATENATE("     ","Depreciation                                      ")</f>
        <v xml:space="preserve">     Depreciation                                      </v>
      </c>
      <c r="C52" s="14"/>
      <c r="D52" s="1">
        <f>SUM(OSRRefD22_3x_0)</f>
        <v>169.88</v>
      </c>
      <c r="E52" s="1"/>
      <c r="F52" s="5">
        <f t="shared" si="21"/>
        <v>1.8657962253540925E-2</v>
      </c>
      <c r="G52" s="1"/>
      <c r="H52" s="1">
        <f>SUM(OSRRefH22_3x_0)</f>
        <v>170</v>
      </c>
      <c r="I52" s="1"/>
      <c r="J52" s="5">
        <f t="shared" si="22"/>
        <v>8.0952380952380946E-3</v>
      </c>
      <c r="K52" s="1"/>
      <c r="L52" s="1">
        <f t="shared" si="23"/>
        <v>-0.12000000000000455</v>
      </c>
      <c r="M52" s="1"/>
      <c r="N52" s="5">
        <f t="shared" si="24"/>
        <v>-7.0588235294120319E-4</v>
      </c>
      <c r="O52" s="14"/>
      <c r="P52" s="1">
        <f>SUM(OSRRefP22_3x_0)</f>
        <v>509.64</v>
      </c>
      <c r="Q52" s="1"/>
      <c r="R52" s="5">
        <f t="shared" si="25"/>
        <v>8.2899160825738363E-3</v>
      </c>
      <c r="S52" s="1"/>
      <c r="T52" s="1">
        <f>SUM(OSRRefT22_3x_0)</f>
        <v>510</v>
      </c>
      <c r="U52" s="1"/>
      <c r="V52" s="5">
        <f t="shared" si="26"/>
        <v>5.5127387502296975E-3</v>
      </c>
      <c r="W52" s="1"/>
      <c r="X52" s="1">
        <f t="shared" si="27"/>
        <v>-0.36000000000001364</v>
      </c>
      <c r="Y52" s="1"/>
      <c r="Z52" s="5">
        <f t="shared" si="28"/>
        <v>-7.0588235294120319E-4</v>
      </c>
    </row>
    <row r="53" spans="1:26" s="24" customFormat="1" hidden="1" outlineLevel="2" x14ac:dyDescent="0.25">
      <c r="A53" s="29"/>
      <c r="B53" s="11" t="str">
        <f>CONCATENATE("          ", "6322", " - ", "EQUIPMENT DEPRECIATION EXPENSE")</f>
        <v xml:space="preserve">          6322 - EQUIPMENT DEPRECIATION EXPENSE</v>
      </c>
      <c r="C53" s="11"/>
      <c r="D53" s="6">
        <v>169.88</v>
      </c>
      <c r="E53" s="2"/>
      <c r="F53" s="7">
        <f t="shared" si="21"/>
        <v>1.8657962253540925E-2</v>
      </c>
      <c r="G53" s="2"/>
      <c r="H53" s="6">
        <v>170</v>
      </c>
      <c r="I53" s="2"/>
      <c r="J53" s="7">
        <f t="shared" si="22"/>
        <v>8.0952380952380946E-3</v>
      </c>
      <c r="K53" s="2"/>
      <c r="L53" s="6">
        <f t="shared" si="23"/>
        <v>-0.12000000000000455</v>
      </c>
      <c r="M53" s="2"/>
      <c r="N53" s="7">
        <f t="shared" si="24"/>
        <v>-7.0588235294120319E-4</v>
      </c>
      <c r="O53" s="11"/>
      <c r="P53" s="6">
        <v>509.64</v>
      </c>
      <c r="Q53" s="2"/>
      <c r="R53" s="7">
        <f t="shared" si="25"/>
        <v>8.2899160825738363E-3</v>
      </c>
      <c r="S53" s="2"/>
      <c r="T53" s="6">
        <v>510</v>
      </c>
      <c r="U53" s="2"/>
      <c r="V53" s="7">
        <f t="shared" si="26"/>
        <v>5.5127387502296975E-3</v>
      </c>
      <c r="W53" s="2"/>
      <c r="X53" s="6">
        <f t="shared" si="27"/>
        <v>-0.36000000000001364</v>
      </c>
      <c r="Y53" s="2"/>
      <c r="Z53" s="7">
        <f t="shared" si="28"/>
        <v>-7.0588235294120319E-4</v>
      </c>
    </row>
    <row r="54" spans="1:26" s="28" customFormat="1" outlineLevel="1" collapsed="1" x14ac:dyDescent="0.25">
      <c r="A54" s="27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0</v>
      </c>
      <c r="E54" s="1"/>
      <c r="F54" s="5">
        <f t="shared" si="21"/>
        <v>0</v>
      </c>
      <c r="G54" s="1"/>
      <c r="H54" s="1">
        <f>SUM(OSRRefH22_4x_0)</f>
        <v>50</v>
      </c>
      <c r="I54" s="1"/>
      <c r="J54" s="5">
        <f t="shared" si="22"/>
        <v>2.3809523809523812E-3</v>
      </c>
      <c r="K54" s="1"/>
      <c r="L54" s="1">
        <f t="shared" si="23"/>
        <v>-50</v>
      </c>
      <c r="M54" s="1"/>
      <c r="N54" s="5">
        <f t="shared" si="24"/>
        <v>-1</v>
      </c>
      <c r="O54" s="14"/>
      <c r="P54" s="1">
        <f>SUM(OSRRefP22_4x_0)</f>
        <v>0</v>
      </c>
      <c r="Q54" s="1"/>
      <c r="R54" s="5">
        <f t="shared" si="25"/>
        <v>0</v>
      </c>
      <c r="S54" s="1"/>
      <c r="T54" s="1">
        <f>SUM(OSRRefT22_4x_0)</f>
        <v>150</v>
      </c>
      <c r="U54" s="1"/>
      <c r="V54" s="5">
        <f t="shared" si="26"/>
        <v>1.621393750067558E-3</v>
      </c>
      <c r="W54" s="1"/>
      <c r="X54" s="1">
        <f t="shared" si="27"/>
        <v>-150</v>
      </c>
      <c r="Y54" s="1"/>
      <c r="Z54" s="5">
        <f t="shared" si="28"/>
        <v>-1</v>
      </c>
    </row>
    <row r="55" spans="1:26" s="24" customFormat="1" hidden="1" outlineLevel="2" x14ac:dyDescent="0.25">
      <c r="A55" s="29"/>
      <c r="B55" s="11" t="str">
        <f>CONCATENATE("          ", "6382", " - ", "DISCOUNTS/MARK DOWNS")</f>
        <v xml:space="preserve">          6382 - DISCOUNTS/MARK DOWNS</v>
      </c>
      <c r="C55" s="11"/>
      <c r="D55" s="6"/>
      <c r="E55" s="2"/>
      <c r="F55" s="7">
        <f t="shared" si="21"/>
        <v>0</v>
      </c>
      <c r="G55" s="2"/>
      <c r="H55" s="6">
        <v>50</v>
      </c>
      <c r="I55" s="2"/>
      <c r="J55" s="7">
        <f t="shared" si="22"/>
        <v>2.3809523809523812E-3</v>
      </c>
      <c r="K55" s="2"/>
      <c r="L55" s="6">
        <f t="shared" si="23"/>
        <v>-50</v>
      </c>
      <c r="M55" s="2"/>
      <c r="N55" s="7">
        <f t="shared" si="24"/>
        <v>-1</v>
      </c>
      <c r="O55" s="11"/>
      <c r="P55" s="6"/>
      <c r="Q55" s="2"/>
      <c r="R55" s="7">
        <f t="shared" si="25"/>
        <v>0</v>
      </c>
      <c r="S55" s="2"/>
      <c r="T55" s="6">
        <v>150</v>
      </c>
      <c r="U55" s="2"/>
      <c r="V55" s="7">
        <f t="shared" si="26"/>
        <v>1.621393750067558E-3</v>
      </c>
      <c r="W55" s="2"/>
      <c r="X55" s="6">
        <f t="shared" si="27"/>
        <v>-150</v>
      </c>
      <c r="Y55" s="2"/>
      <c r="Z55" s="7">
        <f t="shared" si="28"/>
        <v>-1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SUM(OSRRefD22_5x_0)</f>
        <v>1205.6400000000001</v>
      </c>
      <c r="E56" s="1"/>
      <c r="F56" s="5">
        <f t="shared" si="21"/>
        <v>0.13241573823498401</v>
      </c>
      <c r="G56" s="1"/>
      <c r="H56" s="1">
        <f>SUM(OSRRefH22_5x_0)</f>
        <v>1206</v>
      </c>
      <c r="I56" s="1"/>
      <c r="J56" s="5">
        <f t="shared" si="22"/>
        <v>5.7428571428571426E-2</v>
      </c>
      <c r="K56" s="1"/>
      <c r="L56" s="1">
        <f t="shared" si="23"/>
        <v>-0.35999999999989996</v>
      </c>
      <c r="M56" s="1"/>
      <c r="N56" s="5">
        <f t="shared" si="24"/>
        <v>-2.9850746268648423E-4</v>
      </c>
      <c r="O56" s="14"/>
      <c r="P56" s="1">
        <f>SUM(OSRRefP22_5x_0)</f>
        <v>3616.92</v>
      </c>
      <c r="Q56" s="1"/>
      <c r="R56" s="5">
        <f t="shared" si="25"/>
        <v>5.8833614467826235E-2</v>
      </c>
      <c r="S56" s="1"/>
      <c r="T56" s="1">
        <f>SUM(OSRRefT22_5x_0)</f>
        <v>3618</v>
      </c>
      <c r="U56" s="1"/>
      <c r="V56" s="5">
        <f t="shared" si="26"/>
        <v>3.9108017251629504E-2</v>
      </c>
      <c r="W56" s="1"/>
      <c r="X56" s="1">
        <f t="shared" si="27"/>
        <v>-1.0799999999999272</v>
      </c>
      <c r="Y56" s="1"/>
      <c r="Z56" s="5">
        <f t="shared" si="28"/>
        <v>-2.9850746268654706E-4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6">
        <v>1205.6400000000001</v>
      </c>
      <c r="E57" s="2"/>
      <c r="F57" s="7">
        <f t="shared" si="21"/>
        <v>0.13241573823498401</v>
      </c>
      <c r="G57" s="2"/>
      <c r="H57" s="6">
        <v>1206</v>
      </c>
      <c r="I57" s="2"/>
      <c r="J57" s="7">
        <f t="shared" si="22"/>
        <v>5.7428571428571426E-2</v>
      </c>
      <c r="K57" s="2"/>
      <c r="L57" s="6">
        <f t="shared" si="23"/>
        <v>-0.35999999999989996</v>
      </c>
      <c r="M57" s="2"/>
      <c r="N57" s="7">
        <f t="shared" si="24"/>
        <v>-2.9850746268648423E-4</v>
      </c>
      <c r="O57" s="11"/>
      <c r="P57" s="6">
        <v>3616.92</v>
      </c>
      <c r="Q57" s="2"/>
      <c r="R57" s="7">
        <f t="shared" si="25"/>
        <v>5.8833614467826235E-2</v>
      </c>
      <c r="S57" s="2"/>
      <c r="T57" s="6">
        <v>3618</v>
      </c>
      <c r="U57" s="2"/>
      <c r="V57" s="7">
        <f t="shared" si="26"/>
        <v>3.9108017251629504E-2</v>
      </c>
      <c r="W57" s="2"/>
      <c r="X57" s="6">
        <f t="shared" si="27"/>
        <v>-1.0799999999999272</v>
      </c>
      <c r="Y57" s="2"/>
      <c r="Z57" s="7">
        <f t="shared" si="28"/>
        <v>-2.9850746268654706E-4</v>
      </c>
    </row>
    <row r="58" spans="1:26" s="28" customFormat="1" outlineLevel="1" collapsed="1" x14ac:dyDescent="0.2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SUM(OSRRefD22_6x_0)</f>
        <v>-6321.6000000000013</v>
      </c>
      <c r="E58" s="1"/>
      <c r="F58" s="5">
        <f t="shared" si="21"/>
        <v>-0.69430288546023278</v>
      </c>
      <c r="G58" s="1"/>
      <c r="H58" s="1">
        <f>SUM(OSRRefH22_6x_0)</f>
        <v>8250</v>
      </c>
      <c r="I58" s="1"/>
      <c r="J58" s="5">
        <f t="shared" si="22"/>
        <v>0.39285714285714285</v>
      </c>
      <c r="K58" s="1"/>
      <c r="L58" s="1">
        <f t="shared" si="23"/>
        <v>-14571.600000000002</v>
      </c>
      <c r="M58" s="1"/>
      <c r="N58" s="5">
        <f t="shared" si="24"/>
        <v>-1.7662545454545457</v>
      </c>
      <c r="O58" s="14"/>
      <c r="P58" s="1">
        <f>SUM(OSRRefP22_6x_0)</f>
        <v>-82000.679999999993</v>
      </c>
      <c r="Q58" s="1"/>
      <c r="R58" s="5">
        <f t="shared" si="25"/>
        <v>-1.3338410562632264</v>
      </c>
      <c r="S58" s="1"/>
      <c r="T58" s="1">
        <f>SUM(OSRRefT22_6x_0)</f>
        <v>22810</v>
      </c>
      <c r="U58" s="1"/>
      <c r="V58" s="5">
        <f t="shared" si="26"/>
        <v>0.24655994292694</v>
      </c>
      <c r="W58" s="1"/>
      <c r="X58" s="1">
        <f t="shared" si="27"/>
        <v>-104810.68</v>
      </c>
      <c r="Y58" s="1"/>
      <c r="Z58" s="5">
        <f t="shared" si="28"/>
        <v>-4.5949443226654969</v>
      </c>
    </row>
    <row r="59" spans="1:26" s="24" customFormat="1" hidden="1" outlineLevel="2" x14ac:dyDescent="0.25">
      <c r="A59" s="29"/>
      <c r="B59" s="11" t="str">
        <f>CONCATENATE("          ", "6305", " - ", "FREIGHT OUT")</f>
        <v xml:space="preserve">          6305 - FREIGHT OUT</v>
      </c>
      <c r="C59" s="11"/>
      <c r="D59" s="6">
        <v>5262.44</v>
      </c>
      <c r="E59" s="2"/>
      <c r="F59" s="7">
        <f t="shared" si="21"/>
        <v>0.57797508171370315</v>
      </c>
      <c r="G59" s="2"/>
      <c r="H59" s="6">
        <v>7000</v>
      </c>
      <c r="I59" s="2"/>
      <c r="J59" s="7">
        <f t="shared" si="22"/>
        <v>0.33333333333333331</v>
      </c>
      <c r="K59" s="2"/>
      <c r="L59" s="6">
        <f t="shared" si="23"/>
        <v>-1737.5600000000004</v>
      </c>
      <c r="M59" s="2"/>
      <c r="N59" s="7">
        <f t="shared" si="24"/>
        <v>-0.24822285714285719</v>
      </c>
      <c r="O59" s="11"/>
      <c r="P59" s="6">
        <v>25040.79</v>
      </c>
      <c r="Q59" s="2"/>
      <c r="R59" s="7">
        <f t="shared" si="25"/>
        <v>0.40731898544336026</v>
      </c>
      <c r="S59" s="2"/>
      <c r="T59" s="6">
        <v>10560</v>
      </c>
      <c r="U59" s="2"/>
      <c r="V59" s="7">
        <f t="shared" si="26"/>
        <v>0.11414612000475609</v>
      </c>
      <c r="W59" s="2"/>
      <c r="X59" s="6">
        <f t="shared" si="27"/>
        <v>14480.79</v>
      </c>
      <c r="Y59" s="2"/>
      <c r="Z59" s="7">
        <f t="shared" si="28"/>
        <v>1.371286931818182</v>
      </c>
    </row>
    <row r="60" spans="1:26" s="24" customFormat="1" hidden="1" outlineLevel="2" x14ac:dyDescent="0.25">
      <c r="A60" s="29"/>
      <c r="B60" s="11" t="str">
        <f>CONCATENATE("          ", "6307", " - ", "POSTAGE")</f>
        <v xml:space="preserve">          6307 - POSTAGE</v>
      </c>
      <c r="C60" s="11"/>
      <c r="D60" s="6">
        <v>-11584.04</v>
      </c>
      <c r="E60" s="2"/>
      <c r="F60" s="7">
        <f t="shared" si="21"/>
        <v>-1.2722779671739359</v>
      </c>
      <c r="G60" s="2"/>
      <c r="H60" s="6">
        <v>1250</v>
      </c>
      <c r="I60" s="2"/>
      <c r="J60" s="7">
        <f t="shared" si="22"/>
        <v>5.9523809523809521E-2</v>
      </c>
      <c r="K60" s="2"/>
      <c r="L60" s="6">
        <f t="shared" si="23"/>
        <v>-12834.04</v>
      </c>
      <c r="M60" s="2"/>
      <c r="N60" s="7">
        <f t="shared" si="24"/>
        <v>-10.267232</v>
      </c>
      <c r="O60" s="11"/>
      <c r="P60" s="6">
        <v>-107041.47</v>
      </c>
      <c r="Q60" s="2"/>
      <c r="R60" s="7">
        <f t="shared" si="25"/>
        <v>-1.7411600417065867</v>
      </c>
      <c r="S60" s="2"/>
      <c r="T60" s="6">
        <v>12250</v>
      </c>
      <c r="U60" s="2"/>
      <c r="V60" s="7">
        <f t="shared" si="26"/>
        <v>0.1324138229221839</v>
      </c>
      <c r="W60" s="2"/>
      <c r="X60" s="6">
        <f t="shared" si="27"/>
        <v>-119291.47</v>
      </c>
      <c r="Y60" s="2"/>
      <c r="Z60" s="7">
        <f t="shared" si="28"/>
        <v>-9.7380791836734701</v>
      </c>
    </row>
    <row r="61" spans="1:26" s="28" customFormat="1" outlineLevel="1" collapsed="1" x14ac:dyDescent="0.25">
      <c r="A61" s="27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SUM(OSRRefD22_7x_0)</f>
        <v>7243.55</v>
      </c>
      <c r="E61" s="1"/>
      <c r="F61" s="5">
        <f t="shared" ref="F61:F70" si="29">IF(D$12=0,0,D61/D$12)</f>
        <v>0.79556088110216838</v>
      </c>
      <c r="G61" s="1"/>
      <c r="H61" s="1">
        <f>SUM(OSRRefH22_7x_0)</f>
        <v>6000</v>
      </c>
      <c r="I61" s="1"/>
      <c r="J61" s="5">
        <f t="shared" ref="J61:J70" si="30">IF(H$12=0,0,H61/H$12)</f>
        <v>0.2857142857142857</v>
      </c>
      <c r="K61" s="1"/>
      <c r="L61" s="1">
        <f t="shared" ref="L61:L70" si="31">+D61-H61</f>
        <v>1243.5500000000002</v>
      </c>
      <c r="M61" s="1"/>
      <c r="N61" s="5">
        <f t="shared" ref="N61:N70" si="32">IF(H61=0,0,L61/H61)</f>
        <v>0.20725833333333335</v>
      </c>
      <c r="O61" s="14"/>
      <c r="P61" s="1">
        <f>SUM(OSRRefP22_7x_0)</f>
        <v>18846.670000000002</v>
      </c>
      <c r="Q61" s="1"/>
      <c r="R61" s="5">
        <f t="shared" ref="R61:R70" si="33">IF(P$12=0,0,P61/P$12)</f>
        <v>0.30656407019849674</v>
      </c>
      <c r="S61" s="1"/>
      <c r="T61" s="1">
        <f>SUM(OSRRefT22_7x_0)</f>
        <v>11300</v>
      </c>
      <c r="U61" s="1"/>
      <c r="V61" s="5">
        <f t="shared" ref="V61:V70" si="34">IF(T$12=0,0,T61/T$12)</f>
        <v>0.12214499583842271</v>
      </c>
      <c r="W61" s="1"/>
      <c r="X61" s="1">
        <f t="shared" ref="X61:X70" si="35">+P61-T61</f>
        <v>7546.6700000000019</v>
      </c>
      <c r="Y61" s="1"/>
      <c r="Z61" s="5">
        <f t="shared" ref="Z61:Z70" si="36">IF(T61=0,0,X61/T61)</f>
        <v>0.66784690265486746</v>
      </c>
    </row>
    <row r="62" spans="1:26" s="24" customFormat="1" hidden="1" outlineLevel="2" x14ac:dyDescent="0.25">
      <c r="A62" s="29"/>
      <c r="B62" s="11" t="str">
        <f>CONCATENATE("          ", "6373", " - ", "MAINTENANCE CONTRACTS")</f>
        <v xml:space="preserve">          6373 - MAINTENANCE CONTRACTS</v>
      </c>
      <c r="C62" s="11"/>
      <c r="D62" s="6">
        <v>7243.55</v>
      </c>
      <c r="E62" s="2"/>
      <c r="F62" s="7">
        <f t="shared" si="29"/>
        <v>0.79556088110216838</v>
      </c>
      <c r="G62" s="2"/>
      <c r="H62" s="6">
        <v>6000</v>
      </c>
      <c r="I62" s="2"/>
      <c r="J62" s="7">
        <f t="shared" si="30"/>
        <v>0.2857142857142857</v>
      </c>
      <c r="K62" s="2"/>
      <c r="L62" s="6">
        <f t="shared" si="31"/>
        <v>1243.5500000000002</v>
      </c>
      <c r="M62" s="2"/>
      <c r="N62" s="7">
        <f t="shared" si="32"/>
        <v>0.20725833333333335</v>
      </c>
      <c r="O62" s="11"/>
      <c r="P62" s="6">
        <v>18846.670000000002</v>
      </c>
      <c r="Q62" s="2"/>
      <c r="R62" s="7">
        <f t="shared" si="33"/>
        <v>0.30656407019849674</v>
      </c>
      <c r="S62" s="2"/>
      <c r="T62" s="6">
        <v>11300</v>
      </c>
      <c r="U62" s="2"/>
      <c r="V62" s="7">
        <f t="shared" si="34"/>
        <v>0.12214499583842271</v>
      </c>
      <c r="W62" s="2"/>
      <c r="X62" s="6">
        <f t="shared" si="35"/>
        <v>7546.6700000000019</v>
      </c>
      <c r="Y62" s="2"/>
      <c r="Z62" s="7">
        <f t="shared" si="36"/>
        <v>0.66784690265486746</v>
      </c>
    </row>
    <row r="63" spans="1:26" s="28" customFormat="1" outlineLevel="1" collapsed="1" x14ac:dyDescent="0.25">
      <c r="A63" s="27"/>
      <c r="B63" s="14" t="str">
        <f>CONCATENATE("     ","Royalty &amp; Commissions                             ")</f>
        <v xml:space="preserve">     Royalty &amp; Commissions                             </v>
      </c>
      <c r="C63" s="14"/>
      <c r="D63" s="1">
        <f>SUM(OSRRefD22_8x_0)</f>
        <v>62.6</v>
      </c>
      <c r="E63" s="1"/>
      <c r="F63" s="5">
        <f t="shared" si="29"/>
        <v>6.8753734228376613E-3</v>
      </c>
      <c r="G63" s="1"/>
      <c r="H63" s="1">
        <f>SUM(OSRRefH22_8x_0)</f>
        <v>900</v>
      </c>
      <c r="I63" s="1"/>
      <c r="J63" s="5">
        <f t="shared" si="30"/>
        <v>4.2857142857142858E-2</v>
      </c>
      <c r="K63" s="1"/>
      <c r="L63" s="1">
        <f t="shared" si="31"/>
        <v>-837.4</v>
      </c>
      <c r="M63" s="1"/>
      <c r="N63" s="5">
        <f t="shared" si="32"/>
        <v>-0.93044444444444441</v>
      </c>
      <c r="O63" s="14"/>
      <c r="P63" s="1">
        <f>SUM(OSRRefP22_8x_0)</f>
        <v>5384.8</v>
      </c>
      <c r="Q63" s="1"/>
      <c r="R63" s="5">
        <f t="shared" si="33"/>
        <v>8.7590338516293068E-2</v>
      </c>
      <c r="S63" s="1"/>
      <c r="T63" s="1">
        <f>SUM(OSRRefT22_8x_0)</f>
        <v>1650</v>
      </c>
      <c r="U63" s="1"/>
      <c r="V63" s="5">
        <f t="shared" si="34"/>
        <v>1.7835331250743137E-2</v>
      </c>
      <c r="W63" s="1"/>
      <c r="X63" s="1">
        <f t="shared" si="35"/>
        <v>3734.8</v>
      </c>
      <c r="Y63" s="1"/>
      <c r="Z63" s="5">
        <f t="shared" si="36"/>
        <v>2.2635151515151515</v>
      </c>
    </row>
    <row r="64" spans="1:26" s="24" customFormat="1" hidden="1" outlineLevel="2" x14ac:dyDescent="0.25">
      <c r="A64" s="29"/>
      <c r="B64" s="11" t="str">
        <f>CONCATENATE("          ", "6259", " - ", "ROYALTY &amp; COMMISSIONS")</f>
        <v xml:space="preserve">          6259 - ROYALTY &amp; COMMISSIONS</v>
      </c>
      <c r="C64" s="11"/>
      <c r="D64" s="6">
        <v>62.6</v>
      </c>
      <c r="E64" s="2"/>
      <c r="F64" s="7">
        <f t="shared" si="29"/>
        <v>6.8753734228376613E-3</v>
      </c>
      <c r="G64" s="2"/>
      <c r="H64" s="6">
        <v>900</v>
      </c>
      <c r="I64" s="2"/>
      <c r="J64" s="7">
        <f t="shared" si="30"/>
        <v>4.2857142857142858E-2</v>
      </c>
      <c r="K64" s="2"/>
      <c r="L64" s="6">
        <f t="shared" si="31"/>
        <v>-837.4</v>
      </c>
      <c r="M64" s="2"/>
      <c r="N64" s="7">
        <f t="shared" si="32"/>
        <v>-0.93044444444444441</v>
      </c>
      <c r="O64" s="11"/>
      <c r="P64" s="6">
        <v>5384.8</v>
      </c>
      <c r="Q64" s="2"/>
      <c r="R64" s="7">
        <f t="shared" si="33"/>
        <v>8.7590338516293068E-2</v>
      </c>
      <c r="S64" s="2"/>
      <c r="T64" s="6">
        <v>1650</v>
      </c>
      <c r="U64" s="2"/>
      <c r="V64" s="7">
        <f t="shared" si="34"/>
        <v>1.7835331250743137E-2</v>
      </c>
      <c r="W64" s="2"/>
      <c r="X64" s="6">
        <f t="shared" si="35"/>
        <v>3734.8</v>
      </c>
      <c r="Y64" s="2"/>
      <c r="Z64" s="7">
        <f t="shared" si="36"/>
        <v>2.2635151515151515</v>
      </c>
    </row>
    <row r="65" spans="1:26" s="28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SUM(OSRRefD22_9x_0)</f>
        <v>10677.67</v>
      </c>
      <c r="E65" s="1"/>
      <c r="F65" s="5">
        <f t="shared" si="29"/>
        <v>1.1727311267704634</v>
      </c>
      <c r="G65" s="1"/>
      <c r="H65" s="1">
        <f>SUM(OSRRefH22_9x_0)</f>
        <v>800</v>
      </c>
      <c r="I65" s="1"/>
      <c r="J65" s="5">
        <f t="shared" si="30"/>
        <v>3.8095238095238099E-2</v>
      </c>
      <c r="K65" s="1"/>
      <c r="L65" s="1">
        <f t="shared" si="31"/>
        <v>9877.67</v>
      </c>
      <c r="M65" s="1"/>
      <c r="N65" s="5">
        <f t="shared" si="32"/>
        <v>12.347087500000001</v>
      </c>
      <c r="O65" s="14"/>
      <c r="P65" s="1">
        <f>SUM(OSRRefP22_9x_0)</f>
        <v>19608.690000000002</v>
      </c>
      <c r="Q65" s="1"/>
      <c r="R65" s="5">
        <f t="shared" si="33"/>
        <v>0.31895925474688952</v>
      </c>
      <c r="S65" s="1"/>
      <c r="T65" s="1">
        <f>SUM(OSRRefT22_9x_0)</f>
        <v>3650</v>
      </c>
      <c r="U65" s="1"/>
      <c r="V65" s="5">
        <f t="shared" si="34"/>
        <v>3.9453914584977247E-2</v>
      </c>
      <c r="W65" s="1"/>
      <c r="X65" s="1">
        <f t="shared" si="35"/>
        <v>15958.690000000002</v>
      </c>
      <c r="Y65" s="1"/>
      <c r="Z65" s="5">
        <f t="shared" si="36"/>
        <v>4.3722438356164393</v>
      </c>
    </row>
    <row r="66" spans="1:26" s="24" customFormat="1" hidden="1" outlineLevel="2" x14ac:dyDescent="0.25">
      <c r="A66" s="29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29"/>
        <v>0</v>
      </c>
      <c r="G66" s="2"/>
      <c r="H66" s="6"/>
      <c r="I66" s="2"/>
      <c r="J66" s="7">
        <f t="shared" si="30"/>
        <v>0</v>
      </c>
      <c r="K66" s="2"/>
      <c r="L66" s="6">
        <f t="shared" si="31"/>
        <v>0</v>
      </c>
      <c r="M66" s="2"/>
      <c r="N66" s="7">
        <f t="shared" si="32"/>
        <v>0</v>
      </c>
      <c r="O66" s="11"/>
      <c r="P66" s="6">
        <v>310.91000000000003</v>
      </c>
      <c r="Q66" s="2"/>
      <c r="R66" s="7">
        <f t="shared" si="33"/>
        <v>5.057330290465881E-3</v>
      </c>
      <c r="S66" s="2"/>
      <c r="T66" s="6"/>
      <c r="U66" s="2"/>
      <c r="V66" s="7">
        <f t="shared" si="34"/>
        <v>0</v>
      </c>
      <c r="W66" s="2"/>
      <c r="X66" s="6">
        <f t="shared" si="35"/>
        <v>310.91000000000003</v>
      </c>
      <c r="Y66" s="2"/>
      <c r="Z66" s="7">
        <f t="shared" si="36"/>
        <v>0</v>
      </c>
    </row>
    <row r="67" spans="1:26" s="24" customFormat="1" hidden="1" outlineLevel="2" x14ac:dyDescent="0.25">
      <c r="A67" s="29"/>
      <c r="B67" s="11" t="str">
        <f>CONCATENATE("          ", "6241", " - ", "OFFICE EXPENSE")</f>
        <v xml:space="preserve">          6241 - OFFICE EXPENSE</v>
      </c>
      <c r="C67" s="11"/>
      <c r="D67" s="6">
        <v>4590.26</v>
      </c>
      <c r="E67" s="2"/>
      <c r="F67" s="7">
        <f t="shared" si="29"/>
        <v>0.50414938670790421</v>
      </c>
      <c r="G67" s="2"/>
      <c r="H67" s="6"/>
      <c r="I67" s="2"/>
      <c r="J67" s="7">
        <f t="shared" si="30"/>
        <v>0</v>
      </c>
      <c r="K67" s="2"/>
      <c r="L67" s="6">
        <f t="shared" si="31"/>
        <v>4590.26</v>
      </c>
      <c r="M67" s="2"/>
      <c r="N67" s="7">
        <f t="shared" si="32"/>
        <v>0</v>
      </c>
      <c r="O67" s="11"/>
      <c r="P67" s="6">
        <v>4590.26</v>
      </c>
      <c r="Q67" s="2"/>
      <c r="R67" s="7">
        <f t="shared" si="33"/>
        <v>7.466617651125379E-2</v>
      </c>
      <c r="S67" s="2"/>
      <c r="T67" s="6"/>
      <c r="U67" s="2"/>
      <c r="V67" s="7">
        <f t="shared" si="34"/>
        <v>0</v>
      </c>
      <c r="W67" s="2"/>
      <c r="X67" s="6">
        <f t="shared" si="35"/>
        <v>4590.26</v>
      </c>
      <c r="Y67" s="2"/>
      <c r="Z67" s="7">
        <f t="shared" si="36"/>
        <v>0</v>
      </c>
    </row>
    <row r="68" spans="1:26" s="24" customFormat="1" hidden="1" outlineLevel="2" x14ac:dyDescent="0.25">
      <c r="A68" s="29"/>
      <c r="B68" s="11" t="str">
        <f>CONCATENATE("          ", "6243", " - ", "PAPER SUPPLIES")</f>
        <v xml:space="preserve">          6243 - PAPER SUPPLIES</v>
      </c>
      <c r="C68" s="11"/>
      <c r="D68" s="6"/>
      <c r="E68" s="2"/>
      <c r="F68" s="7">
        <f t="shared" si="29"/>
        <v>0</v>
      </c>
      <c r="G68" s="2"/>
      <c r="H68" s="6">
        <v>500</v>
      </c>
      <c r="I68" s="2"/>
      <c r="J68" s="7">
        <f t="shared" si="30"/>
        <v>2.3809523809523808E-2</v>
      </c>
      <c r="K68" s="2"/>
      <c r="L68" s="6">
        <f t="shared" si="31"/>
        <v>-500</v>
      </c>
      <c r="M68" s="2"/>
      <c r="N68" s="7">
        <f t="shared" si="32"/>
        <v>-1</v>
      </c>
      <c r="O68" s="11"/>
      <c r="P68" s="6">
        <v>3124.69</v>
      </c>
      <c r="Q68" s="2"/>
      <c r="R68" s="7">
        <f t="shared" si="33"/>
        <v>5.082689326594781E-2</v>
      </c>
      <c r="S68" s="2"/>
      <c r="T68" s="6">
        <v>2700</v>
      </c>
      <c r="U68" s="2"/>
      <c r="V68" s="7">
        <f t="shared" si="34"/>
        <v>2.9185087501216046E-2</v>
      </c>
      <c r="W68" s="2"/>
      <c r="X68" s="6">
        <f t="shared" si="35"/>
        <v>424.69000000000005</v>
      </c>
      <c r="Y68" s="2"/>
      <c r="Z68" s="7">
        <f t="shared" si="36"/>
        <v>0.15729259259259262</v>
      </c>
    </row>
    <row r="69" spans="1:26" s="24" customFormat="1" hidden="1" outlineLevel="2" x14ac:dyDescent="0.25">
      <c r="A69" s="29"/>
      <c r="B69" s="11" t="str">
        <f>CONCATENATE("          ", "6245", " - ", "PRINTING")</f>
        <v xml:space="preserve">          6245 - PRINTING</v>
      </c>
      <c r="C69" s="11"/>
      <c r="D69" s="6">
        <v>288.3</v>
      </c>
      <c r="E69" s="2"/>
      <c r="F69" s="7">
        <f t="shared" si="29"/>
        <v>3.1664060028819455E-2</v>
      </c>
      <c r="G69" s="2"/>
      <c r="H69" s="6">
        <v>200</v>
      </c>
      <c r="I69" s="2"/>
      <c r="J69" s="7">
        <f t="shared" si="30"/>
        <v>9.5238095238095247E-3</v>
      </c>
      <c r="K69" s="2"/>
      <c r="L69" s="6">
        <f t="shared" si="31"/>
        <v>88.300000000000011</v>
      </c>
      <c r="M69" s="2"/>
      <c r="N69" s="7">
        <f t="shared" si="32"/>
        <v>0.44150000000000006</v>
      </c>
      <c r="O69" s="11"/>
      <c r="P69" s="6">
        <v>-7.2</v>
      </c>
      <c r="Q69" s="2"/>
      <c r="R69" s="7">
        <f t="shared" si="33"/>
        <v>-1.1711678006932663E-4</v>
      </c>
      <c r="S69" s="2"/>
      <c r="T69" s="6">
        <v>700</v>
      </c>
      <c r="U69" s="2"/>
      <c r="V69" s="7">
        <f t="shared" si="34"/>
        <v>7.5665041669819378E-3</v>
      </c>
      <c r="W69" s="2"/>
      <c r="X69" s="6">
        <f t="shared" si="35"/>
        <v>-707.2</v>
      </c>
      <c r="Y69" s="2"/>
      <c r="Z69" s="7">
        <f t="shared" si="36"/>
        <v>-1.0102857142857145</v>
      </c>
    </row>
    <row r="70" spans="1:26" s="24" customFormat="1" hidden="1" outlineLevel="2" x14ac:dyDescent="0.25">
      <c r="A70" s="29"/>
      <c r="B70" s="11" t="str">
        <f>CONCATENATE("          ", "6247", " - ", "STORE SUPPLIES")</f>
        <v xml:space="preserve">          6247 - STORE SUPPLIES</v>
      </c>
      <c r="C70" s="11"/>
      <c r="D70" s="6">
        <v>5799.11</v>
      </c>
      <c r="E70" s="2"/>
      <c r="F70" s="7">
        <f t="shared" si="29"/>
        <v>0.63691768003373972</v>
      </c>
      <c r="G70" s="2"/>
      <c r="H70" s="6">
        <v>100</v>
      </c>
      <c r="I70" s="2"/>
      <c r="J70" s="7">
        <f t="shared" si="30"/>
        <v>4.7619047619047623E-3</v>
      </c>
      <c r="K70" s="2"/>
      <c r="L70" s="6">
        <f t="shared" si="31"/>
        <v>5699.11</v>
      </c>
      <c r="M70" s="2"/>
      <c r="N70" s="7">
        <f t="shared" si="32"/>
        <v>56.991099999999996</v>
      </c>
      <c r="O70" s="11"/>
      <c r="P70" s="6">
        <v>11590.03</v>
      </c>
      <c r="Q70" s="2"/>
      <c r="R70" s="7">
        <f t="shared" si="33"/>
        <v>0.18852597145929137</v>
      </c>
      <c r="S70" s="2"/>
      <c r="T70" s="6">
        <v>250</v>
      </c>
      <c r="U70" s="2"/>
      <c r="V70" s="7">
        <f t="shared" si="34"/>
        <v>2.7023229167792632E-3</v>
      </c>
      <c r="W70" s="2"/>
      <c r="X70" s="6">
        <f t="shared" si="35"/>
        <v>11340.03</v>
      </c>
      <c r="Y70" s="2"/>
      <c r="Z70" s="7">
        <f t="shared" si="36"/>
        <v>45.360120000000002</v>
      </c>
    </row>
    <row r="71" spans="1:26" s="28" customFormat="1" outlineLevel="1" collapsed="1" x14ac:dyDescent="0.25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SUM(OSRRefD22_10x_0)</f>
        <v>265</v>
      </c>
      <c r="E71" s="1"/>
      <c r="F71" s="5">
        <f t="shared" ref="F71:F74" si="37">IF(D$12=0,0,D71/D$12)</f>
        <v>2.9105015288370291E-2</v>
      </c>
      <c r="G71" s="1"/>
      <c r="H71" s="1">
        <f>SUM(OSRRefH22_10x_0)</f>
        <v>165</v>
      </c>
      <c r="I71" s="1"/>
      <c r="J71" s="5">
        <f t="shared" ref="J71:J74" si="38">IF(H$12=0,0,H71/H$12)</f>
        <v>7.8571428571428577E-3</v>
      </c>
      <c r="K71" s="1"/>
      <c r="L71" s="1">
        <f t="shared" ref="L71:L74" si="39">+D71-H71</f>
        <v>100</v>
      </c>
      <c r="M71" s="1"/>
      <c r="N71" s="5">
        <f t="shared" ref="N71:N74" si="40">IF(H71=0,0,L71/H71)</f>
        <v>0.60606060606060608</v>
      </c>
      <c r="O71" s="14"/>
      <c r="P71" s="1">
        <f>SUM(OSRRefP22_10x_0)</f>
        <v>665.75</v>
      </c>
      <c r="Q71" s="1"/>
      <c r="R71" s="5">
        <f t="shared" ref="R71:R74" si="41">IF(P$12=0,0,P71/P$12)</f>
        <v>1.0829235601549195E-2</v>
      </c>
      <c r="S71" s="1"/>
      <c r="T71" s="1">
        <f>SUM(OSRRefT22_10x_0)</f>
        <v>495</v>
      </c>
      <c r="U71" s="1"/>
      <c r="V71" s="5">
        <f t="shared" ref="V71:V74" si="42">IF(T$12=0,0,T71/T$12)</f>
        <v>5.3505993752229414E-3</v>
      </c>
      <c r="W71" s="1"/>
      <c r="X71" s="1">
        <f t="shared" ref="X71:X74" si="43">+P71-T71</f>
        <v>170.75</v>
      </c>
      <c r="Y71" s="1"/>
      <c r="Z71" s="5">
        <f t="shared" ref="Z71:Z74" si="44">IF(T71=0,0,X71/T71)</f>
        <v>0.34494949494949495</v>
      </c>
    </row>
    <row r="72" spans="1:26" s="24" customFormat="1" hidden="1" outlineLevel="2" x14ac:dyDescent="0.25">
      <c r="A72" s="29"/>
      <c r="B72" s="11" t="str">
        <f>CONCATENATE("          ", "6309", " - ", "TELEPHONE")</f>
        <v xml:space="preserve">          6309 - TELEPHONE</v>
      </c>
      <c r="C72" s="11"/>
      <c r="D72" s="6">
        <v>265</v>
      </c>
      <c r="E72" s="2"/>
      <c r="F72" s="7">
        <f t="shared" si="37"/>
        <v>2.9105015288370291E-2</v>
      </c>
      <c r="G72" s="2"/>
      <c r="H72" s="6">
        <v>165</v>
      </c>
      <c r="I72" s="2"/>
      <c r="J72" s="7">
        <f t="shared" si="38"/>
        <v>7.8571428571428577E-3</v>
      </c>
      <c r="K72" s="2"/>
      <c r="L72" s="6">
        <f t="shared" si="39"/>
        <v>100</v>
      </c>
      <c r="M72" s="2"/>
      <c r="N72" s="7">
        <f t="shared" si="40"/>
        <v>0.60606060606060608</v>
      </c>
      <c r="O72" s="11"/>
      <c r="P72" s="6">
        <v>665.75</v>
      </c>
      <c r="Q72" s="2"/>
      <c r="R72" s="7">
        <f t="shared" si="41"/>
        <v>1.0829235601549195E-2</v>
      </c>
      <c r="S72" s="2"/>
      <c r="T72" s="6">
        <v>495</v>
      </c>
      <c r="U72" s="2"/>
      <c r="V72" s="7">
        <f t="shared" si="42"/>
        <v>5.3505993752229414E-3</v>
      </c>
      <c r="W72" s="2"/>
      <c r="X72" s="6">
        <f t="shared" si="43"/>
        <v>170.75</v>
      </c>
      <c r="Y72" s="2"/>
      <c r="Z72" s="7">
        <f t="shared" si="44"/>
        <v>0.34494949494949495</v>
      </c>
    </row>
    <row r="73" spans="1:26" s="28" customFormat="1" outlineLevel="1" collapsed="1" x14ac:dyDescent="0.25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SUM(OSRRefD22_11x_0)</f>
        <v>0</v>
      </c>
      <c r="E73" s="1"/>
      <c r="F73" s="5">
        <f t="shared" si="37"/>
        <v>0</v>
      </c>
      <c r="G73" s="1"/>
      <c r="H73" s="1">
        <f>SUM(OSRRefH22_11x_0)</f>
        <v>0</v>
      </c>
      <c r="I73" s="1"/>
      <c r="J73" s="5">
        <f t="shared" si="38"/>
        <v>0</v>
      </c>
      <c r="K73" s="1"/>
      <c r="L73" s="1">
        <f t="shared" si="39"/>
        <v>0</v>
      </c>
      <c r="M73" s="1"/>
      <c r="N73" s="5">
        <f t="shared" si="40"/>
        <v>0</v>
      </c>
      <c r="O73" s="14"/>
      <c r="P73" s="1">
        <f>SUM(OSRRefP22_11x_0)</f>
        <v>15.02</v>
      </c>
      <c r="Q73" s="1"/>
      <c r="R73" s="5">
        <f t="shared" si="41"/>
        <v>2.443186162001786E-4</v>
      </c>
      <c r="S73" s="1"/>
      <c r="T73" s="1">
        <f>SUM(OSRRefT22_11x_0)</f>
        <v>0</v>
      </c>
      <c r="U73" s="1"/>
      <c r="V73" s="5">
        <f t="shared" si="42"/>
        <v>0</v>
      </c>
      <c r="W73" s="1"/>
      <c r="X73" s="1">
        <f t="shared" si="43"/>
        <v>15.02</v>
      </c>
      <c r="Y73" s="1"/>
      <c r="Z73" s="5">
        <f t="shared" si="44"/>
        <v>0</v>
      </c>
    </row>
    <row r="74" spans="1:26" s="24" customFormat="1" hidden="1" outlineLevel="2" x14ac:dyDescent="0.25">
      <c r="A74" s="29"/>
      <c r="B74" s="11" t="str">
        <f>CONCATENATE("          ", "6274", " - ", "UTILITIES")</f>
        <v xml:space="preserve">          6274 - UTILITIES</v>
      </c>
      <c r="C74" s="11"/>
      <c r="D74" s="6"/>
      <c r="E74" s="2"/>
      <c r="F74" s="7">
        <f t="shared" si="37"/>
        <v>0</v>
      </c>
      <c r="G74" s="2"/>
      <c r="H74" s="6"/>
      <c r="I74" s="2"/>
      <c r="J74" s="7">
        <f t="shared" si="38"/>
        <v>0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>
        <v>15.02</v>
      </c>
      <c r="Q74" s="2"/>
      <c r="R74" s="7">
        <f t="shared" si="41"/>
        <v>2.443186162001786E-4</v>
      </c>
      <c r="S74" s="2"/>
      <c r="T74" s="6"/>
      <c r="U74" s="2"/>
      <c r="V74" s="7">
        <f t="shared" si="42"/>
        <v>0</v>
      </c>
      <c r="W74" s="2"/>
      <c r="X74" s="6">
        <f t="shared" si="43"/>
        <v>15.02</v>
      </c>
      <c r="Y74" s="2"/>
      <c r="Z74" s="7">
        <f t="shared" si="44"/>
        <v>0</v>
      </c>
    </row>
    <row r="75" spans="1:26" s="61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25">
      <c r="A76" s="10"/>
      <c r="B76" s="25" t="s">
        <v>0</v>
      </c>
      <c r="C76" s="10"/>
      <c r="D76" s="4">
        <f>SUM(OSRRefD25x_0)</f>
        <v>6782</v>
      </c>
      <c r="E76" s="4"/>
      <c r="F76" s="12">
        <f t="shared" ref="F76:F77" si="45">IF(D$12=0,0,D76/D$12)</f>
        <v>0.74486873088953709</v>
      </c>
      <c r="G76" s="4"/>
      <c r="H76" s="4">
        <f>SUM(OSRRefH25x_0)</f>
        <v>6875</v>
      </c>
      <c r="I76" s="4"/>
      <c r="J76" s="12">
        <f t="shared" ref="J76:J77" si="46">IF(H$12=0,0,H76/H$12)</f>
        <v>0.32738095238095238</v>
      </c>
      <c r="K76" s="4"/>
      <c r="L76" s="4">
        <f t="shared" ref="L76:L77" si="47">+D76-H76</f>
        <v>-93</v>
      </c>
      <c r="M76" s="4"/>
      <c r="N76" s="12">
        <f t="shared" ref="N76:N77" si="48">IF(H76=0,0,L76/H76)</f>
        <v>-1.3527272727272728E-2</v>
      </c>
      <c r="O76" s="10"/>
      <c r="P76" s="4">
        <f>SUM(OSRRefP25x_0)</f>
        <v>20346</v>
      </c>
      <c r="Q76" s="4"/>
      <c r="R76" s="12">
        <f t="shared" ref="R76:R77" si="49">IF(P$12=0,0,P76/P$12)</f>
        <v>0.33095250101257218</v>
      </c>
      <c r="S76" s="4"/>
      <c r="T76" s="4">
        <f>SUM(OSRRefT25x_0)</f>
        <v>20625</v>
      </c>
      <c r="U76" s="4"/>
      <c r="V76" s="12">
        <f t="shared" ref="V76:V77" si="50">IF(T$12=0,0,T76/T$12)</f>
        <v>0.22294164063428923</v>
      </c>
      <c r="W76" s="4"/>
      <c r="X76" s="4">
        <f t="shared" ref="X76:X77" si="51">+P76-T76</f>
        <v>-279</v>
      </c>
      <c r="Y76" s="4"/>
      <c r="Z76" s="12">
        <f t="shared" ref="Z76:Z77" si="52">IF(T76=0,0,X76/T76)</f>
        <v>-1.3527272727272728E-2</v>
      </c>
    </row>
    <row r="77" spans="1:26" s="24" customFormat="1" hidden="1" outlineLevel="1" x14ac:dyDescent="0.25">
      <c r="A77" s="51"/>
      <c r="B77" s="11" t="str">
        <f>CONCATENATE("          ", "9150", " - ", "MISC. INCOME")</f>
        <v xml:space="preserve">          9150 - MISC. INCOME</v>
      </c>
      <c r="C77" s="11"/>
      <c r="D77" s="2">
        <f>--6782</f>
        <v>6782</v>
      </c>
      <c r="E77" s="2"/>
      <c r="F77" s="22">
        <f t="shared" si="45"/>
        <v>0.74486873088953709</v>
      </c>
      <c r="G77" s="2"/>
      <c r="H77" s="2">
        <v>6875</v>
      </c>
      <c r="I77" s="2"/>
      <c r="J77" s="22">
        <f t="shared" si="46"/>
        <v>0.32738095238095238</v>
      </c>
      <c r="K77" s="2"/>
      <c r="L77" s="2">
        <f t="shared" si="47"/>
        <v>-93</v>
      </c>
      <c r="M77" s="2"/>
      <c r="N77" s="22">
        <f t="shared" si="48"/>
        <v>-1.3527272727272728E-2</v>
      </c>
      <c r="O77" s="11"/>
      <c r="P77" s="2">
        <f>--20346</f>
        <v>20346</v>
      </c>
      <c r="Q77" s="2"/>
      <c r="R77" s="22">
        <f t="shared" si="49"/>
        <v>0.33095250101257218</v>
      </c>
      <c r="S77" s="2"/>
      <c r="T77" s="2">
        <v>20625</v>
      </c>
      <c r="U77" s="2"/>
      <c r="V77" s="22">
        <f t="shared" si="50"/>
        <v>0.22294164063428923</v>
      </c>
      <c r="W77" s="2"/>
      <c r="X77" s="2">
        <f t="shared" si="51"/>
        <v>-279</v>
      </c>
      <c r="Y77" s="2"/>
      <c r="Z77" s="22">
        <f t="shared" si="52"/>
        <v>-1.3527272727272728E-2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6" t="s">
        <v>3</v>
      </c>
      <c r="C79" s="26"/>
      <c r="D79" s="20">
        <f>+D26-D28+D76</f>
        <v>-22426.079999999994</v>
      </c>
      <c r="E79" s="13"/>
      <c r="F79" s="21">
        <f>IF(D$12=0,0,D79/D$12)</f>
        <v>-2.4630618915404341</v>
      </c>
      <c r="G79" s="13"/>
      <c r="H79" s="20">
        <f>+H26-H28+H76</f>
        <v>-6352.0847169923436</v>
      </c>
      <c r="I79" s="13"/>
      <c r="J79" s="21">
        <f>IF(H$12=0,0,H79/H$12)</f>
        <v>-0.30248022461868301</v>
      </c>
      <c r="K79" s="16"/>
      <c r="L79" s="20">
        <f>+D79-H79</f>
        <v>-16073.995283007651</v>
      </c>
      <c r="M79" s="16"/>
      <c r="N79" s="21">
        <f>IF(H79=0,0,L79/H79)</f>
        <v>2.5305070695937673</v>
      </c>
      <c r="O79" s="25"/>
      <c r="P79" s="20">
        <f>+P26-P28+P76</f>
        <v>44766.720000000023</v>
      </c>
      <c r="Q79" s="13"/>
      <c r="R79" s="21">
        <f>IF(P$12=0,0,P79/P$12)</f>
        <v>0.72818529175904567</v>
      </c>
      <c r="S79" s="13"/>
      <c r="T79" s="20">
        <f>+T26-T28+T76</f>
        <v>15496.964389774905</v>
      </c>
      <c r="U79" s="13"/>
      <c r="V79" s="21">
        <f>IF(T$12=0,0,T79/T$12)</f>
        <v>0.1675112080440036</v>
      </c>
      <c r="W79" s="16"/>
      <c r="X79" s="20">
        <f>+P79-T79</f>
        <v>29269.755610225118</v>
      </c>
      <c r="Y79" s="16"/>
      <c r="Z79" s="21">
        <f>IF(T79=0,0,X79/T79)</f>
        <v>1.8887412317690861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2"/>
      <c r="B81" s="10" t="s">
        <v>14</v>
      </c>
      <c r="C81" s="10"/>
      <c r="D81" s="4">
        <v>2546.6</v>
      </c>
      <c r="E81" s="4"/>
      <c r="F81" s="12">
        <f>IF(D$12=0,0,D81/D$12)</f>
        <v>0.27969370540891991</v>
      </c>
      <c r="G81" s="4"/>
      <c r="H81" s="4">
        <v>1696</v>
      </c>
      <c r="I81" s="4"/>
      <c r="J81" s="12">
        <f>IF(H$12=0,0,H81/H$12)</f>
        <v>8.0761904761904757E-2</v>
      </c>
      <c r="K81" s="4"/>
      <c r="L81" s="4">
        <f>+D81-H81</f>
        <v>850.59999999999991</v>
      </c>
      <c r="M81" s="4"/>
      <c r="N81" s="12">
        <f>IF(H81=0,0,L81/H81)</f>
        <v>0.50153301886792445</v>
      </c>
      <c r="O81" s="10"/>
      <c r="P81" s="4">
        <v>11388.94</v>
      </c>
      <c r="Q81" s="4"/>
      <c r="R81" s="12">
        <f>IF(P$12=0,0,P81/P$12)</f>
        <v>0.18525499738927179</v>
      </c>
      <c r="S81" s="4"/>
      <c r="T81" s="4">
        <v>13374</v>
      </c>
      <c r="U81" s="4"/>
      <c r="V81" s="12">
        <f>IF(T$12=0,0,T81/T$12)</f>
        <v>0.14456346675602347</v>
      </c>
      <c r="W81" s="4"/>
      <c r="X81" s="4">
        <f>+P81-T81</f>
        <v>-1985.0599999999995</v>
      </c>
      <c r="Y81" s="4"/>
      <c r="Z81" s="12">
        <f>IF(T81=0,0,X81/T81)</f>
        <v>-0.14842679826529082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4</v>
      </c>
      <c r="C83" s="26"/>
      <c r="D83" s="33">
        <f>+D79-D81</f>
        <v>-24972.679999999993</v>
      </c>
      <c r="E83" s="13"/>
      <c r="F83" s="34">
        <f>IF(D$12=0,0,D83/D$12)</f>
        <v>-2.7427555969493542</v>
      </c>
      <c r="G83" s="13"/>
      <c r="H83" s="33">
        <f>+H79-H81</f>
        <v>-8048.0847169923436</v>
      </c>
      <c r="I83" s="13"/>
      <c r="J83" s="34">
        <f>IF(H$12=0,0,H83/H$12)</f>
        <v>-0.38324212938058777</v>
      </c>
      <c r="K83" s="16"/>
      <c r="L83" s="33">
        <f>D83-H83</f>
        <v>-16924.595283007649</v>
      </c>
      <c r="M83" s="16"/>
      <c r="N83" s="34">
        <f>IF(H83=0,0,L83/H83)</f>
        <v>2.1029345338865362</v>
      </c>
      <c r="O83" s="25"/>
      <c r="P83" s="33">
        <f>+P79-P81</f>
        <v>33377.780000000021</v>
      </c>
      <c r="Q83" s="13"/>
      <c r="R83" s="34">
        <f>IF(P$12=0,0,P83/P$12)</f>
        <v>0.5429302943697738</v>
      </c>
      <c r="S83" s="13"/>
      <c r="T83" s="33">
        <f>+T79-T81</f>
        <v>2122.9643897749047</v>
      </c>
      <c r="U83" s="13"/>
      <c r="V83" s="34">
        <f>IF(T$12=0,0,T83/T$12)</f>
        <v>2.294774128798012E-2</v>
      </c>
      <c r="W83" s="16"/>
      <c r="X83" s="33">
        <f>P83-T83</f>
        <v>31254.815610225116</v>
      </c>
      <c r="Y83" s="16"/>
      <c r="Z83" s="34">
        <f>IF(T83=0,0,X83/T83)</f>
        <v>14.722251470991006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5</v>
      </c>
      <c r="C86" s="26"/>
      <c r="D86" s="31">
        <f>SUM(D83:D85)</f>
        <v>-24972.679999999993</v>
      </c>
      <c r="E86" s="13"/>
      <c r="F86" s="32">
        <f>IF(D$12=0,0,D86/D$12)</f>
        <v>-2.7427555969493542</v>
      </c>
      <c r="G86" s="13"/>
      <c r="H86" s="31">
        <f>SUM(H83:H85)</f>
        <v>-8048.0847169923436</v>
      </c>
      <c r="I86" s="13"/>
      <c r="J86" s="32">
        <f>IF(H$12=0,0,H86/H$12)</f>
        <v>-0.38324212938058777</v>
      </c>
      <c r="K86" s="16"/>
      <c r="L86" s="31">
        <f>+D86-H86</f>
        <v>-16924.595283007649</v>
      </c>
      <c r="M86" s="16"/>
      <c r="N86" s="32">
        <f>IF(H86=0,0,L86/H86)</f>
        <v>2.1029345338865362</v>
      </c>
      <c r="O86" s="25"/>
      <c r="P86" s="31">
        <f>SUM(P83:P85)</f>
        <v>33377.780000000021</v>
      </c>
      <c r="Q86" s="13"/>
      <c r="R86" s="32">
        <f>IF(P$12=0,0,P86/P$12)</f>
        <v>0.5429302943697738</v>
      </c>
      <c r="S86" s="13"/>
      <c r="T86" s="31">
        <f>SUM(T83:T85)</f>
        <v>2122.9643897749047</v>
      </c>
      <c r="U86" s="13"/>
      <c r="V86" s="32">
        <f>IF(T$12=0,0,T86/T$12)</f>
        <v>2.294774128798012E-2</v>
      </c>
      <c r="W86" s="16"/>
      <c r="X86" s="31">
        <f>+P86-T86</f>
        <v>31254.815610225116</v>
      </c>
      <c r="Y86" s="16"/>
      <c r="Z86" s="32">
        <f>IF(T86=0,0,X86/T86)</f>
        <v>14.722251470991006</v>
      </c>
    </row>
    <row r="87" spans="1:26" ht="15.75" thickTop="1" x14ac:dyDescent="0.25">
      <c r="A87" s="9"/>
      <c r="C87" s="9"/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5">
        <v>44123.572047534719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3" t="s">
        <v>314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62"/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311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263646.53999999998</v>
      </c>
      <c r="E12" s="4"/>
      <c r="F12" s="12"/>
      <c r="G12" s="4"/>
      <c r="H12" s="4">
        <f>SUM(OSRRefH13x_0)</f>
        <v>288294</v>
      </c>
      <c r="I12" s="4"/>
      <c r="J12" s="12"/>
      <c r="K12" s="4"/>
      <c r="L12" s="4">
        <f t="shared" ref="L12:L30" si="0">+D12-H12</f>
        <v>-24647.460000000021</v>
      </c>
      <c r="M12" s="4"/>
      <c r="N12" s="12">
        <f t="shared" ref="N12:N30" si="1">IF(H12=0,0,L12/H12)</f>
        <v>-8.5494183021498957E-2</v>
      </c>
      <c r="O12" s="10"/>
      <c r="P12" s="4">
        <f>SUM(OSRRefP13x_0)</f>
        <v>963284.72999999986</v>
      </c>
      <c r="Q12" s="4"/>
      <c r="R12" s="12"/>
      <c r="S12" s="4"/>
      <c r="T12" s="4">
        <f>SUM(OSRRefT13x_0)</f>
        <v>1072961</v>
      </c>
      <c r="U12" s="4"/>
      <c r="V12" s="12"/>
      <c r="W12" s="4"/>
      <c r="X12" s="4">
        <f t="shared" ref="X12:X30" si="2">+P12-T12</f>
        <v>-109676.27000000014</v>
      </c>
      <c r="Y12" s="4"/>
      <c r="Z12" s="12">
        <f t="shared" ref="Z12:Z30" si="3">IF(T12=0,0,X12/T12)</f>
        <v>-0.10221831921197522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-549.51</f>
        <v>-549.51</v>
      </c>
      <c r="E13" s="2"/>
      <c r="F13" s="22"/>
      <c r="G13" s="2"/>
      <c r="H13" s="2">
        <v>272056</v>
      </c>
      <c r="I13" s="2"/>
      <c r="J13" s="22"/>
      <c r="K13" s="2"/>
      <c r="L13" s="2">
        <f t="shared" si="0"/>
        <v>-272605.51</v>
      </c>
      <c r="M13" s="2"/>
      <c r="N13" s="22">
        <f t="shared" si="1"/>
        <v>-1.00201984150322</v>
      </c>
      <c r="O13" s="11"/>
      <c r="P13" s="2">
        <f>-1723.7</f>
        <v>-1723.7</v>
      </c>
      <c r="Q13" s="2"/>
      <c r="R13" s="22"/>
      <c r="S13" s="2"/>
      <c r="T13" s="2">
        <v>1021181</v>
      </c>
      <c r="U13" s="2"/>
      <c r="V13" s="22"/>
      <c r="W13" s="2"/>
      <c r="X13" s="2">
        <f t="shared" si="2"/>
        <v>-1022904.7</v>
      </c>
      <c r="Y13" s="2"/>
      <c r="Z13" s="22">
        <f t="shared" si="3"/>
        <v>-1.0016879475822602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--12167.65</f>
        <v>12167.65</v>
      </c>
      <c r="E14" s="2"/>
      <c r="F14" s="22"/>
      <c r="G14" s="2"/>
      <c r="H14" s="2"/>
      <c r="I14" s="2"/>
      <c r="J14" s="22"/>
      <c r="K14" s="2"/>
      <c r="L14" s="2">
        <f t="shared" si="0"/>
        <v>12167.65</v>
      </c>
      <c r="M14" s="2"/>
      <c r="N14" s="22">
        <f t="shared" si="1"/>
        <v>0</v>
      </c>
      <c r="O14" s="11"/>
      <c r="P14" s="2">
        <f>--50030.67</f>
        <v>50030.67</v>
      </c>
      <c r="Q14" s="2"/>
      <c r="R14" s="22"/>
      <c r="S14" s="2"/>
      <c r="T14" s="2"/>
      <c r="U14" s="2"/>
      <c r="V14" s="22"/>
      <c r="W14" s="2"/>
      <c r="X14" s="2">
        <f t="shared" si="2"/>
        <v>50030.67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--198101.2</f>
        <v>198101.2</v>
      </c>
      <c r="E15" s="2"/>
      <c r="F15" s="22"/>
      <c r="G15" s="2"/>
      <c r="H15" s="2"/>
      <c r="I15" s="2"/>
      <c r="J15" s="22"/>
      <c r="K15" s="2"/>
      <c r="L15" s="2">
        <f t="shared" si="0"/>
        <v>198101.2</v>
      </c>
      <c r="M15" s="2"/>
      <c r="N15" s="22">
        <f t="shared" si="1"/>
        <v>0</v>
      </c>
      <c r="O15" s="11"/>
      <c r="P15" s="2">
        <f>--739313.21</f>
        <v>739313.21</v>
      </c>
      <c r="Q15" s="2"/>
      <c r="R15" s="22"/>
      <c r="S15" s="2"/>
      <c r="T15" s="2"/>
      <c r="U15" s="2"/>
      <c r="V15" s="22"/>
      <c r="W15" s="2"/>
      <c r="X15" s="2">
        <f t="shared" si="2"/>
        <v>739313.21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--18937.34</f>
        <v>18937.34</v>
      </c>
      <c r="E16" s="2"/>
      <c r="F16" s="22"/>
      <c r="G16" s="2"/>
      <c r="H16" s="2"/>
      <c r="I16" s="2"/>
      <c r="J16" s="22"/>
      <c r="K16" s="2"/>
      <c r="L16" s="2">
        <f t="shared" si="0"/>
        <v>18937.34</v>
      </c>
      <c r="M16" s="2"/>
      <c r="N16" s="22">
        <f t="shared" si="1"/>
        <v>0</v>
      </c>
      <c r="O16" s="11"/>
      <c r="P16" s="2">
        <f>--68652.7</f>
        <v>68652.7</v>
      </c>
      <c r="Q16" s="2"/>
      <c r="R16" s="22"/>
      <c r="S16" s="2"/>
      <c r="T16" s="2"/>
      <c r="U16" s="2"/>
      <c r="V16" s="22"/>
      <c r="W16" s="2"/>
      <c r="X16" s="2">
        <f t="shared" si="2"/>
        <v>68652.7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--852.96</f>
        <v>852.96</v>
      </c>
      <c r="E17" s="2"/>
      <c r="F17" s="22"/>
      <c r="G17" s="2"/>
      <c r="H17" s="2"/>
      <c r="I17" s="2"/>
      <c r="J17" s="22"/>
      <c r="K17" s="2"/>
      <c r="L17" s="2">
        <f t="shared" si="0"/>
        <v>852.96</v>
      </c>
      <c r="M17" s="2"/>
      <c r="N17" s="22">
        <f t="shared" si="1"/>
        <v>0</v>
      </c>
      <c r="O17" s="11"/>
      <c r="P17" s="2">
        <f>--981.96</f>
        <v>981.96</v>
      </c>
      <c r="Q17" s="2"/>
      <c r="R17" s="22"/>
      <c r="S17" s="2"/>
      <c r="T17" s="2"/>
      <c r="U17" s="2"/>
      <c r="V17" s="22"/>
      <c r="W17" s="2"/>
      <c r="X17" s="2">
        <f t="shared" si="2"/>
        <v>981.96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--713.93</f>
        <v>713.93</v>
      </c>
      <c r="E18" s="2"/>
      <c r="F18" s="22"/>
      <c r="G18" s="2"/>
      <c r="H18" s="2"/>
      <c r="I18" s="2"/>
      <c r="J18" s="22"/>
      <c r="K18" s="2"/>
      <c r="L18" s="2">
        <f t="shared" si="0"/>
        <v>713.93</v>
      </c>
      <c r="M18" s="2"/>
      <c r="N18" s="22">
        <f t="shared" si="1"/>
        <v>0</v>
      </c>
      <c r="O18" s="11"/>
      <c r="P18" s="2">
        <f>--27981.41</f>
        <v>27981.41</v>
      </c>
      <c r="Q18" s="2"/>
      <c r="R18" s="22"/>
      <c r="S18" s="2"/>
      <c r="T18" s="2"/>
      <c r="U18" s="2"/>
      <c r="V18" s="22"/>
      <c r="W18" s="2"/>
      <c r="X18" s="2">
        <f t="shared" si="2"/>
        <v>27981.41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16238</v>
      </c>
      <c r="I19" s="2"/>
      <c r="J19" s="22"/>
      <c r="K19" s="2"/>
      <c r="L19" s="2">
        <f t="shared" si="0"/>
        <v>-16238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51780</v>
      </c>
      <c r="U19" s="2"/>
      <c r="V19" s="22"/>
      <c r="W19" s="2"/>
      <c r="X19" s="2">
        <f t="shared" si="2"/>
        <v>-51780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--669.89</f>
        <v>669.89</v>
      </c>
      <c r="E20" s="2"/>
      <c r="F20" s="22"/>
      <c r="G20" s="2"/>
      <c r="H20" s="2"/>
      <c r="I20" s="2"/>
      <c r="J20" s="22"/>
      <c r="K20" s="2"/>
      <c r="L20" s="2">
        <f t="shared" si="0"/>
        <v>669.89</v>
      </c>
      <c r="M20" s="2"/>
      <c r="N20" s="22">
        <f t="shared" si="1"/>
        <v>0</v>
      </c>
      <c r="O20" s="11"/>
      <c r="P20" s="2">
        <f>--3309.16</f>
        <v>3309.16</v>
      </c>
      <c r="Q20" s="2"/>
      <c r="R20" s="22"/>
      <c r="S20" s="2"/>
      <c r="T20" s="2"/>
      <c r="U20" s="2"/>
      <c r="V20" s="22"/>
      <c r="W20" s="2"/>
      <c r="X20" s="2">
        <f t="shared" si="2"/>
        <v>3309.16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--38657</f>
        <v>38657</v>
      </c>
      <c r="E21" s="2"/>
      <c r="F21" s="22"/>
      <c r="G21" s="2"/>
      <c r="H21" s="2"/>
      <c r="I21" s="2"/>
      <c r="J21" s="22"/>
      <c r="K21" s="2"/>
      <c r="L21" s="2">
        <f t="shared" si="0"/>
        <v>38657</v>
      </c>
      <c r="M21" s="2"/>
      <c r="N21" s="22">
        <f t="shared" si="1"/>
        <v>0</v>
      </c>
      <c r="O21" s="11"/>
      <c r="P21" s="2">
        <f>--120724.38</f>
        <v>120724.38</v>
      </c>
      <c r="Q21" s="2"/>
      <c r="R21" s="22"/>
      <c r="S21" s="2"/>
      <c r="T21" s="2"/>
      <c r="U21" s="2"/>
      <c r="V21" s="22"/>
      <c r="W21" s="2"/>
      <c r="X21" s="2">
        <f t="shared" si="2"/>
        <v>120724.38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--1946.8</f>
        <v>1946.8</v>
      </c>
      <c r="E22" s="2"/>
      <c r="F22" s="22"/>
      <c r="G22" s="2"/>
      <c r="H22" s="2"/>
      <c r="I22" s="2"/>
      <c r="J22" s="22"/>
      <c r="K22" s="2"/>
      <c r="L22" s="2">
        <f t="shared" si="0"/>
        <v>1946.8</v>
      </c>
      <c r="M22" s="2"/>
      <c r="N22" s="22">
        <f t="shared" si="1"/>
        <v>0</v>
      </c>
      <c r="O22" s="11"/>
      <c r="P22" s="2">
        <f>--5066.48</f>
        <v>5066.4799999999996</v>
      </c>
      <c r="Q22" s="2"/>
      <c r="R22" s="22"/>
      <c r="S22" s="2"/>
      <c r="T22" s="2"/>
      <c r="U22" s="2"/>
      <c r="V22" s="22"/>
      <c r="W22" s="2"/>
      <c r="X22" s="2">
        <f t="shared" si="2"/>
        <v>5066.4799999999996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--8427.6</f>
        <v>8427.6</v>
      </c>
      <c r="E23" s="2"/>
      <c r="F23" s="22"/>
      <c r="G23" s="2"/>
      <c r="H23" s="2"/>
      <c r="I23" s="2"/>
      <c r="J23" s="22"/>
      <c r="K23" s="2"/>
      <c r="L23" s="2">
        <f t="shared" si="0"/>
        <v>8427.6</v>
      </c>
      <c r="M23" s="2"/>
      <c r="N23" s="22">
        <f t="shared" si="1"/>
        <v>0</v>
      </c>
      <c r="O23" s="11"/>
      <c r="P23" s="2">
        <f>--19226.09</f>
        <v>19226.09</v>
      </c>
      <c r="Q23" s="2"/>
      <c r="R23" s="22"/>
      <c r="S23" s="2"/>
      <c r="T23" s="2"/>
      <c r="U23" s="2"/>
      <c r="V23" s="22"/>
      <c r="W23" s="2"/>
      <c r="X23" s="2">
        <f t="shared" si="2"/>
        <v>19226.09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--460.89</f>
        <v>460.89</v>
      </c>
      <c r="E24" s="2"/>
      <c r="F24" s="22"/>
      <c r="G24" s="2"/>
      <c r="H24" s="2"/>
      <c r="I24" s="2"/>
      <c r="J24" s="22"/>
      <c r="K24" s="2"/>
      <c r="L24" s="2">
        <f t="shared" si="0"/>
        <v>460.89</v>
      </c>
      <c r="M24" s="2"/>
      <c r="N24" s="22">
        <f t="shared" si="1"/>
        <v>0</v>
      </c>
      <c r="O24" s="11"/>
      <c r="P24" s="2">
        <f>--873.79</f>
        <v>873.79</v>
      </c>
      <c r="Q24" s="2"/>
      <c r="R24" s="22"/>
      <c r="S24" s="2"/>
      <c r="T24" s="2"/>
      <c r="U24" s="2"/>
      <c r="V24" s="22"/>
      <c r="W24" s="2"/>
      <c r="X24" s="2">
        <f t="shared" si="2"/>
        <v>873.79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-557.94</f>
        <v>-557.94000000000005</v>
      </c>
      <c r="E25" s="2"/>
      <c r="F25" s="22"/>
      <c r="G25" s="2"/>
      <c r="H25" s="2"/>
      <c r="I25" s="2"/>
      <c r="J25" s="22"/>
      <c r="K25" s="2"/>
      <c r="L25" s="2">
        <f t="shared" si="0"/>
        <v>-557.94000000000005</v>
      </c>
      <c r="M25" s="2"/>
      <c r="N25" s="22">
        <f t="shared" si="1"/>
        <v>0</v>
      </c>
      <c r="O25" s="11"/>
      <c r="P25" s="2">
        <f>-14274.16</f>
        <v>-14274.16</v>
      </c>
      <c r="Q25" s="2"/>
      <c r="R25" s="22"/>
      <c r="S25" s="2"/>
      <c r="T25" s="2"/>
      <c r="U25" s="2"/>
      <c r="V25" s="22"/>
      <c r="W25" s="2"/>
      <c r="X25" s="2">
        <f t="shared" si="2"/>
        <v>-14274.16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-14636</f>
        <v>-14636</v>
      </c>
      <c r="E26" s="2"/>
      <c r="F26" s="22"/>
      <c r="G26" s="2"/>
      <c r="H26" s="2"/>
      <c r="I26" s="2"/>
      <c r="J26" s="22"/>
      <c r="K26" s="2"/>
      <c r="L26" s="2">
        <f t="shared" si="0"/>
        <v>-14636</v>
      </c>
      <c r="M26" s="2"/>
      <c r="N26" s="22">
        <f t="shared" si="1"/>
        <v>0</v>
      </c>
      <c r="O26" s="11"/>
      <c r="P26" s="2">
        <f>-48285</f>
        <v>-48285</v>
      </c>
      <c r="Q26" s="2"/>
      <c r="R26" s="22"/>
      <c r="S26" s="2"/>
      <c r="T26" s="2"/>
      <c r="U26" s="2"/>
      <c r="V26" s="22"/>
      <c r="W26" s="2"/>
      <c r="X26" s="2">
        <f t="shared" si="2"/>
        <v>-48285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-483.9</f>
        <v>-483.9</v>
      </c>
      <c r="E27" s="2"/>
      <c r="F27" s="22"/>
      <c r="G27" s="2"/>
      <c r="H27" s="2"/>
      <c r="I27" s="2"/>
      <c r="J27" s="22"/>
      <c r="K27" s="2"/>
      <c r="L27" s="2">
        <f t="shared" si="0"/>
        <v>-483.9</v>
      </c>
      <c r="M27" s="2"/>
      <c r="N27" s="22">
        <f t="shared" si="1"/>
        <v>0</v>
      </c>
      <c r="O27" s="11"/>
      <c r="P27" s="2">
        <f>-2002.73</f>
        <v>-2002.73</v>
      </c>
      <c r="Q27" s="2"/>
      <c r="R27" s="22"/>
      <c r="S27" s="2"/>
      <c r="T27" s="2"/>
      <c r="U27" s="2"/>
      <c r="V27" s="22"/>
      <c r="W27" s="2"/>
      <c r="X27" s="2">
        <f t="shared" si="2"/>
        <v>-2002.73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-552.98</f>
        <v>-552.98</v>
      </c>
      <c r="E28" s="2"/>
      <c r="F28" s="22"/>
      <c r="G28" s="2"/>
      <c r="H28" s="2"/>
      <c r="I28" s="2"/>
      <c r="J28" s="22"/>
      <c r="K28" s="2"/>
      <c r="L28" s="2">
        <f t="shared" si="0"/>
        <v>-552.98</v>
      </c>
      <c r="M28" s="2"/>
      <c r="N28" s="22">
        <f t="shared" si="1"/>
        <v>0</v>
      </c>
      <c r="O28" s="11"/>
      <c r="P28" s="2">
        <f>-552.98</f>
        <v>-552.98</v>
      </c>
      <c r="Q28" s="2"/>
      <c r="R28" s="22"/>
      <c r="S28" s="2"/>
      <c r="T28" s="2"/>
      <c r="U28" s="2"/>
      <c r="V28" s="22"/>
      <c r="W28" s="2"/>
      <c r="X28" s="2">
        <f t="shared" si="2"/>
        <v>-552.98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-258.44</f>
        <v>-258.44</v>
      </c>
      <c r="E29" s="2"/>
      <c r="F29" s="22"/>
      <c r="G29" s="2"/>
      <c r="H29" s="2"/>
      <c r="I29" s="2"/>
      <c r="J29" s="22"/>
      <c r="K29" s="2"/>
      <c r="L29" s="2">
        <f t="shared" si="0"/>
        <v>-258.44</v>
      </c>
      <c r="M29" s="2"/>
      <c r="N29" s="22">
        <f t="shared" si="1"/>
        <v>0</v>
      </c>
      <c r="O29" s="11"/>
      <c r="P29" s="2">
        <f>-412.4</f>
        <v>-412.4</v>
      </c>
      <c r="Q29" s="2"/>
      <c r="R29" s="22"/>
      <c r="S29" s="2"/>
      <c r="T29" s="2"/>
      <c r="U29" s="2"/>
      <c r="V29" s="22"/>
      <c r="W29" s="2"/>
      <c r="X29" s="2">
        <f t="shared" si="2"/>
        <v>-412.4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-249.95</f>
        <v>-249.95</v>
      </c>
      <c r="E30" s="2"/>
      <c r="F30" s="22"/>
      <c r="G30" s="2"/>
      <c r="H30" s="2"/>
      <c r="I30" s="2"/>
      <c r="J30" s="22"/>
      <c r="K30" s="2"/>
      <c r="L30" s="2">
        <f t="shared" si="0"/>
        <v>-249.95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5" t="s">
        <v>8</v>
      </c>
      <c r="C32" s="10"/>
      <c r="D32" s="4">
        <f>SUM(OSRRefD16x_0)</f>
        <v>262131.99999999991</v>
      </c>
      <c r="E32" s="4"/>
      <c r="F32" s="12">
        <f t="shared" ref="F32:F43" si="4">IF(D$12=0,0,D32/D$12)</f>
        <v>0.99425541484443503</v>
      </c>
      <c r="G32" s="4"/>
      <c r="H32" s="4">
        <f>SUM(OSRRefH16x_0)</f>
        <v>225148</v>
      </c>
      <c r="I32" s="4"/>
      <c r="J32" s="12">
        <f t="shared" ref="J32:J43" si="5">IF(H$12=0,0,H32/H$12)</f>
        <v>0.78096665209820526</v>
      </c>
      <c r="K32" s="4"/>
      <c r="L32" s="4">
        <f t="shared" ref="L32:L43" si="6">+D32-H32</f>
        <v>36983.999999999913</v>
      </c>
      <c r="M32" s="4"/>
      <c r="N32" s="12">
        <f t="shared" ref="N32:N43" si="7">IF(H32=0,0,L32/H32)</f>
        <v>0.16426528328033077</v>
      </c>
      <c r="O32" s="10"/>
      <c r="P32" s="4">
        <f>SUM(OSRRefP16x_0)</f>
        <v>924552</v>
      </c>
      <c r="Q32" s="4"/>
      <c r="R32" s="12">
        <f t="shared" ref="R32:R43" si="8">IF(P$12=0,0,P32/P$12)</f>
        <v>0.95979098516385719</v>
      </c>
      <c r="S32" s="4"/>
      <c r="T32" s="4">
        <f>SUM(OSRRefT16x_0)</f>
        <v>837944</v>
      </c>
      <c r="U32" s="4"/>
      <c r="V32" s="12">
        <f t="shared" ref="V32:V43" si="9">IF(T$12=0,0,T32/T$12)</f>
        <v>0.78096407977549975</v>
      </c>
      <c r="W32" s="4"/>
      <c r="X32" s="4">
        <f t="shared" ref="X32:X43" si="10">+P32-T32</f>
        <v>86608</v>
      </c>
      <c r="Y32" s="4"/>
      <c r="Z32" s="12">
        <f t="shared" ref="Z32:Z43" si="11">IF(T32=0,0,X32/T32)</f>
        <v>0.10335774228349388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225148</v>
      </c>
      <c r="I33" s="2"/>
      <c r="J33" s="22">
        <f t="shared" si="5"/>
        <v>0.78096665209820526</v>
      </c>
      <c r="K33" s="2"/>
      <c r="L33" s="2">
        <f t="shared" si="6"/>
        <v>-225148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837944</v>
      </c>
      <c r="U33" s="2"/>
      <c r="V33" s="22">
        <f t="shared" si="9"/>
        <v>0.78096407977549975</v>
      </c>
      <c r="W33" s="2"/>
      <c r="X33" s="2">
        <f t="shared" si="10"/>
        <v>-837944</v>
      </c>
      <c r="Y33" s="2"/>
      <c r="Z33" s="22">
        <f t="shared" si="11"/>
        <v>-1</v>
      </c>
    </row>
    <row r="34" spans="1:26" s="24" customFormat="1" hidden="1" outlineLevel="1" x14ac:dyDescent="0.2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8274.98</v>
      </c>
      <c r="E34" s="2"/>
      <c r="F34" s="22">
        <f t="shared" si="4"/>
        <v>3.1386643647968983E-2</v>
      </c>
      <c r="G34" s="2"/>
      <c r="H34" s="2"/>
      <c r="I34" s="2"/>
      <c r="J34" s="22">
        <f t="shared" si="5"/>
        <v>0</v>
      </c>
      <c r="K34" s="2"/>
      <c r="L34" s="2">
        <f t="shared" si="6"/>
        <v>8274.98</v>
      </c>
      <c r="M34" s="2"/>
      <c r="N34" s="22">
        <f t="shared" si="7"/>
        <v>0</v>
      </c>
      <c r="O34" s="11"/>
      <c r="P34" s="2">
        <v>15697.449999999999</v>
      </c>
      <c r="Q34" s="2"/>
      <c r="R34" s="22">
        <f t="shared" si="8"/>
        <v>1.6295752970152452E-2</v>
      </c>
      <c r="S34" s="2"/>
      <c r="T34" s="2"/>
      <c r="U34" s="2"/>
      <c r="V34" s="22">
        <f t="shared" si="9"/>
        <v>0</v>
      </c>
      <c r="W34" s="2"/>
      <c r="X34" s="2">
        <f t="shared" si="10"/>
        <v>15697.449999999999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470149.41</v>
      </c>
      <c r="E35" s="2"/>
      <c r="F35" s="22">
        <f t="shared" si="4"/>
        <v>1.7832565145743995</v>
      </c>
      <c r="G35" s="2"/>
      <c r="H35" s="2"/>
      <c r="I35" s="2"/>
      <c r="J35" s="22">
        <f t="shared" si="5"/>
        <v>0</v>
      </c>
      <c r="K35" s="2"/>
      <c r="L35" s="2">
        <f t="shared" si="6"/>
        <v>470149.41</v>
      </c>
      <c r="M35" s="2"/>
      <c r="N35" s="22">
        <f t="shared" si="7"/>
        <v>0</v>
      </c>
      <c r="O35" s="11"/>
      <c r="P35" s="2">
        <v>713373.21</v>
      </c>
      <c r="Q35" s="2"/>
      <c r="R35" s="22">
        <f t="shared" si="8"/>
        <v>0.74056318737659221</v>
      </c>
      <c r="S35" s="2"/>
      <c r="T35" s="2"/>
      <c r="U35" s="2"/>
      <c r="V35" s="22">
        <f t="shared" si="9"/>
        <v>0</v>
      </c>
      <c r="W35" s="2"/>
      <c r="X35" s="2">
        <f t="shared" si="10"/>
        <v>713373.21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24155.15</v>
      </c>
      <c r="E36" s="2"/>
      <c r="F36" s="22">
        <f t="shared" si="4"/>
        <v>9.1619446247995534E-2</v>
      </c>
      <c r="G36" s="2"/>
      <c r="H36" s="2"/>
      <c r="I36" s="2"/>
      <c r="J36" s="22">
        <f t="shared" si="5"/>
        <v>0</v>
      </c>
      <c r="K36" s="2"/>
      <c r="L36" s="2">
        <f t="shared" si="6"/>
        <v>24155.15</v>
      </c>
      <c r="M36" s="2"/>
      <c r="N36" s="22">
        <f t="shared" si="7"/>
        <v>0</v>
      </c>
      <c r="O36" s="11"/>
      <c r="P36" s="2">
        <v>61434</v>
      </c>
      <c r="Q36" s="2"/>
      <c r="R36" s="22">
        <f t="shared" si="8"/>
        <v>6.3775536024535562E-2</v>
      </c>
      <c r="S36" s="2"/>
      <c r="T36" s="2"/>
      <c r="U36" s="2"/>
      <c r="V36" s="22">
        <f t="shared" si="9"/>
        <v>0</v>
      </c>
      <c r="W36" s="2"/>
      <c r="X36" s="2">
        <f t="shared" si="10"/>
        <v>61434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8609.1200000000008</v>
      </c>
      <c r="E37" s="2"/>
      <c r="F37" s="22">
        <f t="shared" si="4"/>
        <v>3.2654022313359399E-2</v>
      </c>
      <c r="G37" s="2"/>
      <c r="H37" s="2"/>
      <c r="I37" s="2"/>
      <c r="J37" s="22">
        <f t="shared" si="5"/>
        <v>0</v>
      </c>
      <c r="K37" s="2"/>
      <c r="L37" s="2">
        <f t="shared" si="6"/>
        <v>8609.1200000000008</v>
      </c>
      <c r="M37" s="2"/>
      <c r="N37" s="22">
        <f t="shared" si="7"/>
        <v>0</v>
      </c>
      <c r="O37" s="11"/>
      <c r="P37" s="2">
        <v>14837.68</v>
      </c>
      <c r="Q37" s="2"/>
      <c r="R37" s="22">
        <f t="shared" si="8"/>
        <v>1.5403213128894925E-2</v>
      </c>
      <c r="S37" s="2"/>
      <c r="T37" s="2"/>
      <c r="U37" s="2"/>
      <c r="V37" s="22">
        <f t="shared" si="9"/>
        <v>0</v>
      </c>
      <c r="W37" s="2"/>
      <c r="X37" s="2">
        <f t="shared" si="10"/>
        <v>14837.68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18.760000000000002</v>
      </c>
      <c r="E38" s="2"/>
      <c r="F38" s="22">
        <f t="shared" si="4"/>
        <v>7.1155874072915967E-5</v>
      </c>
      <c r="G38" s="2"/>
      <c r="H38" s="2"/>
      <c r="I38" s="2"/>
      <c r="J38" s="22">
        <f t="shared" si="5"/>
        <v>0</v>
      </c>
      <c r="K38" s="2"/>
      <c r="L38" s="2">
        <f t="shared" si="6"/>
        <v>18.760000000000002</v>
      </c>
      <c r="M38" s="2"/>
      <c r="N38" s="22">
        <f t="shared" si="7"/>
        <v>0</v>
      </c>
      <c r="O38" s="11"/>
      <c r="P38" s="2">
        <v>21755.969999999998</v>
      </c>
      <c r="Q38" s="2"/>
      <c r="R38" s="22">
        <f t="shared" si="8"/>
        <v>2.258519140026231E-2</v>
      </c>
      <c r="S38" s="2"/>
      <c r="T38" s="2"/>
      <c r="U38" s="2"/>
      <c r="V38" s="22">
        <f t="shared" si="9"/>
        <v>0</v>
      </c>
      <c r="W38" s="2"/>
      <c r="X38" s="2">
        <f t="shared" si="10"/>
        <v>21755.969999999998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-511387.42000000004</v>
      </c>
      <c r="E39" s="2"/>
      <c r="F39" s="22">
        <f t="shared" si="4"/>
        <v>-1.9396705149250208</v>
      </c>
      <c r="G39" s="2"/>
      <c r="H39" s="2"/>
      <c r="I39" s="2"/>
      <c r="J39" s="22">
        <f t="shared" si="5"/>
        <v>0</v>
      </c>
      <c r="K39" s="2"/>
      <c r="L39" s="2">
        <f t="shared" si="6"/>
        <v>-511387.42000000004</v>
      </c>
      <c r="M39" s="2"/>
      <c r="N39" s="22">
        <f t="shared" si="7"/>
        <v>0</v>
      </c>
      <c r="O39" s="11"/>
      <c r="P39" s="2">
        <v>-827319.82</v>
      </c>
      <c r="Q39" s="2"/>
      <c r="R39" s="22">
        <f t="shared" si="8"/>
        <v>-0.85885283367878162</v>
      </c>
      <c r="S39" s="2"/>
      <c r="T39" s="2"/>
      <c r="U39" s="2"/>
      <c r="V39" s="22">
        <f t="shared" si="9"/>
        <v>0</v>
      </c>
      <c r="W39" s="2"/>
      <c r="X39" s="2">
        <f t="shared" si="10"/>
        <v>-827319.82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"5300", " - ", "COG$ OFFSET")</f>
        <v xml:space="preserve">          5300 - COG$ OFFSET</v>
      </c>
      <c r="C40" s="11"/>
      <c r="D40" s="2">
        <v>262131.99999999997</v>
      </c>
      <c r="E40" s="2"/>
      <c r="F40" s="22">
        <f t="shared" si="4"/>
        <v>0.99425541484443525</v>
      </c>
      <c r="G40" s="2"/>
      <c r="H40" s="2"/>
      <c r="I40" s="2"/>
      <c r="J40" s="22">
        <f t="shared" si="5"/>
        <v>0</v>
      </c>
      <c r="K40" s="2"/>
      <c r="L40" s="2">
        <f t="shared" si="6"/>
        <v>262131.99999999997</v>
      </c>
      <c r="M40" s="2"/>
      <c r="N40" s="22">
        <f t="shared" si="7"/>
        <v>0</v>
      </c>
      <c r="O40" s="11"/>
      <c r="P40" s="2">
        <v>924552</v>
      </c>
      <c r="Q40" s="2"/>
      <c r="R40" s="22">
        <f t="shared" si="8"/>
        <v>0.95979098516385719</v>
      </c>
      <c r="S40" s="2"/>
      <c r="T40" s="2"/>
      <c r="U40" s="2"/>
      <c r="V40" s="22">
        <f t="shared" si="9"/>
        <v>0</v>
      </c>
      <c r="W40" s="2"/>
      <c r="X40" s="2">
        <f t="shared" si="10"/>
        <v>924552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"5582", " - ", "FREIGHT-IN-COMPUTER HARDWARE")</f>
        <v xml:space="preserve">          5582 - FREIGHT-IN-COMPUTER HARDWARE</v>
      </c>
      <c r="C41" s="11"/>
      <c r="D41" s="2">
        <v>24</v>
      </c>
      <c r="E41" s="2"/>
      <c r="F41" s="22">
        <f t="shared" si="4"/>
        <v>9.1030968963218717E-5</v>
      </c>
      <c r="G41" s="2"/>
      <c r="H41" s="2"/>
      <c r="I41" s="2"/>
      <c r="J41" s="22">
        <f t="shared" si="5"/>
        <v>0</v>
      </c>
      <c r="K41" s="2"/>
      <c r="L41" s="2">
        <f t="shared" si="6"/>
        <v>24</v>
      </c>
      <c r="M41" s="2"/>
      <c r="N41" s="22">
        <f t="shared" si="7"/>
        <v>0</v>
      </c>
      <c r="O41" s="11"/>
      <c r="P41" s="2">
        <v>24</v>
      </c>
      <c r="Q41" s="2"/>
      <c r="R41" s="22">
        <f t="shared" si="8"/>
        <v>2.4914751840818656E-5</v>
      </c>
      <c r="S41" s="2"/>
      <c r="T41" s="2"/>
      <c r="U41" s="2"/>
      <c r="V41" s="22">
        <f t="shared" si="9"/>
        <v>0</v>
      </c>
      <c r="W41" s="2"/>
      <c r="X41" s="2">
        <f t="shared" si="10"/>
        <v>24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"5583", " - ", "FREIGHT-IN-COMPUTER EQUIPMENT")</f>
        <v xml:space="preserve">          5583 - FREIGHT-IN-COMPUTER EQUIPMENT</v>
      </c>
      <c r="C42" s="11"/>
      <c r="D42" s="2">
        <v>156</v>
      </c>
      <c r="E42" s="2"/>
      <c r="F42" s="22">
        <f t="shared" si="4"/>
        <v>5.9170129826092164E-4</v>
      </c>
      <c r="G42" s="2"/>
      <c r="H42" s="2"/>
      <c r="I42" s="2"/>
      <c r="J42" s="22">
        <f t="shared" si="5"/>
        <v>0</v>
      </c>
      <c r="K42" s="2"/>
      <c r="L42" s="2">
        <f t="shared" si="6"/>
        <v>156</v>
      </c>
      <c r="M42" s="2"/>
      <c r="N42" s="22">
        <f t="shared" si="7"/>
        <v>0</v>
      </c>
      <c r="O42" s="11"/>
      <c r="P42" s="2">
        <v>173.39</v>
      </c>
      <c r="Q42" s="2"/>
      <c r="R42" s="22">
        <f t="shared" si="8"/>
        <v>1.7999870090331445E-4</v>
      </c>
      <c r="S42" s="2"/>
      <c r="T42" s="2"/>
      <c r="U42" s="2"/>
      <c r="V42" s="22">
        <f t="shared" si="9"/>
        <v>0</v>
      </c>
      <c r="W42" s="2"/>
      <c r="X42" s="2">
        <f t="shared" si="10"/>
        <v>173.39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"5586", " - ", "FREIGHT-IN-COMPUTER SUPPLIES")</f>
        <v xml:space="preserve">          5586 - FREIGHT-IN-COMPUTER SUPPLIES</v>
      </c>
      <c r="C43" s="11"/>
      <c r="D43" s="2"/>
      <c r="E43" s="2"/>
      <c r="F43" s="22">
        <f t="shared" si="4"/>
        <v>0</v>
      </c>
      <c r="G43" s="2"/>
      <c r="H43" s="2"/>
      <c r="I43" s="2"/>
      <c r="J43" s="22">
        <f t="shared" si="5"/>
        <v>0</v>
      </c>
      <c r="K43" s="2"/>
      <c r="L43" s="2">
        <f t="shared" si="6"/>
        <v>0</v>
      </c>
      <c r="M43" s="2"/>
      <c r="N43" s="22">
        <f t="shared" si="7"/>
        <v>0</v>
      </c>
      <c r="O43" s="11"/>
      <c r="P43" s="2">
        <v>24.12</v>
      </c>
      <c r="Q43" s="2"/>
      <c r="R43" s="22">
        <f t="shared" si="8"/>
        <v>2.5039325600022752E-5</v>
      </c>
      <c r="S43" s="2"/>
      <c r="T43" s="2"/>
      <c r="U43" s="2"/>
      <c r="V43" s="22">
        <f t="shared" si="9"/>
        <v>0</v>
      </c>
      <c r="W43" s="2"/>
      <c r="X43" s="2">
        <f t="shared" si="10"/>
        <v>24.12</v>
      </c>
      <c r="Y43" s="2"/>
      <c r="Z43" s="22">
        <f t="shared" si="11"/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6" t="s">
        <v>6</v>
      </c>
      <c r="C45" s="26"/>
      <c r="D45" s="20">
        <f>D12-D32</f>
        <v>1514.5400000000664</v>
      </c>
      <c r="E45" s="13"/>
      <c r="F45" s="21">
        <f>IF(D$12=0,0,D45/D$12)</f>
        <v>5.7445851555649715E-3</v>
      </c>
      <c r="G45" s="13"/>
      <c r="H45" s="20">
        <f>H12-H32</f>
        <v>63146</v>
      </c>
      <c r="I45" s="13"/>
      <c r="J45" s="21">
        <f>IF(H$12=0,0,H45/H$12)</f>
        <v>0.21903334790179468</v>
      </c>
      <c r="K45" s="16"/>
      <c r="L45" s="20">
        <f>+D45-H45</f>
        <v>-61631.459999999934</v>
      </c>
      <c r="M45" s="16"/>
      <c r="N45" s="21">
        <f>IF(H45=0,0,L45/H45)</f>
        <v>-0.97601526620846824</v>
      </c>
      <c r="O45" s="25"/>
      <c r="P45" s="20">
        <f>P12-P32</f>
        <v>38732.729999999865</v>
      </c>
      <c r="Q45" s="13"/>
      <c r="R45" s="21">
        <f>IF(P$12=0,0,P45/P$12)</f>
        <v>4.0209014836142865E-2</v>
      </c>
      <c r="S45" s="13"/>
      <c r="T45" s="20">
        <f>T12-T32</f>
        <v>235017</v>
      </c>
      <c r="U45" s="13"/>
      <c r="V45" s="21">
        <f>IF(T$12=0,0,T45/T$12)</f>
        <v>0.21903592022450025</v>
      </c>
      <c r="W45" s="16"/>
      <c r="X45" s="20">
        <f>+P45-T45</f>
        <v>-196284.27000000014</v>
      </c>
      <c r="Y45" s="16"/>
      <c r="Z45" s="21">
        <f>IF(T45=0,0,X45/T45)</f>
        <v>-0.83519179463613324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5" t="s">
        <v>9</v>
      </c>
      <c r="C47" s="10"/>
      <c r="D47" s="19">
        <f>SUM(OSRRefD22x_0)</f>
        <v>12326.230000000001</v>
      </c>
      <c r="E47" s="19"/>
      <c r="F47" s="35">
        <f t="shared" ref="F47:F58" si="12">IF(D$12=0,0,D47/D$12)</f>
        <v>4.6752860856812316E-2</v>
      </c>
      <c r="G47" s="19"/>
      <c r="H47" s="19">
        <f>SUM(OSRRefH22x_0)</f>
        <v>20591.858402846156</v>
      </c>
      <c r="I47" s="19"/>
      <c r="J47" s="35">
        <f t="shared" ref="J47:J58" si="13">IF(H$12=0,0,H47/H$12)</f>
        <v>7.1426593695485013E-2</v>
      </c>
      <c r="K47" s="4"/>
      <c r="L47" s="19">
        <f t="shared" ref="L47:L58" si="14">+D47-H47</f>
        <v>-8265.6284028461541</v>
      </c>
      <c r="M47" s="4"/>
      <c r="N47" s="35">
        <f t="shared" ref="N47:N58" si="15">IF(H47=0,0,L47/H47)</f>
        <v>-0.40140274088635436</v>
      </c>
      <c r="O47" s="10"/>
      <c r="P47" s="19">
        <f>SUM(OSRRefP22x_0)</f>
        <v>39241.700000000012</v>
      </c>
      <c r="Q47" s="19"/>
      <c r="R47" s="35">
        <f t="shared" ref="R47:R58" si="16">IF(P$12=0,0,P47/P$12)</f>
        <v>4.0737384054660576E-2</v>
      </c>
      <c r="S47" s="19"/>
      <c r="T47" s="19">
        <f>SUM(OSRRefT22x_0)</f>
        <v>60581.834754249998</v>
      </c>
      <c r="U47" s="19"/>
      <c r="V47" s="35">
        <f t="shared" ref="V47:V58" si="17">IF(T$12=0,0,T47/T$12)</f>
        <v>5.6462289639837793E-2</v>
      </c>
      <c r="W47" s="4"/>
      <c r="X47" s="19">
        <f t="shared" ref="X47:X58" si="18">+P47-T47</f>
        <v>-21340.134754249986</v>
      </c>
      <c r="Y47" s="4"/>
      <c r="Z47" s="35">
        <f t="shared" ref="Z47:Z58" si="19">IF(T47=0,0,X47/T47)</f>
        <v>-0.35225302833458527</v>
      </c>
    </row>
    <row r="48" spans="1:26" s="28" customFormat="1" outlineLevel="1" collapsed="1" x14ac:dyDescent="0.25">
      <c r="A48" s="27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2917.2400000000007</v>
      </c>
      <c r="E48" s="1"/>
      <c r="F48" s="5">
        <f t="shared" si="12"/>
        <v>1.1064965995760843E-2</v>
      </c>
      <c r="G48" s="1"/>
      <c r="H48" s="1">
        <f>SUM(OSRRefH22_0x_0)</f>
        <v>2476.3834028461542</v>
      </c>
      <c r="I48" s="1"/>
      <c r="J48" s="5">
        <f t="shared" si="13"/>
        <v>8.5897847435123659E-3</v>
      </c>
      <c r="K48" s="1"/>
      <c r="L48" s="1">
        <f t="shared" si="14"/>
        <v>440.85659715384645</v>
      </c>
      <c r="M48" s="1"/>
      <c r="N48" s="5">
        <f t="shared" si="15"/>
        <v>0.17802437080104866</v>
      </c>
      <c r="O48" s="14"/>
      <c r="P48" s="1">
        <f>SUM(OSRRefP22_0x_0)</f>
        <v>8488.76</v>
      </c>
      <c r="Q48" s="1"/>
      <c r="R48" s="5">
        <f t="shared" si="16"/>
        <v>8.8123062015111574E-3</v>
      </c>
      <c r="S48" s="1"/>
      <c r="T48" s="1">
        <f>SUM(OSRRefT22_0x_0)</f>
        <v>7937.1935042499972</v>
      </c>
      <c r="U48" s="1"/>
      <c r="V48" s="5">
        <f t="shared" si="17"/>
        <v>7.3974669202794855E-3</v>
      </c>
      <c r="W48" s="1"/>
      <c r="X48" s="1">
        <f t="shared" si="18"/>
        <v>551.56649575000301</v>
      </c>
      <c r="Y48" s="1"/>
      <c r="Z48" s="5">
        <f t="shared" si="19"/>
        <v>6.9491375692764062E-2</v>
      </c>
    </row>
    <row r="49" spans="1:26" s="24" customFormat="1" hidden="1" outlineLevel="2" x14ac:dyDescent="0.25">
      <c r="A49" s="29"/>
      <c r="B49" s="11" t="str">
        <f>CONCATENATE("          ", "6111", " - ", "F.I.C.A.")</f>
        <v xml:space="preserve">          6111 - F.I.C.A.</v>
      </c>
      <c r="C49" s="11"/>
      <c r="D49" s="6">
        <v>530.98</v>
      </c>
      <c r="E49" s="2"/>
      <c r="F49" s="7">
        <f t="shared" si="12"/>
        <v>2.0139843291704113E-3</v>
      </c>
      <c r="G49" s="2"/>
      <c r="H49" s="6">
        <v>425.68281899999999</v>
      </c>
      <c r="I49" s="2"/>
      <c r="J49" s="7">
        <f t="shared" si="13"/>
        <v>1.4765580241003975E-3</v>
      </c>
      <c r="K49" s="2"/>
      <c r="L49" s="6">
        <f t="shared" si="14"/>
        <v>105.29718100000002</v>
      </c>
      <c r="M49" s="2"/>
      <c r="N49" s="7">
        <f t="shared" si="15"/>
        <v>0.24736065516423866</v>
      </c>
      <c r="O49" s="11"/>
      <c r="P49" s="6">
        <v>1569.36</v>
      </c>
      <c r="Q49" s="2"/>
      <c r="R49" s="7">
        <f t="shared" si="16"/>
        <v>1.6291756228711319E-3</v>
      </c>
      <c r="S49" s="2"/>
      <c r="T49" s="6">
        <v>1810.8126817500001</v>
      </c>
      <c r="U49" s="2"/>
      <c r="V49" s="7">
        <f t="shared" si="17"/>
        <v>1.6876780067029465E-3</v>
      </c>
      <c r="W49" s="2"/>
      <c r="X49" s="6">
        <f t="shared" si="18"/>
        <v>-241.45268175000024</v>
      </c>
      <c r="Y49" s="2"/>
      <c r="Z49" s="7">
        <f t="shared" si="19"/>
        <v>-0.13333940290094295</v>
      </c>
    </row>
    <row r="50" spans="1:26" s="24" customFormat="1" hidden="1" outlineLevel="2" x14ac:dyDescent="0.25">
      <c r="A50" s="29"/>
      <c r="B50" s="11" t="str">
        <f>CONCATENATE("          ", "6112", " - ", "COMPENSATION INSURANCE")</f>
        <v xml:space="preserve">          6112 - COMPENSATION INSURANCE</v>
      </c>
      <c r="C50" s="11"/>
      <c r="D50" s="6">
        <v>168.59</v>
      </c>
      <c r="E50" s="2"/>
      <c r="F50" s="7">
        <f t="shared" si="12"/>
        <v>6.394546273962102E-4</v>
      </c>
      <c r="G50" s="2"/>
      <c r="H50" s="6">
        <v>215.03104999999999</v>
      </c>
      <c r="I50" s="2"/>
      <c r="J50" s="7">
        <f t="shared" si="13"/>
        <v>7.4587417705536711E-4</v>
      </c>
      <c r="K50" s="2"/>
      <c r="L50" s="6">
        <f t="shared" si="14"/>
        <v>-46.44104999999999</v>
      </c>
      <c r="M50" s="2"/>
      <c r="N50" s="7">
        <f t="shared" si="15"/>
        <v>-0.21597369310153111</v>
      </c>
      <c r="O50" s="11"/>
      <c r="P50" s="6">
        <v>312.5</v>
      </c>
      <c r="Q50" s="2"/>
      <c r="R50" s="7">
        <f t="shared" si="16"/>
        <v>3.2441083126065961E-4</v>
      </c>
      <c r="S50" s="2"/>
      <c r="T50" s="6">
        <v>549.86578750000001</v>
      </c>
      <c r="U50" s="2"/>
      <c r="V50" s="7">
        <f t="shared" si="17"/>
        <v>5.124750922913321E-4</v>
      </c>
      <c r="W50" s="2"/>
      <c r="X50" s="6">
        <f t="shared" si="18"/>
        <v>-237.36578750000001</v>
      </c>
      <c r="Y50" s="2"/>
      <c r="Z50" s="7">
        <f t="shared" si="19"/>
        <v>-0.43167949869948946</v>
      </c>
    </row>
    <row r="51" spans="1:26" s="24" customFormat="1" hidden="1" outlineLevel="2" x14ac:dyDescent="0.25">
      <c r="A51" s="29"/>
      <c r="B51" s="11" t="str">
        <f>CONCATENATE("          ", "6113", " - ", "GROUP INSURANCE")</f>
        <v xml:space="preserve">          6113 - GROUP INSURANCE</v>
      </c>
      <c r="C51" s="11"/>
      <c r="D51" s="6">
        <v>1035.69</v>
      </c>
      <c r="E51" s="2"/>
      <c r="F51" s="7">
        <f t="shared" si="12"/>
        <v>3.9283276768964995E-3</v>
      </c>
      <c r="G51" s="2"/>
      <c r="H51" s="6">
        <v>946.34615384615404</v>
      </c>
      <c r="I51" s="2"/>
      <c r="J51" s="7">
        <f t="shared" si="13"/>
        <v>3.2825731851726155E-3</v>
      </c>
      <c r="K51" s="2"/>
      <c r="L51" s="6">
        <f t="shared" si="14"/>
        <v>89.343846153846016</v>
      </c>
      <c r="M51" s="2"/>
      <c r="N51" s="7">
        <f t="shared" si="15"/>
        <v>9.4409266409266238E-2</v>
      </c>
      <c r="O51" s="11"/>
      <c r="P51" s="6">
        <v>3107.07</v>
      </c>
      <c r="Q51" s="2"/>
      <c r="R51" s="7">
        <f t="shared" si="16"/>
        <v>3.2254949167521848E-3</v>
      </c>
      <c r="S51" s="2"/>
      <c r="T51" s="6">
        <v>2992.4999999999977</v>
      </c>
      <c r="U51" s="2"/>
      <c r="V51" s="7">
        <f t="shared" si="17"/>
        <v>2.7890109705758157E-3</v>
      </c>
      <c r="W51" s="2"/>
      <c r="X51" s="6">
        <f t="shared" si="18"/>
        <v>114.57000000000244</v>
      </c>
      <c r="Y51" s="2"/>
      <c r="Z51" s="7">
        <f t="shared" si="19"/>
        <v>3.8285714285715131E-2</v>
      </c>
    </row>
    <row r="52" spans="1:26" s="24" customFormat="1" hidden="1" outlineLevel="2" x14ac:dyDescent="0.25">
      <c r="A52" s="29"/>
      <c r="B52" s="11" t="str">
        <f>CONCATENATE("          ", "6114", " - ", "STATE UNEMPLOYMENT INSURANCE")</f>
        <v xml:space="preserve">          6114 - STATE UNEMPLOYMENT INSURANCE</v>
      </c>
      <c r="C52" s="11"/>
      <c r="D52" s="6">
        <v>23.69</v>
      </c>
      <c r="E52" s="2"/>
      <c r="F52" s="7">
        <f t="shared" si="12"/>
        <v>8.9855152280777153E-5</v>
      </c>
      <c r="G52" s="2"/>
      <c r="H52" s="6">
        <v>30.220580000000002</v>
      </c>
      <c r="I52" s="2"/>
      <c r="J52" s="7">
        <f t="shared" si="13"/>
        <v>1.0482556001859214E-4</v>
      </c>
      <c r="K52" s="2"/>
      <c r="L52" s="6">
        <f t="shared" si="14"/>
        <v>-6.5305800000000005</v>
      </c>
      <c r="M52" s="2"/>
      <c r="N52" s="7">
        <f t="shared" si="15"/>
        <v>-0.21609710998266746</v>
      </c>
      <c r="O52" s="11"/>
      <c r="P52" s="6">
        <v>58.62</v>
      </c>
      <c r="Q52" s="2"/>
      <c r="R52" s="7">
        <f t="shared" si="16"/>
        <v>6.0854281371199571E-5</v>
      </c>
      <c r="S52" s="2"/>
      <c r="T52" s="6">
        <v>77.278435000000002</v>
      </c>
      <c r="U52" s="2"/>
      <c r="V52" s="7">
        <f t="shared" si="17"/>
        <v>7.2023526484187218E-5</v>
      </c>
      <c r="W52" s="2"/>
      <c r="X52" s="6">
        <f t="shared" si="18"/>
        <v>-18.658435000000004</v>
      </c>
      <c r="Y52" s="2"/>
      <c r="Z52" s="7">
        <f t="shared" si="19"/>
        <v>-0.24144426579032047</v>
      </c>
    </row>
    <row r="53" spans="1:26" s="24" customFormat="1" hidden="1" outlineLevel="2" x14ac:dyDescent="0.25">
      <c r="A53" s="29"/>
      <c r="B53" s="11" t="str">
        <f>CONCATENATE("          ", "6115", " - ", "P.E.R.S.")</f>
        <v xml:space="preserve">          6115 - P.E.R.S.</v>
      </c>
      <c r="C53" s="11"/>
      <c r="D53" s="6">
        <v>176.42</v>
      </c>
      <c r="E53" s="2"/>
      <c r="F53" s="7">
        <f t="shared" si="12"/>
        <v>6.6915348102046025E-4</v>
      </c>
      <c r="G53" s="2"/>
      <c r="H53" s="6">
        <v>196.27780000000001</v>
      </c>
      <c r="I53" s="2"/>
      <c r="J53" s="7">
        <f t="shared" si="13"/>
        <v>6.8082512990211383E-4</v>
      </c>
      <c r="K53" s="2"/>
      <c r="L53" s="6">
        <f t="shared" si="14"/>
        <v>-19.857800000000026</v>
      </c>
      <c r="M53" s="2"/>
      <c r="N53" s="7">
        <f t="shared" si="15"/>
        <v>-0.10117191042491827</v>
      </c>
      <c r="O53" s="11"/>
      <c r="P53" s="6">
        <v>617.47</v>
      </c>
      <c r="Q53" s="2"/>
      <c r="R53" s="7">
        <f t="shared" si="16"/>
        <v>6.4100465913126241E-4</v>
      </c>
      <c r="S53" s="2"/>
      <c r="T53" s="6">
        <v>637.90284999999994</v>
      </c>
      <c r="U53" s="2"/>
      <c r="V53" s="7">
        <f t="shared" si="17"/>
        <v>5.9452566309493068E-4</v>
      </c>
      <c r="W53" s="2"/>
      <c r="X53" s="6">
        <f t="shared" si="18"/>
        <v>-20.432849999999917</v>
      </c>
      <c r="Y53" s="2"/>
      <c r="Z53" s="7">
        <f t="shared" si="19"/>
        <v>-3.2031288149911727E-2</v>
      </c>
    </row>
    <row r="54" spans="1:26" s="24" customFormat="1" hidden="1" outlineLevel="2" x14ac:dyDescent="0.25">
      <c r="A54" s="29"/>
      <c r="B54" s="11" t="str">
        <f>CONCATENATE("          ", "6116", " - ", "EDUCATIONAL BENEFITS")</f>
        <v xml:space="preserve">          6116 - EDUCATIONAL BENEFITS</v>
      </c>
      <c r="C54" s="11"/>
      <c r="D54" s="6"/>
      <c r="E54" s="2"/>
      <c r="F54" s="7">
        <f t="shared" si="12"/>
        <v>0</v>
      </c>
      <c r="G54" s="2"/>
      <c r="H54" s="6">
        <v>0</v>
      </c>
      <c r="I54" s="2"/>
      <c r="J54" s="7">
        <f t="shared" si="13"/>
        <v>0</v>
      </c>
      <c r="K54" s="2"/>
      <c r="L54" s="6">
        <f t="shared" si="14"/>
        <v>0</v>
      </c>
      <c r="M54" s="2"/>
      <c r="N54" s="7">
        <f t="shared" si="15"/>
        <v>0</v>
      </c>
      <c r="O54" s="11"/>
      <c r="P54" s="6"/>
      <c r="Q54" s="2"/>
      <c r="R54" s="7">
        <f t="shared" si="16"/>
        <v>0</v>
      </c>
      <c r="S54" s="2"/>
      <c r="T54" s="6">
        <v>0</v>
      </c>
      <c r="U54" s="2"/>
      <c r="V54" s="7">
        <f t="shared" si="17"/>
        <v>0</v>
      </c>
      <c r="W54" s="2"/>
      <c r="X54" s="6">
        <f t="shared" si="18"/>
        <v>0</v>
      </c>
      <c r="Y54" s="2"/>
      <c r="Z54" s="7">
        <f t="shared" si="19"/>
        <v>0</v>
      </c>
    </row>
    <row r="55" spans="1:26" s="24" customFormat="1" hidden="1" outlineLevel="2" x14ac:dyDescent="0.25">
      <c r="A55" s="29"/>
      <c r="B55" s="11" t="str">
        <f>CONCATENATE("          ", "6117", " - ", "RETIREMENT STAFF HOURLY")</f>
        <v xml:space="preserve">          6117 - RETIREMENT STAFF HOURLY</v>
      </c>
      <c r="C55" s="11"/>
      <c r="D55" s="6">
        <v>185.73</v>
      </c>
      <c r="E55" s="2"/>
      <c r="F55" s="7">
        <f t="shared" si="12"/>
        <v>7.0446591106410885E-4</v>
      </c>
      <c r="G55" s="2"/>
      <c r="H55" s="6"/>
      <c r="I55" s="2"/>
      <c r="J55" s="7">
        <f t="shared" si="13"/>
        <v>0</v>
      </c>
      <c r="K55" s="2"/>
      <c r="L55" s="6">
        <f t="shared" si="14"/>
        <v>185.73</v>
      </c>
      <c r="M55" s="2"/>
      <c r="N55" s="7">
        <f t="shared" si="15"/>
        <v>0</v>
      </c>
      <c r="O55" s="11"/>
      <c r="P55" s="6">
        <v>623.80999999999995</v>
      </c>
      <c r="Q55" s="2"/>
      <c r="R55" s="7">
        <f t="shared" si="16"/>
        <v>6.4758630607587853E-4</v>
      </c>
      <c r="S55" s="2"/>
      <c r="T55" s="6"/>
      <c r="U55" s="2"/>
      <c r="V55" s="7">
        <f t="shared" si="17"/>
        <v>0</v>
      </c>
      <c r="W55" s="2"/>
      <c r="X55" s="6">
        <f t="shared" si="18"/>
        <v>623.80999999999995</v>
      </c>
      <c r="Y55" s="2"/>
      <c r="Z55" s="7">
        <f t="shared" si="19"/>
        <v>0</v>
      </c>
    </row>
    <row r="56" spans="1:26" s="24" customFormat="1" hidden="1" outlineLevel="2" x14ac:dyDescent="0.25">
      <c r="A56" s="29"/>
      <c r="B56" s="11" t="str">
        <f>CONCATENATE("          ", "6118", " - ", "VACATION")</f>
        <v xml:space="preserve">          6118 - VACATION</v>
      </c>
      <c r="C56" s="11"/>
      <c r="D56" s="6">
        <v>257.8</v>
      </c>
      <c r="E56" s="2"/>
      <c r="F56" s="7">
        <f t="shared" si="12"/>
        <v>9.7782432494657439E-4</v>
      </c>
      <c r="G56" s="2"/>
      <c r="H56" s="6">
        <v>194.749</v>
      </c>
      <c r="I56" s="2"/>
      <c r="J56" s="7">
        <f t="shared" si="13"/>
        <v>6.75522209966215E-4</v>
      </c>
      <c r="K56" s="2"/>
      <c r="L56" s="6">
        <f t="shared" si="14"/>
        <v>63.051000000000016</v>
      </c>
      <c r="M56" s="2"/>
      <c r="N56" s="7">
        <f t="shared" si="15"/>
        <v>0.32375519258122004</v>
      </c>
      <c r="O56" s="11"/>
      <c r="P56" s="6">
        <v>773.4</v>
      </c>
      <c r="Q56" s="2"/>
      <c r="R56" s="7">
        <f t="shared" si="16"/>
        <v>8.0287787807038118E-4</v>
      </c>
      <c r="S56" s="2"/>
      <c r="T56" s="6">
        <v>632.93425000000002</v>
      </c>
      <c r="U56" s="2"/>
      <c r="V56" s="7">
        <f t="shared" si="17"/>
        <v>5.8989492628343438E-4</v>
      </c>
      <c r="W56" s="2"/>
      <c r="X56" s="6">
        <f t="shared" si="18"/>
        <v>140.46574999999996</v>
      </c>
      <c r="Y56" s="2"/>
      <c r="Z56" s="7">
        <f t="shared" si="19"/>
        <v>0.22192787007497217</v>
      </c>
    </row>
    <row r="57" spans="1:26" s="24" customFormat="1" hidden="1" outlineLevel="2" x14ac:dyDescent="0.25">
      <c r="A57" s="29"/>
      <c r="B57" s="11" t="str">
        <f>CONCATENATE("          ", "6119", " - ", "SICK LEAVE")</f>
        <v xml:space="preserve">          6119 - SICK LEAVE</v>
      </c>
      <c r="C57" s="11"/>
      <c r="D57" s="6">
        <v>256.57</v>
      </c>
      <c r="E57" s="2"/>
      <c r="F57" s="7">
        <f t="shared" si="12"/>
        <v>9.7315898778720935E-4</v>
      </c>
      <c r="G57" s="2"/>
      <c r="H57" s="6">
        <v>293.07600000000002</v>
      </c>
      <c r="I57" s="2"/>
      <c r="J57" s="7">
        <f t="shared" si="13"/>
        <v>1.0165872338654292E-3</v>
      </c>
      <c r="K57" s="2"/>
      <c r="L57" s="6">
        <f t="shared" si="14"/>
        <v>-36.506000000000029</v>
      </c>
      <c r="M57" s="2"/>
      <c r="N57" s="7">
        <f t="shared" si="15"/>
        <v>-0.12456154717547675</v>
      </c>
      <c r="O57" s="11"/>
      <c r="P57" s="6">
        <v>769.71</v>
      </c>
      <c r="Q57" s="2"/>
      <c r="R57" s="7">
        <f t="shared" si="16"/>
        <v>7.9904723497485543E-4</v>
      </c>
      <c r="S57" s="2"/>
      <c r="T57" s="6">
        <v>710.89949999999999</v>
      </c>
      <c r="U57" s="2"/>
      <c r="V57" s="7">
        <f t="shared" si="17"/>
        <v>6.6255856457038051E-4</v>
      </c>
      <c r="W57" s="2"/>
      <c r="X57" s="6">
        <f t="shared" si="18"/>
        <v>58.810500000000047</v>
      </c>
      <c r="Y57" s="2"/>
      <c r="Z57" s="7">
        <f t="shared" si="19"/>
        <v>8.272688333583024E-2</v>
      </c>
    </row>
    <row r="58" spans="1:26" s="24" customFormat="1" hidden="1" outlineLevel="2" x14ac:dyDescent="0.25">
      <c r="A58" s="29"/>
      <c r="B58" s="11" t="str">
        <f>CONCATENATE("          ", "6156", " - ", "EMPLOYEE MEALS")</f>
        <v xml:space="preserve">          6156 - EMPLOYEE MEALS</v>
      </c>
      <c r="C58" s="11"/>
      <c r="D58" s="6">
        <v>281.77</v>
      </c>
      <c r="E58" s="2"/>
      <c r="F58" s="7">
        <f t="shared" si="12"/>
        <v>1.0687415051985889E-3</v>
      </c>
      <c r="G58" s="2"/>
      <c r="H58" s="6">
        <v>175</v>
      </c>
      <c r="I58" s="2"/>
      <c r="J58" s="7">
        <f t="shared" si="13"/>
        <v>6.0701922343163581E-4</v>
      </c>
      <c r="K58" s="2"/>
      <c r="L58" s="6">
        <f t="shared" si="14"/>
        <v>106.76999999999998</v>
      </c>
      <c r="M58" s="2"/>
      <c r="N58" s="7">
        <f t="shared" si="15"/>
        <v>0.61011428571428561</v>
      </c>
      <c r="O58" s="11"/>
      <c r="P58" s="6">
        <v>656.82</v>
      </c>
      <c r="Q58" s="2"/>
      <c r="R58" s="7">
        <f t="shared" si="16"/>
        <v>6.8185447100360468E-4</v>
      </c>
      <c r="S58" s="2"/>
      <c r="T58" s="6">
        <v>525</v>
      </c>
      <c r="U58" s="2"/>
      <c r="V58" s="7">
        <f t="shared" si="17"/>
        <v>4.893001702764593E-4</v>
      </c>
      <c r="W58" s="2"/>
      <c r="X58" s="6">
        <f t="shared" si="18"/>
        <v>131.82000000000005</v>
      </c>
      <c r="Y58" s="2"/>
      <c r="Z58" s="7">
        <f t="shared" si="19"/>
        <v>0.25108571428571436</v>
      </c>
    </row>
    <row r="59" spans="1:26" s="28" customFormat="1" outlineLevel="1" collapsed="1" x14ac:dyDescent="0.25">
      <c r="A59" s="27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7451.68</v>
      </c>
      <c r="E59" s="1"/>
      <c r="F59" s="5">
        <f t="shared" ref="F59:F69" si="20">IF(D$12=0,0,D59/D$12)</f>
        <v>2.826390211682657E-2</v>
      </c>
      <c r="G59" s="1"/>
      <c r="H59" s="1">
        <f>SUM(OSRRefH22_1x_0)</f>
        <v>11135.475</v>
      </c>
      <c r="I59" s="1"/>
      <c r="J59" s="5">
        <f t="shared" ref="J59:J69" si="21">IF(H$12=0,0,H59/H$12)</f>
        <v>3.8625413640242252E-2</v>
      </c>
      <c r="K59" s="1"/>
      <c r="L59" s="1">
        <f t="shared" ref="L59:L69" si="22">+D59-H59</f>
        <v>-3683.7950000000001</v>
      </c>
      <c r="M59" s="1"/>
      <c r="N59" s="5">
        <f t="shared" ref="N59:N69" si="23">IF(H59=0,0,L59/H59)</f>
        <v>-0.33081615288077071</v>
      </c>
      <c r="O59" s="14"/>
      <c r="P59" s="1">
        <f>SUM(OSRRefP22_1x_0)</f>
        <v>23259.17</v>
      </c>
      <c r="Q59" s="1"/>
      <c r="R59" s="5">
        <f t="shared" ref="R59:R69" si="24">IF(P$12=0,0,P59/P$12)</f>
        <v>2.4145685357225586E-2</v>
      </c>
      <c r="S59" s="1"/>
      <c r="T59" s="1">
        <f>SUM(OSRRefT22_1x_0)</f>
        <v>28378.641250000001</v>
      </c>
      <c r="U59" s="1"/>
      <c r="V59" s="5">
        <f t="shared" ref="V59:V69" si="25">IF(T$12=0,0,T59/T$12)</f>
        <v>2.6448902849218192E-2</v>
      </c>
      <c r="W59" s="1"/>
      <c r="X59" s="1">
        <f t="shared" ref="X59:X69" si="26">+P59-T59</f>
        <v>-5119.4712500000023</v>
      </c>
      <c r="Y59" s="1"/>
      <c r="Z59" s="5">
        <f t="shared" ref="Z59:Z69" si="27">IF(T59=0,0,X59/T59)</f>
        <v>-0.1803987444254401</v>
      </c>
    </row>
    <row r="60" spans="1:26" s="24" customFormat="1" hidden="1" outlineLevel="2" x14ac:dyDescent="0.25">
      <c r="A60" s="29"/>
      <c r="B60" s="11" t="str">
        <f>CONCATENATE("          ", "6001", " - ", "ADMINISTRATIVE SALARIES")</f>
        <v xml:space="preserve">          6001 - ADMINISTRATIVE SALARIES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4" customFormat="1" hidden="1" outlineLevel="2" x14ac:dyDescent="0.25">
      <c r="A61" s="29"/>
      <c r="B61" s="11" t="str">
        <f>CONCATENATE("          ", "6002", " - ", "STAFF SALARIES")</f>
        <v xml:space="preserve">          6002 - STAFF SALARIES</v>
      </c>
      <c r="C61" s="11"/>
      <c r="D61" s="6">
        <v>2282.3000000000002</v>
      </c>
      <c r="E61" s="2"/>
      <c r="F61" s="7">
        <f t="shared" si="20"/>
        <v>8.6566658526980866E-3</v>
      </c>
      <c r="G61" s="2"/>
      <c r="H61" s="6">
        <v>2168.1849999999999</v>
      </c>
      <c r="I61" s="2"/>
      <c r="J61" s="7">
        <f t="shared" si="21"/>
        <v>7.5207427140349782E-3</v>
      </c>
      <c r="K61" s="2"/>
      <c r="L61" s="6">
        <f t="shared" si="22"/>
        <v>114.11500000000024</v>
      </c>
      <c r="M61" s="2"/>
      <c r="N61" s="7">
        <f t="shared" si="23"/>
        <v>5.2631578947368529E-2</v>
      </c>
      <c r="O61" s="11"/>
      <c r="P61" s="6">
        <v>6961.44</v>
      </c>
      <c r="Q61" s="2"/>
      <c r="R61" s="7">
        <f t="shared" si="24"/>
        <v>7.226772918947859E-3</v>
      </c>
      <c r="S61" s="2"/>
      <c r="T61" s="6">
        <v>7046.6012499999997</v>
      </c>
      <c r="U61" s="2"/>
      <c r="V61" s="7">
        <f t="shared" si="25"/>
        <v>6.5674346504672578E-3</v>
      </c>
      <c r="W61" s="2"/>
      <c r="X61" s="6">
        <f t="shared" si="26"/>
        <v>-85.161250000000109</v>
      </c>
      <c r="Y61" s="2"/>
      <c r="Z61" s="7">
        <f t="shared" si="27"/>
        <v>-1.2085436223597881E-2</v>
      </c>
    </row>
    <row r="62" spans="1:26" s="24" customFormat="1" hidden="1" outlineLevel="2" x14ac:dyDescent="0.25">
      <c r="A62" s="29"/>
      <c r="B62" s="11" t="str">
        <f>CONCATENATE("          ", "6003", " - ", "STAFF HOURLY-9 MONTH")</f>
        <v xml:space="preserve">          6003 - STAFF HOURLY-9 MONTH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4" customFormat="1" hidden="1" outlineLevel="2" x14ac:dyDescent="0.25">
      <c r="A63" s="29"/>
      <c r="B63" s="11" t="str">
        <f>CONCATENATE("          ", "6004", " - ", "STAFF HOURLY")</f>
        <v xml:space="preserve">          6004 - STAFF HOURLY</v>
      </c>
      <c r="C63" s="11"/>
      <c r="D63" s="6">
        <v>3714.5</v>
      </c>
      <c r="E63" s="2"/>
      <c r="F63" s="7">
        <f t="shared" si="20"/>
        <v>1.4088938925578163E-2</v>
      </c>
      <c r="G63" s="2"/>
      <c r="H63" s="6">
        <v>3088.12</v>
      </c>
      <c r="I63" s="2"/>
      <c r="J63" s="7">
        <f t="shared" si="21"/>
        <v>1.0711704024364017E-2</v>
      </c>
      <c r="K63" s="2"/>
      <c r="L63" s="6">
        <f t="shared" si="22"/>
        <v>626.38000000000011</v>
      </c>
      <c r="M63" s="2"/>
      <c r="N63" s="7">
        <f t="shared" si="23"/>
        <v>0.20283538204473925</v>
      </c>
      <c r="O63" s="11"/>
      <c r="P63" s="6">
        <v>10549.21</v>
      </c>
      <c r="Q63" s="2"/>
      <c r="R63" s="7">
        <f t="shared" si="24"/>
        <v>1.0951289552778441E-2</v>
      </c>
      <c r="S63" s="2"/>
      <c r="T63" s="6">
        <v>10036.39</v>
      </c>
      <c r="U63" s="2"/>
      <c r="V63" s="7">
        <f t="shared" si="25"/>
        <v>9.3539187351637191E-3</v>
      </c>
      <c r="W63" s="2"/>
      <c r="X63" s="6">
        <f t="shared" si="26"/>
        <v>512.81999999999971</v>
      </c>
      <c r="Y63" s="2"/>
      <c r="Z63" s="7">
        <f t="shared" si="27"/>
        <v>5.1096061432447298E-2</v>
      </c>
    </row>
    <row r="64" spans="1:26" s="24" customFormat="1" hidden="1" outlineLevel="2" x14ac:dyDescent="0.25">
      <c r="A64" s="29"/>
      <c r="B64" s="11" t="str">
        <f>CONCATENATE("          ", "6005", " - ", "TEMPORARY WAGES-HOURLY")</f>
        <v xml:space="preserve">          6005 - TEMPORARY WAGES-HOURLY</v>
      </c>
      <c r="C64" s="11"/>
      <c r="D64" s="6"/>
      <c r="E64" s="2"/>
      <c r="F64" s="7">
        <f t="shared" si="20"/>
        <v>0</v>
      </c>
      <c r="G64" s="2"/>
      <c r="H64" s="6">
        <v>0</v>
      </c>
      <c r="I64" s="2"/>
      <c r="J64" s="7">
        <f t="shared" si="21"/>
        <v>0</v>
      </c>
      <c r="K64" s="2"/>
      <c r="L64" s="6">
        <f t="shared" si="22"/>
        <v>0</v>
      </c>
      <c r="M64" s="2"/>
      <c r="N64" s="7">
        <f t="shared" si="23"/>
        <v>0</v>
      </c>
      <c r="O64" s="11"/>
      <c r="P64" s="6"/>
      <c r="Q64" s="2"/>
      <c r="R64" s="7">
        <f t="shared" si="24"/>
        <v>0</v>
      </c>
      <c r="S64" s="2"/>
      <c r="T64" s="6">
        <v>0</v>
      </c>
      <c r="U64" s="2"/>
      <c r="V64" s="7">
        <f t="shared" si="25"/>
        <v>0</v>
      </c>
      <c r="W64" s="2"/>
      <c r="X64" s="6">
        <f t="shared" si="26"/>
        <v>0</v>
      </c>
      <c r="Y64" s="2"/>
      <c r="Z64" s="7">
        <f t="shared" si="27"/>
        <v>0</v>
      </c>
    </row>
    <row r="65" spans="1:26" s="24" customFormat="1" hidden="1" outlineLevel="2" x14ac:dyDescent="0.25">
      <c r="A65" s="29"/>
      <c r="B65" s="11" t="str">
        <f>CONCATENATE("          ", "6006", " - ", "TEMPORARY PART TIME")</f>
        <v xml:space="preserve">          6006 - TEMPORARY PART TIME</v>
      </c>
      <c r="C65" s="11"/>
      <c r="D65" s="6"/>
      <c r="E65" s="2"/>
      <c r="F65" s="7">
        <f t="shared" si="20"/>
        <v>0</v>
      </c>
      <c r="G65" s="2"/>
      <c r="H65" s="6">
        <v>0</v>
      </c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/>
      <c r="Q65" s="2"/>
      <c r="R65" s="7">
        <f t="shared" si="24"/>
        <v>0</v>
      </c>
      <c r="S65" s="2"/>
      <c r="T65" s="6">
        <v>0</v>
      </c>
      <c r="U65" s="2"/>
      <c r="V65" s="7">
        <f t="shared" si="25"/>
        <v>0</v>
      </c>
      <c r="W65" s="2"/>
      <c r="X65" s="6">
        <f t="shared" si="26"/>
        <v>0</v>
      </c>
      <c r="Y65" s="2"/>
      <c r="Z65" s="7">
        <f t="shared" si="27"/>
        <v>0</v>
      </c>
    </row>
    <row r="66" spans="1:26" s="24" customFormat="1" hidden="1" outlineLevel="2" x14ac:dyDescent="0.25">
      <c r="A66" s="29"/>
      <c r="B66" s="11" t="str">
        <f>CONCATENATE("          ", "6007", " - ", "STUDENT HOURLY")</f>
        <v xml:space="preserve">          6007 - STUDENT HOURLY</v>
      </c>
      <c r="C66" s="11"/>
      <c r="D66" s="6">
        <v>1454.88</v>
      </c>
      <c r="E66" s="2"/>
      <c r="F66" s="7">
        <f t="shared" si="20"/>
        <v>5.518297338550319E-3</v>
      </c>
      <c r="G66" s="2"/>
      <c r="H66" s="6">
        <v>0</v>
      </c>
      <c r="I66" s="2"/>
      <c r="J66" s="7">
        <f t="shared" si="21"/>
        <v>0</v>
      </c>
      <c r="K66" s="2"/>
      <c r="L66" s="6">
        <f t="shared" si="22"/>
        <v>1454.88</v>
      </c>
      <c r="M66" s="2"/>
      <c r="N66" s="7">
        <f t="shared" si="23"/>
        <v>0</v>
      </c>
      <c r="O66" s="11"/>
      <c r="P66" s="6">
        <v>5748.52</v>
      </c>
      <c r="Q66" s="2"/>
      <c r="R66" s="7">
        <f t="shared" si="24"/>
        <v>5.9676228854992864E-3</v>
      </c>
      <c r="S66" s="2"/>
      <c r="T66" s="6">
        <v>5416.48</v>
      </c>
      <c r="U66" s="2"/>
      <c r="V66" s="7">
        <f t="shared" si="25"/>
        <v>5.0481611167600684E-3</v>
      </c>
      <c r="W66" s="2"/>
      <c r="X66" s="6">
        <f t="shared" si="26"/>
        <v>332.04000000000087</v>
      </c>
      <c r="Y66" s="2"/>
      <c r="Z66" s="7">
        <f t="shared" si="27"/>
        <v>6.1301804862198495E-2</v>
      </c>
    </row>
    <row r="67" spans="1:26" s="24" customFormat="1" hidden="1" outlineLevel="2" x14ac:dyDescent="0.25">
      <c r="A67" s="29"/>
      <c r="B67" s="11" t="str">
        <f>CONCATENATE("          ", "6008", " - ", "STUDENT HOURLY-FICA EXEMPT")</f>
        <v xml:space="preserve">          6008 - STUDENT HOURLY-FICA EXEMPT</v>
      </c>
      <c r="C67" s="11"/>
      <c r="D67" s="6"/>
      <c r="E67" s="2"/>
      <c r="F67" s="7">
        <f t="shared" si="20"/>
        <v>0</v>
      </c>
      <c r="G67" s="2"/>
      <c r="H67" s="6">
        <v>5879.17</v>
      </c>
      <c r="I67" s="2"/>
      <c r="J67" s="7">
        <f t="shared" si="21"/>
        <v>2.0392966901843258E-2</v>
      </c>
      <c r="K67" s="2"/>
      <c r="L67" s="6">
        <f t="shared" si="22"/>
        <v>-5879.17</v>
      </c>
      <c r="M67" s="2"/>
      <c r="N67" s="7">
        <f t="shared" si="23"/>
        <v>-1</v>
      </c>
      <c r="O67" s="11"/>
      <c r="P67" s="6"/>
      <c r="Q67" s="2"/>
      <c r="R67" s="7">
        <f t="shared" si="24"/>
        <v>0</v>
      </c>
      <c r="S67" s="2"/>
      <c r="T67" s="6">
        <v>5879.17</v>
      </c>
      <c r="U67" s="2"/>
      <c r="V67" s="7">
        <f t="shared" si="25"/>
        <v>5.4793883468271451E-3</v>
      </c>
      <c r="W67" s="2"/>
      <c r="X67" s="6">
        <f t="shared" si="26"/>
        <v>-5879.17</v>
      </c>
      <c r="Y67" s="2"/>
      <c r="Z67" s="7">
        <f t="shared" si="27"/>
        <v>-1</v>
      </c>
    </row>
    <row r="68" spans="1:26" s="24" customFormat="1" hidden="1" outlineLevel="2" x14ac:dyDescent="0.25">
      <c r="A68" s="29"/>
      <c r="B68" s="11" t="str">
        <f>CONCATENATE("          ", "6009", " - ", "TEMPORARY-SEASONAL")</f>
        <v xml:space="preserve">          6009 - TEMPORARY-SEASONAL</v>
      </c>
      <c r="C68" s="11"/>
      <c r="D68" s="6"/>
      <c r="E68" s="2"/>
      <c r="F68" s="7">
        <f t="shared" si="20"/>
        <v>0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0</v>
      </c>
      <c r="M68" s="2"/>
      <c r="N68" s="7">
        <f t="shared" si="23"/>
        <v>0</v>
      </c>
      <c r="O68" s="11"/>
      <c r="P68" s="6"/>
      <c r="Q68" s="2"/>
      <c r="R68" s="7">
        <f t="shared" si="24"/>
        <v>0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0</v>
      </c>
      <c r="Y68" s="2"/>
      <c r="Z68" s="7">
        <f t="shared" si="27"/>
        <v>0</v>
      </c>
    </row>
    <row r="69" spans="1:26" s="24" customFormat="1" hidden="1" outlineLevel="2" x14ac:dyDescent="0.25">
      <c r="A69" s="29"/>
      <c r="B69" s="11" t="str">
        <f>CONCATENATE("          ", "6010", " - ", "GRATUITY")</f>
        <v xml:space="preserve">          6010 - GRATUITY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8" customFormat="1" outlineLevel="1" collapsed="1" x14ac:dyDescent="0.25">
      <c r="A70" s="27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0</v>
      </c>
      <c r="E70" s="1"/>
      <c r="F70" s="5">
        <f t="shared" ref="F70:F80" si="28">IF(D$12=0,0,D70/D$12)</f>
        <v>0</v>
      </c>
      <c r="G70" s="1"/>
      <c r="H70" s="1">
        <f>SUM(OSRRefH22_2x_0)</f>
        <v>200</v>
      </c>
      <c r="I70" s="1"/>
      <c r="J70" s="5">
        <f t="shared" ref="J70:J80" si="29">IF(H$12=0,0,H70/H$12)</f>
        <v>6.9373625535044091E-4</v>
      </c>
      <c r="K70" s="1"/>
      <c r="L70" s="1">
        <f t="shared" ref="L70:L80" si="30">+D70-H70</f>
        <v>-200</v>
      </c>
      <c r="M70" s="1"/>
      <c r="N70" s="5">
        <f t="shared" ref="N70:N80" si="31">IF(H70=0,0,L70/H70)</f>
        <v>-1</v>
      </c>
      <c r="O70" s="14"/>
      <c r="P70" s="1">
        <f>SUM(OSRRefP22_2x_0)</f>
        <v>248.88</v>
      </c>
      <c r="Q70" s="1"/>
      <c r="R70" s="5">
        <f t="shared" ref="R70:R80" si="32">IF(P$12=0,0,P70/P$12)</f>
        <v>2.5836597658928945E-4</v>
      </c>
      <c r="S70" s="1"/>
      <c r="T70" s="1">
        <f>SUM(OSRRefT22_2x_0)</f>
        <v>600</v>
      </c>
      <c r="U70" s="1"/>
      <c r="V70" s="5">
        <f t="shared" ref="V70:V80" si="33">IF(T$12=0,0,T70/T$12)</f>
        <v>5.5920019460166772E-4</v>
      </c>
      <c r="W70" s="1"/>
      <c r="X70" s="1">
        <f t="shared" ref="X70:X80" si="34">+P70-T70</f>
        <v>-351.12</v>
      </c>
      <c r="Y70" s="1"/>
      <c r="Z70" s="5">
        <f t="shared" ref="Z70:Z80" si="35">IF(T70=0,0,X70/T70)</f>
        <v>-0.58520000000000005</v>
      </c>
    </row>
    <row r="71" spans="1:26" s="24" customFormat="1" hidden="1" outlineLevel="2" x14ac:dyDescent="0.25">
      <c r="A71" s="29"/>
      <c r="B71" s="11" t="str">
        <f>CONCATENATE("          ", "6362", " - ", "ADVERTISING EXPENSE")</f>
        <v xml:space="preserve">          6362 - ADVERTISING EXPENSE</v>
      </c>
      <c r="C71" s="11"/>
      <c r="D71" s="6"/>
      <c r="E71" s="2"/>
      <c r="F71" s="7">
        <f t="shared" si="28"/>
        <v>0</v>
      </c>
      <c r="G71" s="2"/>
      <c r="H71" s="6">
        <v>200</v>
      </c>
      <c r="I71" s="2"/>
      <c r="J71" s="7">
        <f t="shared" si="29"/>
        <v>6.9373625535044091E-4</v>
      </c>
      <c r="K71" s="2"/>
      <c r="L71" s="6">
        <f t="shared" si="30"/>
        <v>-200</v>
      </c>
      <c r="M71" s="2"/>
      <c r="N71" s="7">
        <f t="shared" si="31"/>
        <v>-1</v>
      </c>
      <c r="O71" s="11"/>
      <c r="P71" s="6">
        <v>248.88</v>
      </c>
      <c r="Q71" s="2"/>
      <c r="R71" s="7">
        <f t="shared" si="32"/>
        <v>2.5836597658928945E-4</v>
      </c>
      <c r="S71" s="2"/>
      <c r="T71" s="6">
        <v>600</v>
      </c>
      <c r="U71" s="2"/>
      <c r="V71" s="7">
        <f t="shared" si="33"/>
        <v>5.5920019460166772E-4</v>
      </c>
      <c r="W71" s="2"/>
      <c r="X71" s="6">
        <f t="shared" si="34"/>
        <v>-351.12</v>
      </c>
      <c r="Y71" s="2"/>
      <c r="Z71" s="7">
        <f t="shared" si="35"/>
        <v>-0.58520000000000005</v>
      </c>
    </row>
    <row r="72" spans="1:26" s="28" customFormat="1" outlineLevel="1" collapsed="1" x14ac:dyDescent="0.25">
      <c r="A72" s="27"/>
      <c r="B72" s="14" t="str">
        <f>CONCATENATE("     ","Depreciation                                      ")</f>
        <v xml:space="preserve">     Depreciation                                      </v>
      </c>
      <c r="C72" s="14"/>
      <c r="D72" s="1">
        <f>SUM(OSRRefD22_3x_0)</f>
        <v>280.44</v>
      </c>
      <c r="E72" s="1"/>
      <c r="F72" s="5">
        <f t="shared" si="28"/>
        <v>1.0636968723352106E-3</v>
      </c>
      <c r="G72" s="1"/>
      <c r="H72" s="1">
        <f>SUM(OSRRefH22_3x_0)</f>
        <v>300</v>
      </c>
      <c r="I72" s="1"/>
      <c r="J72" s="5">
        <f t="shared" si="29"/>
        <v>1.0406043830256612E-3</v>
      </c>
      <c r="K72" s="1"/>
      <c r="L72" s="1">
        <f t="shared" si="30"/>
        <v>-19.560000000000002</v>
      </c>
      <c r="M72" s="1"/>
      <c r="N72" s="5">
        <f t="shared" si="31"/>
        <v>-6.5200000000000008E-2</v>
      </c>
      <c r="O72" s="14"/>
      <c r="P72" s="1">
        <f>SUM(OSRRefP22_3x_0)</f>
        <v>841.32</v>
      </c>
      <c r="Q72" s="1"/>
      <c r="R72" s="5">
        <f t="shared" si="32"/>
        <v>8.7338662577989804E-4</v>
      </c>
      <c r="S72" s="1"/>
      <c r="T72" s="1">
        <f>SUM(OSRRefT22_3x_0)</f>
        <v>900</v>
      </c>
      <c r="U72" s="1"/>
      <c r="V72" s="5">
        <f t="shared" si="33"/>
        <v>8.3880029190250163E-4</v>
      </c>
      <c r="W72" s="1"/>
      <c r="X72" s="1">
        <f t="shared" si="34"/>
        <v>-58.67999999999995</v>
      </c>
      <c r="Y72" s="1"/>
      <c r="Z72" s="5">
        <f t="shared" si="35"/>
        <v>-6.5199999999999939E-2</v>
      </c>
    </row>
    <row r="73" spans="1:26" s="24" customFormat="1" hidden="1" outlineLevel="2" x14ac:dyDescent="0.25">
      <c r="A73" s="29"/>
      <c r="B73" s="11" t="str">
        <f>CONCATENATE("          ", "6322", " - ", "EQUIPMENT DEPRECIATION EXPENSE")</f>
        <v xml:space="preserve">          6322 - EQUIPMENT DEPRECIATION EXPENSE</v>
      </c>
      <c r="C73" s="11"/>
      <c r="D73" s="6">
        <v>280.44</v>
      </c>
      <c r="E73" s="2"/>
      <c r="F73" s="7">
        <f t="shared" si="28"/>
        <v>1.0636968723352106E-3</v>
      </c>
      <c r="G73" s="2"/>
      <c r="H73" s="6">
        <v>300</v>
      </c>
      <c r="I73" s="2"/>
      <c r="J73" s="7">
        <f t="shared" si="29"/>
        <v>1.0406043830256612E-3</v>
      </c>
      <c r="K73" s="2"/>
      <c r="L73" s="6">
        <f t="shared" si="30"/>
        <v>-19.560000000000002</v>
      </c>
      <c r="M73" s="2"/>
      <c r="N73" s="7">
        <f t="shared" si="31"/>
        <v>-6.5200000000000008E-2</v>
      </c>
      <c r="O73" s="11"/>
      <c r="P73" s="6">
        <v>841.32</v>
      </c>
      <c r="Q73" s="2"/>
      <c r="R73" s="7">
        <f t="shared" si="32"/>
        <v>8.7338662577989804E-4</v>
      </c>
      <c r="S73" s="2"/>
      <c r="T73" s="6">
        <v>900</v>
      </c>
      <c r="U73" s="2"/>
      <c r="V73" s="7">
        <f t="shared" si="33"/>
        <v>8.3880029190250163E-4</v>
      </c>
      <c r="W73" s="2"/>
      <c r="X73" s="6">
        <f t="shared" si="34"/>
        <v>-58.67999999999995</v>
      </c>
      <c r="Y73" s="2"/>
      <c r="Z73" s="7">
        <f t="shared" si="35"/>
        <v>-6.5199999999999939E-2</v>
      </c>
    </row>
    <row r="74" spans="1:26" s="28" customFormat="1" outlineLevel="1" collapsed="1" x14ac:dyDescent="0.25">
      <c r="A74" s="27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SUM(OSRRefD22_4x_0)</f>
        <v>0</v>
      </c>
      <c r="E74" s="1"/>
      <c r="F74" s="5">
        <f t="shared" si="28"/>
        <v>0</v>
      </c>
      <c r="G74" s="1"/>
      <c r="H74" s="1">
        <f>SUM(OSRRefH22_4x_0)</f>
        <v>4585</v>
      </c>
      <c r="I74" s="1"/>
      <c r="J74" s="5">
        <f t="shared" si="29"/>
        <v>1.5903903653908858E-2</v>
      </c>
      <c r="K74" s="1"/>
      <c r="L74" s="1">
        <f t="shared" si="30"/>
        <v>-4585</v>
      </c>
      <c r="M74" s="1"/>
      <c r="N74" s="5">
        <f t="shared" si="31"/>
        <v>-1</v>
      </c>
      <c r="O74" s="14"/>
      <c r="P74" s="1">
        <f>SUM(OSRRefP22_4x_0)</f>
        <v>0</v>
      </c>
      <c r="Q74" s="1"/>
      <c r="R74" s="5">
        <f t="shared" si="32"/>
        <v>0</v>
      </c>
      <c r="S74" s="1"/>
      <c r="T74" s="1">
        <f>SUM(OSRRefT22_4x_0)</f>
        <v>17066</v>
      </c>
      <c r="U74" s="1"/>
      <c r="V74" s="5">
        <f t="shared" si="33"/>
        <v>1.5905517535120102E-2</v>
      </c>
      <c r="W74" s="1"/>
      <c r="X74" s="1">
        <f t="shared" si="34"/>
        <v>-17066</v>
      </c>
      <c r="Y74" s="1"/>
      <c r="Z74" s="5">
        <f t="shared" si="35"/>
        <v>-1</v>
      </c>
    </row>
    <row r="75" spans="1:26" s="24" customFormat="1" hidden="1" outlineLevel="2" x14ac:dyDescent="0.25">
      <c r="A75" s="29"/>
      <c r="B75" s="11" t="str">
        <f>CONCATENATE("          ", "6382", " - ", "DISCOUNTS/MARK DOWNS")</f>
        <v xml:space="preserve">          6382 - DISCOUNTS/MARK DOWNS</v>
      </c>
      <c r="C75" s="11"/>
      <c r="D75" s="6"/>
      <c r="E75" s="2"/>
      <c r="F75" s="7">
        <f t="shared" si="28"/>
        <v>0</v>
      </c>
      <c r="G75" s="2"/>
      <c r="H75" s="6">
        <v>4585</v>
      </c>
      <c r="I75" s="2"/>
      <c r="J75" s="7">
        <f t="shared" si="29"/>
        <v>1.5903903653908858E-2</v>
      </c>
      <c r="K75" s="2"/>
      <c r="L75" s="6">
        <f t="shared" si="30"/>
        <v>-4585</v>
      </c>
      <c r="M75" s="2"/>
      <c r="N75" s="7">
        <f t="shared" si="31"/>
        <v>-1</v>
      </c>
      <c r="O75" s="11"/>
      <c r="P75" s="6"/>
      <c r="Q75" s="2"/>
      <c r="R75" s="7">
        <f t="shared" si="32"/>
        <v>0</v>
      </c>
      <c r="S75" s="2"/>
      <c r="T75" s="6">
        <v>17066</v>
      </c>
      <c r="U75" s="2"/>
      <c r="V75" s="7">
        <f t="shared" si="33"/>
        <v>1.5905517535120102E-2</v>
      </c>
      <c r="W75" s="2"/>
      <c r="X75" s="6">
        <f t="shared" si="34"/>
        <v>-17066</v>
      </c>
      <c r="Y75" s="2"/>
      <c r="Z75" s="7">
        <f t="shared" si="35"/>
        <v>-1</v>
      </c>
    </row>
    <row r="76" spans="1:26" s="28" customFormat="1" outlineLevel="1" collapsed="1" x14ac:dyDescent="0.25">
      <c r="A76" s="27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SUM(OSRRefD22_5x_0)</f>
        <v>0</v>
      </c>
      <c r="E76" s="1"/>
      <c r="F76" s="5">
        <f t="shared" si="28"/>
        <v>0</v>
      </c>
      <c r="G76" s="1"/>
      <c r="H76" s="1">
        <f>SUM(OSRRefH22_5x_0)</f>
        <v>20</v>
      </c>
      <c r="I76" s="1"/>
      <c r="J76" s="5">
        <f t="shared" si="29"/>
        <v>6.9373625535044093E-5</v>
      </c>
      <c r="K76" s="1"/>
      <c r="L76" s="1">
        <f t="shared" si="30"/>
        <v>-20</v>
      </c>
      <c r="M76" s="1"/>
      <c r="N76" s="5">
        <f t="shared" si="31"/>
        <v>-1</v>
      </c>
      <c r="O76" s="14"/>
      <c r="P76" s="1">
        <f>SUM(OSRRefP22_5x_0)</f>
        <v>0</v>
      </c>
      <c r="Q76" s="1"/>
      <c r="R76" s="5">
        <f t="shared" si="32"/>
        <v>0</v>
      </c>
      <c r="S76" s="1"/>
      <c r="T76" s="1">
        <f>SUM(OSRRefT22_5x_0)</f>
        <v>60</v>
      </c>
      <c r="U76" s="1"/>
      <c r="V76" s="5">
        <f t="shared" si="33"/>
        <v>5.5920019460166775E-5</v>
      </c>
      <c r="W76" s="1"/>
      <c r="X76" s="1">
        <f t="shared" si="34"/>
        <v>-60</v>
      </c>
      <c r="Y76" s="1"/>
      <c r="Z76" s="5">
        <f t="shared" si="35"/>
        <v>-1</v>
      </c>
    </row>
    <row r="77" spans="1:26" s="24" customFormat="1" hidden="1" outlineLevel="2" x14ac:dyDescent="0.25">
      <c r="A77" s="29"/>
      <c r="B77" s="11" t="str">
        <f>CONCATENATE("          ", "6277", " - ", "EMPLOYEE APPRECIATION")</f>
        <v xml:space="preserve">          6277 - EMPLOYEE APPRECIATION</v>
      </c>
      <c r="C77" s="11"/>
      <c r="D77" s="6"/>
      <c r="E77" s="2"/>
      <c r="F77" s="7">
        <f t="shared" si="28"/>
        <v>0</v>
      </c>
      <c r="G77" s="2"/>
      <c r="H77" s="6">
        <v>20</v>
      </c>
      <c r="I77" s="2"/>
      <c r="J77" s="7">
        <f t="shared" si="29"/>
        <v>6.9373625535044093E-5</v>
      </c>
      <c r="K77" s="2"/>
      <c r="L77" s="6">
        <f t="shared" si="30"/>
        <v>-20</v>
      </c>
      <c r="M77" s="2"/>
      <c r="N77" s="7">
        <f t="shared" si="31"/>
        <v>-1</v>
      </c>
      <c r="O77" s="11"/>
      <c r="P77" s="6"/>
      <c r="Q77" s="2"/>
      <c r="R77" s="7">
        <f t="shared" si="32"/>
        <v>0</v>
      </c>
      <c r="S77" s="2"/>
      <c r="T77" s="6">
        <v>60</v>
      </c>
      <c r="U77" s="2"/>
      <c r="V77" s="7">
        <f t="shared" si="33"/>
        <v>5.5920019460166775E-5</v>
      </c>
      <c r="W77" s="2"/>
      <c r="X77" s="6">
        <f t="shared" si="34"/>
        <v>-60</v>
      </c>
      <c r="Y77" s="2"/>
      <c r="Z77" s="7">
        <f t="shared" si="35"/>
        <v>-1</v>
      </c>
    </row>
    <row r="78" spans="1:26" s="28" customFormat="1" outlineLevel="1" collapsed="1" x14ac:dyDescent="0.25">
      <c r="A78" s="27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SUM(OSRRefD22_6x_0)</f>
        <v>87.509999999999991</v>
      </c>
      <c r="E78" s="1"/>
      <c r="F78" s="5">
        <f t="shared" si="28"/>
        <v>3.319216705821362E-4</v>
      </c>
      <c r="G78" s="1"/>
      <c r="H78" s="1">
        <f>SUM(OSRRefH22_6x_0)</f>
        <v>15</v>
      </c>
      <c r="I78" s="1"/>
      <c r="J78" s="5">
        <f t="shared" si="29"/>
        <v>5.2030219151283067E-5</v>
      </c>
      <c r="K78" s="1"/>
      <c r="L78" s="1">
        <f t="shared" si="30"/>
        <v>72.509999999999991</v>
      </c>
      <c r="M78" s="1"/>
      <c r="N78" s="5">
        <f t="shared" si="31"/>
        <v>4.8339999999999996</v>
      </c>
      <c r="O78" s="14"/>
      <c r="P78" s="1">
        <f>SUM(OSRRefP22_6x_0)</f>
        <v>277.26000000000005</v>
      </c>
      <c r="Q78" s="1"/>
      <c r="R78" s="5">
        <f t="shared" si="32"/>
        <v>2.878276706410576E-4</v>
      </c>
      <c r="S78" s="1"/>
      <c r="T78" s="1">
        <f>SUM(OSRRefT22_6x_0)</f>
        <v>45</v>
      </c>
      <c r="U78" s="1"/>
      <c r="V78" s="5">
        <f t="shared" si="33"/>
        <v>4.1940014595125078E-5</v>
      </c>
      <c r="W78" s="1"/>
      <c r="X78" s="1">
        <f t="shared" si="34"/>
        <v>232.26000000000005</v>
      </c>
      <c r="Y78" s="1"/>
      <c r="Z78" s="5">
        <f t="shared" si="35"/>
        <v>5.1613333333333342</v>
      </c>
    </row>
    <row r="79" spans="1:26" s="24" customFormat="1" hidden="1" outlineLevel="2" x14ac:dyDescent="0.25">
      <c r="A79" s="29"/>
      <c r="B79" s="11" t="str">
        <f>CONCATENATE("          ", "6305", " - ", "FREIGHT OUT")</f>
        <v xml:space="preserve">          6305 - FREIGHT OUT</v>
      </c>
      <c r="C79" s="11"/>
      <c r="D79" s="6">
        <v>83.71</v>
      </c>
      <c r="E79" s="2"/>
      <c r="F79" s="7">
        <f t="shared" si="28"/>
        <v>3.1750843382962661E-4</v>
      </c>
      <c r="G79" s="2"/>
      <c r="H79" s="6">
        <v>15</v>
      </c>
      <c r="I79" s="2"/>
      <c r="J79" s="7">
        <f t="shared" si="29"/>
        <v>5.2030219151283067E-5</v>
      </c>
      <c r="K79" s="2"/>
      <c r="L79" s="6">
        <f t="shared" si="30"/>
        <v>68.709999999999994</v>
      </c>
      <c r="M79" s="2"/>
      <c r="N79" s="7">
        <f t="shared" si="31"/>
        <v>4.5806666666666667</v>
      </c>
      <c r="O79" s="11"/>
      <c r="P79" s="6">
        <v>264.66000000000003</v>
      </c>
      <c r="Q79" s="2"/>
      <c r="R79" s="7">
        <f t="shared" si="32"/>
        <v>2.7474742592462775E-4</v>
      </c>
      <c r="S79" s="2"/>
      <c r="T79" s="6">
        <v>45</v>
      </c>
      <c r="U79" s="2"/>
      <c r="V79" s="7">
        <f t="shared" si="33"/>
        <v>4.1940014595125078E-5</v>
      </c>
      <c r="W79" s="2"/>
      <c r="X79" s="6">
        <f t="shared" si="34"/>
        <v>219.66000000000003</v>
      </c>
      <c r="Y79" s="2"/>
      <c r="Z79" s="7">
        <f t="shared" si="35"/>
        <v>4.881333333333334</v>
      </c>
    </row>
    <row r="80" spans="1:26" s="24" customFormat="1" hidden="1" outlineLevel="2" x14ac:dyDescent="0.25">
      <c r="A80" s="29"/>
      <c r="B80" s="11" t="str">
        <f>CONCATENATE("          ", "6307", " - ", "POSTAGE")</f>
        <v xml:space="preserve">          6307 - POSTAGE</v>
      </c>
      <c r="C80" s="11"/>
      <c r="D80" s="6">
        <v>3.8</v>
      </c>
      <c r="E80" s="2"/>
      <c r="F80" s="7">
        <f t="shared" si="28"/>
        <v>1.441323675250963E-5</v>
      </c>
      <c r="G80" s="2"/>
      <c r="H80" s="6"/>
      <c r="I80" s="2"/>
      <c r="J80" s="7">
        <f t="shared" si="29"/>
        <v>0</v>
      </c>
      <c r="K80" s="2"/>
      <c r="L80" s="6">
        <f t="shared" si="30"/>
        <v>3.8</v>
      </c>
      <c r="M80" s="2"/>
      <c r="N80" s="7">
        <f t="shared" si="31"/>
        <v>0</v>
      </c>
      <c r="O80" s="11"/>
      <c r="P80" s="6">
        <v>12.6</v>
      </c>
      <c r="Q80" s="2"/>
      <c r="R80" s="7">
        <f t="shared" si="32"/>
        <v>1.3080244716429795E-5</v>
      </c>
      <c r="S80" s="2"/>
      <c r="T80" s="6"/>
      <c r="U80" s="2"/>
      <c r="V80" s="7">
        <f t="shared" si="33"/>
        <v>0</v>
      </c>
      <c r="W80" s="2"/>
      <c r="X80" s="6">
        <f t="shared" si="34"/>
        <v>12.6</v>
      </c>
      <c r="Y80" s="2"/>
      <c r="Z80" s="7">
        <f t="shared" si="35"/>
        <v>0</v>
      </c>
    </row>
    <row r="81" spans="1:26" s="28" customFormat="1" outlineLevel="1" collapsed="1" x14ac:dyDescent="0.25">
      <c r="A81" s="27"/>
      <c r="B81" s="14" t="str">
        <f>CONCATENATE("     ","General                                           ")</f>
        <v xml:space="preserve">     General                                           </v>
      </c>
      <c r="C81" s="14"/>
      <c r="D81" s="1">
        <f>SUM(OSRRefD22_7x_0)</f>
        <v>0</v>
      </c>
      <c r="E81" s="1"/>
      <c r="F81" s="5">
        <f t="shared" ref="F81:F90" si="36">IF(D$12=0,0,D81/D$12)</f>
        <v>0</v>
      </c>
      <c r="G81" s="1"/>
      <c r="H81" s="1">
        <f>SUM(OSRRefH22_7x_0)</f>
        <v>30</v>
      </c>
      <c r="I81" s="1"/>
      <c r="J81" s="5">
        <f t="shared" ref="J81:J90" si="37">IF(H$12=0,0,H81/H$12)</f>
        <v>1.0406043830256613E-4</v>
      </c>
      <c r="K81" s="1"/>
      <c r="L81" s="1">
        <f t="shared" ref="L81:L90" si="38">+D81-H81</f>
        <v>-30</v>
      </c>
      <c r="M81" s="1"/>
      <c r="N81" s="5">
        <f t="shared" ref="N81:N90" si="39">IF(H81=0,0,L81/H81)</f>
        <v>-1</v>
      </c>
      <c r="O81" s="14"/>
      <c r="P81" s="1">
        <f>SUM(OSRRefP22_7x_0)</f>
        <v>-30.15</v>
      </c>
      <c r="Q81" s="1"/>
      <c r="R81" s="5">
        <f t="shared" ref="R81:R90" si="40">IF(P$12=0,0,P81/P$12)</f>
        <v>-3.1299157000028436E-5</v>
      </c>
      <c r="S81" s="1"/>
      <c r="T81" s="1">
        <f>SUM(OSRRefT22_7x_0)</f>
        <v>90</v>
      </c>
      <c r="U81" s="1"/>
      <c r="V81" s="5">
        <f t="shared" ref="V81:V90" si="41">IF(T$12=0,0,T81/T$12)</f>
        <v>8.3880029190250155E-5</v>
      </c>
      <c r="W81" s="1"/>
      <c r="X81" s="1">
        <f t="shared" ref="X81:X90" si="42">+P81-T81</f>
        <v>-120.15</v>
      </c>
      <c r="Y81" s="1"/>
      <c r="Z81" s="5">
        <f t="shared" ref="Z81:Z90" si="43">IF(T81=0,0,X81/T81)</f>
        <v>-1.335</v>
      </c>
    </row>
    <row r="82" spans="1:26" s="24" customFormat="1" hidden="1" outlineLevel="2" x14ac:dyDescent="0.25">
      <c r="A82" s="29"/>
      <c r="B82" s="11" t="str">
        <f>CONCATENATE("          ", "6279", " - ", "GENERAL EXPENSE")</f>
        <v xml:space="preserve">          6279 - GENERAL EXPENSE</v>
      </c>
      <c r="C82" s="11"/>
      <c r="D82" s="6"/>
      <c r="E82" s="2"/>
      <c r="F82" s="7">
        <f t="shared" si="36"/>
        <v>0</v>
      </c>
      <c r="G82" s="2"/>
      <c r="H82" s="6">
        <v>30</v>
      </c>
      <c r="I82" s="2"/>
      <c r="J82" s="7">
        <f t="shared" si="37"/>
        <v>1.0406043830256613E-4</v>
      </c>
      <c r="K82" s="2"/>
      <c r="L82" s="6">
        <f t="shared" si="38"/>
        <v>-30</v>
      </c>
      <c r="M82" s="2"/>
      <c r="N82" s="7">
        <f t="shared" si="39"/>
        <v>-1</v>
      </c>
      <c r="O82" s="11"/>
      <c r="P82" s="6">
        <v>-30.15</v>
      </c>
      <c r="Q82" s="2"/>
      <c r="R82" s="7">
        <f t="shared" si="40"/>
        <v>-3.1299157000028436E-5</v>
      </c>
      <c r="S82" s="2"/>
      <c r="T82" s="6">
        <v>90</v>
      </c>
      <c r="U82" s="2"/>
      <c r="V82" s="7">
        <f t="shared" si="41"/>
        <v>8.3880029190250155E-5</v>
      </c>
      <c r="W82" s="2"/>
      <c r="X82" s="6">
        <f t="shared" si="42"/>
        <v>-120.15</v>
      </c>
      <c r="Y82" s="2"/>
      <c r="Z82" s="7">
        <f t="shared" si="43"/>
        <v>-1.335</v>
      </c>
    </row>
    <row r="83" spans="1:26" s="28" customFormat="1" outlineLevel="1" collapsed="1" x14ac:dyDescent="0.25">
      <c r="A83" s="27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SUM(OSRRefD22_8x_0)</f>
        <v>1250</v>
      </c>
      <c r="E83" s="1"/>
      <c r="F83" s="5">
        <f t="shared" si="36"/>
        <v>4.7411963001676412E-3</v>
      </c>
      <c r="G83" s="1"/>
      <c r="H83" s="1">
        <f>SUM(OSRRefH22_8x_0)</f>
        <v>1250</v>
      </c>
      <c r="I83" s="1"/>
      <c r="J83" s="5">
        <f t="shared" si="37"/>
        <v>4.3358515959402554E-3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SUM(OSRRefP22_8x_0)</f>
        <v>3750</v>
      </c>
      <c r="Q83" s="1"/>
      <c r="R83" s="5">
        <f t="shared" si="40"/>
        <v>3.8929299751279153E-3</v>
      </c>
      <c r="S83" s="1"/>
      <c r="T83" s="1">
        <f>SUM(OSRRefT22_8x_0)</f>
        <v>3750</v>
      </c>
      <c r="U83" s="1"/>
      <c r="V83" s="5">
        <f t="shared" si="41"/>
        <v>3.4950012162604234E-3</v>
      </c>
      <c r="W83" s="1"/>
      <c r="X83" s="1">
        <f t="shared" si="42"/>
        <v>0</v>
      </c>
      <c r="Y83" s="1"/>
      <c r="Z83" s="5">
        <f t="shared" si="43"/>
        <v>0</v>
      </c>
    </row>
    <row r="84" spans="1:26" s="24" customFormat="1" hidden="1" outlineLevel="2" x14ac:dyDescent="0.25">
      <c r="A84" s="29"/>
      <c r="B84" s="11" t="str">
        <f>CONCATENATE("          ", "6408", " - ", "INVENTORY ADJUSTMENT")</f>
        <v xml:space="preserve">          6408 - INVENTORY ADJUSTMENT</v>
      </c>
      <c r="C84" s="11"/>
      <c r="D84" s="6">
        <v>1250</v>
      </c>
      <c r="E84" s="2"/>
      <c r="F84" s="7">
        <f t="shared" si="36"/>
        <v>4.7411963001676412E-3</v>
      </c>
      <c r="G84" s="2"/>
      <c r="H84" s="6">
        <v>1250</v>
      </c>
      <c r="I84" s="2"/>
      <c r="J84" s="7">
        <f t="shared" si="37"/>
        <v>4.3358515959402554E-3</v>
      </c>
      <c r="K84" s="2"/>
      <c r="L84" s="6">
        <f t="shared" si="38"/>
        <v>0</v>
      </c>
      <c r="M84" s="2"/>
      <c r="N84" s="7">
        <f t="shared" si="39"/>
        <v>0</v>
      </c>
      <c r="O84" s="11"/>
      <c r="P84" s="6">
        <v>3750</v>
      </c>
      <c r="Q84" s="2"/>
      <c r="R84" s="7">
        <f t="shared" si="40"/>
        <v>3.8929299751279153E-3</v>
      </c>
      <c r="S84" s="2"/>
      <c r="T84" s="6">
        <v>3750</v>
      </c>
      <c r="U84" s="2"/>
      <c r="V84" s="7">
        <f t="shared" si="41"/>
        <v>3.4950012162604234E-3</v>
      </c>
      <c r="W84" s="2"/>
      <c r="X84" s="6">
        <f t="shared" si="42"/>
        <v>0</v>
      </c>
      <c r="Y84" s="2"/>
      <c r="Z84" s="7">
        <f t="shared" si="43"/>
        <v>0</v>
      </c>
    </row>
    <row r="85" spans="1:26" s="28" customFormat="1" outlineLevel="1" collapsed="1" x14ac:dyDescent="0.25">
      <c r="A85" s="27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SUM(OSRRefD22_9x_0)</f>
        <v>0</v>
      </c>
      <c r="E85" s="1"/>
      <c r="F85" s="5">
        <f t="shared" si="36"/>
        <v>0</v>
      </c>
      <c r="G85" s="1"/>
      <c r="H85" s="1">
        <f>SUM(OSRRefH22_9x_0)</f>
        <v>20</v>
      </c>
      <c r="I85" s="1"/>
      <c r="J85" s="5">
        <f t="shared" si="37"/>
        <v>6.9373625535044093E-5</v>
      </c>
      <c r="K85" s="1"/>
      <c r="L85" s="1">
        <f t="shared" si="38"/>
        <v>-20</v>
      </c>
      <c r="M85" s="1"/>
      <c r="N85" s="5">
        <f t="shared" si="39"/>
        <v>-1</v>
      </c>
      <c r="O85" s="14"/>
      <c r="P85" s="1">
        <f>SUM(OSRRefP22_9x_0)</f>
        <v>0</v>
      </c>
      <c r="Q85" s="1"/>
      <c r="R85" s="5">
        <f t="shared" si="40"/>
        <v>0</v>
      </c>
      <c r="S85" s="1"/>
      <c r="T85" s="1">
        <f>SUM(OSRRefT22_9x_0)</f>
        <v>65</v>
      </c>
      <c r="U85" s="1"/>
      <c r="V85" s="5">
        <f t="shared" si="41"/>
        <v>6.0580021081847334E-5</v>
      </c>
      <c r="W85" s="1"/>
      <c r="X85" s="1">
        <f t="shared" si="42"/>
        <v>-65</v>
      </c>
      <c r="Y85" s="1"/>
      <c r="Z85" s="5">
        <f t="shared" si="43"/>
        <v>-1</v>
      </c>
    </row>
    <row r="86" spans="1:26" s="24" customFormat="1" hidden="1" outlineLevel="2" x14ac:dyDescent="0.25">
      <c r="A86" s="29"/>
      <c r="B86" s="11" t="str">
        <f>CONCATENATE("          ", "6375", " - ", "OUTSIDE REPAIRS &amp; MAINTENANCE")</f>
        <v xml:space="preserve">          6375 - OUTSIDE REPAIRS &amp; MAINTENANCE</v>
      </c>
      <c r="C86" s="11"/>
      <c r="D86" s="6"/>
      <c r="E86" s="2"/>
      <c r="F86" s="7">
        <f t="shared" si="36"/>
        <v>0</v>
      </c>
      <c r="G86" s="2"/>
      <c r="H86" s="6">
        <v>20</v>
      </c>
      <c r="I86" s="2"/>
      <c r="J86" s="7">
        <f t="shared" si="37"/>
        <v>6.9373625535044093E-5</v>
      </c>
      <c r="K86" s="2"/>
      <c r="L86" s="6">
        <f t="shared" si="38"/>
        <v>-20</v>
      </c>
      <c r="M86" s="2"/>
      <c r="N86" s="7">
        <f t="shared" si="39"/>
        <v>-1</v>
      </c>
      <c r="O86" s="11"/>
      <c r="P86" s="6"/>
      <c r="Q86" s="2"/>
      <c r="R86" s="7">
        <f t="shared" si="40"/>
        <v>0</v>
      </c>
      <c r="S86" s="2"/>
      <c r="T86" s="6">
        <v>65</v>
      </c>
      <c r="U86" s="2"/>
      <c r="V86" s="7">
        <f t="shared" si="41"/>
        <v>6.0580021081847334E-5</v>
      </c>
      <c r="W86" s="2"/>
      <c r="X86" s="6">
        <f t="shared" si="42"/>
        <v>-65</v>
      </c>
      <c r="Y86" s="2"/>
      <c r="Z86" s="7">
        <f t="shared" si="43"/>
        <v>-1</v>
      </c>
    </row>
    <row r="87" spans="1:26" s="28" customFormat="1" outlineLevel="1" collapsed="1" x14ac:dyDescent="0.25">
      <c r="A87" s="27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SUM(OSRRefD22_10x_0)</f>
        <v>39.36</v>
      </c>
      <c r="E87" s="1"/>
      <c r="F87" s="5">
        <f t="shared" si="36"/>
        <v>1.492907890996787E-4</v>
      </c>
      <c r="G87" s="1"/>
      <c r="H87" s="1">
        <f>SUM(OSRRefH22_10x_0)</f>
        <v>310</v>
      </c>
      <c r="I87" s="1"/>
      <c r="J87" s="5">
        <f t="shared" si="37"/>
        <v>1.0752911957931835E-3</v>
      </c>
      <c r="K87" s="1"/>
      <c r="L87" s="1">
        <f t="shared" si="38"/>
        <v>-270.64</v>
      </c>
      <c r="M87" s="1"/>
      <c r="N87" s="5">
        <f t="shared" si="39"/>
        <v>-0.87303225806451612</v>
      </c>
      <c r="O87" s="14"/>
      <c r="P87" s="1">
        <f>SUM(OSRRefP22_10x_0)</f>
        <v>1494.9099999999999</v>
      </c>
      <c r="Q87" s="1"/>
      <c r="R87" s="5">
        <f t="shared" si="40"/>
        <v>1.5518879864315923E-3</v>
      </c>
      <c r="S87" s="1"/>
      <c r="T87" s="1">
        <f>SUM(OSRRefT22_10x_0)</f>
        <v>930</v>
      </c>
      <c r="U87" s="1"/>
      <c r="V87" s="5">
        <f t="shared" si="41"/>
        <v>8.6676030163258496E-4</v>
      </c>
      <c r="W87" s="1"/>
      <c r="X87" s="1">
        <f t="shared" si="42"/>
        <v>564.90999999999985</v>
      </c>
      <c r="Y87" s="1"/>
      <c r="Z87" s="5">
        <f t="shared" si="43"/>
        <v>0.60743010752688154</v>
      </c>
    </row>
    <row r="88" spans="1:26" s="24" customFormat="1" hidden="1" outlineLevel="2" x14ac:dyDescent="0.25">
      <c r="A88" s="29"/>
      <c r="B88" s="11" t="str">
        <f>CONCATENATE("          ", "6235", " - ", "COVID-19 EXPENSES")</f>
        <v xml:space="preserve">          6235 - COVID-19 EXPENSES</v>
      </c>
      <c r="C88" s="11"/>
      <c r="D88" s="6"/>
      <c r="E88" s="2"/>
      <c r="F88" s="7">
        <f t="shared" si="36"/>
        <v>0</v>
      </c>
      <c r="G88" s="2"/>
      <c r="H88" s="6"/>
      <c r="I88" s="2"/>
      <c r="J88" s="7">
        <f t="shared" si="37"/>
        <v>0</v>
      </c>
      <c r="K88" s="2"/>
      <c r="L88" s="6">
        <f t="shared" si="38"/>
        <v>0</v>
      </c>
      <c r="M88" s="2"/>
      <c r="N88" s="7">
        <f t="shared" si="39"/>
        <v>0</v>
      </c>
      <c r="O88" s="11"/>
      <c r="P88" s="6">
        <v>668.12</v>
      </c>
      <c r="Q88" s="2"/>
      <c r="R88" s="7">
        <f t="shared" si="40"/>
        <v>6.9358516666199002E-4</v>
      </c>
      <c r="S88" s="2"/>
      <c r="T88" s="6"/>
      <c r="U88" s="2"/>
      <c r="V88" s="7">
        <f t="shared" si="41"/>
        <v>0</v>
      </c>
      <c r="W88" s="2"/>
      <c r="X88" s="6">
        <f t="shared" si="42"/>
        <v>668.12</v>
      </c>
      <c r="Y88" s="2"/>
      <c r="Z88" s="7">
        <f t="shared" si="43"/>
        <v>0</v>
      </c>
    </row>
    <row r="89" spans="1:26" s="24" customFormat="1" hidden="1" outlineLevel="2" x14ac:dyDescent="0.25">
      <c r="A89" s="29"/>
      <c r="B89" s="11" t="str">
        <f>CONCATENATE("          ", "6241", " - ", "OFFICE EXPENSE")</f>
        <v xml:space="preserve">          6241 - OFFICE EXPENSE</v>
      </c>
      <c r="C89" s="11"/>
      <c r="D89" s="6">
        <v>39.36</v>
      </c>
      <c r="E89" s="2"/>
      <c r="F89" s="7">
        <f t="shared" si="36"/>
        <v>1.492907890996787E-4</v>
      </c>
      <c r="G89" s="2"/>
      <c r="H89" s="6">
        <v>110</v>
      </c>
      <c r="I89" s="2"/>
      <c r="J89" s="7">
        <f t="shared" si="37"/>
        <v>3.8155494044274249E-4</v>
      </c>
      <c r="K89" s="2"/>
      <c r="L89" s="6">
        <f t="shared" si="38"/>
        <v>-70.64</v>
      </c>
      <c r="M89" s="2"/>
      <c r="N89" s="7">
        <f t="shared" si="39"/>
        <v>-0.64218181818181819</v>
      </c>
      <c r="O89" s="11"/>
      <c r="P89" s="6">
        <v>826.79</v>
      </c>
      <c r="Q89" s="2"/>
      <c r="R89" s="7">
        <f t="shared" si="40"/>
        <v>8.5830281976960238E-4</v>
      </c>
      <c r="S89" s="2"/>
      <c r="T89" s="6">
        <v>330</v>
      </c>
      <c r="U89" s="2"/>
      <c r="V89" s="7">
        <f t="shared" si="41"/>
        <v>3.0756010703091724E-4</v>
      </c>
      <c r="W89" s="2"/>
      <c r="X89" s="6">
        <f t="shared" si="42"/>
        <v>496.78999999999996</v>
      </c>
      <c r="Y89" s="2"/>
      <c r="Z89" s="7">
        <f t="shared" si="43"/>
        <v>1.5054242424242423</v>
      </c>
    </row>
    <row r="90" spans="1:26" s="24" customFormat="1" hidden="1" outlineLevel="2" x14ac:dyDescent="0.25">
      <c r="A90" s="29"/>
      <c r="B90" s="11" t="str">
        <f>CONCATENATE("          ", "6247", " - ", "STORE SUPPLIES")</f>
        <v xml:space="preserve">          6247 - STORE SUPPLIES</v>
      </c>
      <c r="C90" s="11"/>
      <c r="D90" s="6"/>
      <c r="E90" s="2"/>
      <c r="F90" s="7">
        <f t="shared" si="36"/>
        <v>0</v>
      </c>
      <c r="G90" s="2"/>
      <c r="H90" s="6">
        <v>200</v>
      </c>
      <c r="I90" s="2"/>
      <c r="J90" s="7">
        <f t="shared" si="37"/>
        <v>6.9373625535044091E-4</v>
      </c>
      <c r="K90" s="2"/>
      <c r="L90" s="6">
        <f t="shared" si="38"/>
        <v>-200</v>
      </c>
      <c r="M90" s="2"/>
      <c r="N90" s="7">
        <f t="shared" si="39"/>
        <v>-1</v>
      </c>
      <c r="O90" s="11"/>
      <c r="P90" s="6"/>
      <c r="Q90" s="2"/>
      <c r="R90" s="7">
        <f t="shared" si="40"/>
        <v>0</v>
      </c>
      <c r="S90" s="2"/>
      <c r="T90" s="6">
        <v>600</v>
      </c>
      <c r="U90" s="2"/>
      <c r="V90" s="7">
        <f t="shared" si="41"/>
        <v>5.5920019460166772E-4</v>
      </c>
      <c r="W90" s="2"/>
      <c r="X90" s="6">
        <f t="shared" si="42"/>
        <v>-600</v>
      </c>
      <c r="Y90" s="2"/>
      <c r="Z90" s="7">
        <f t="shared" si="43"/>
        <v>-1</v>
      </c>
    </row>
    <row r="91" spans="1:26" s="28" customFormat="1" outlineLevel="1" collapsed="1" x14ac:dyDescent="0.25">
      <c r="A91" s="27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SUM(OSRRefD22_11x_0)</f>
        <v>300</v>
      </c>
      <c r="E91" s="1"/>
      <c r="F91" s="5">
        <f t="shared" ref="F91:F92" si="44">IF(D$12=0,0,D91/D$12)</f>
        <v>1.137887112040234E-3</v>
      </c>
      <c r="G91" s="1"/>
      <c r="H91" s="1">
        <f>SUM(OSRRefH22_11x_0)</f>
        <v>250</v>
      </c>
      <c r="I91" s="1"/>
      <c r="J91" s="5">
        <f t="shared" ref="J91:J92" si="45">IF(H$12=0,0,H91/H$12)</f>
        <v>8.6717031918805111E-4</v>
      </c>
      <c r="K91" s="1"/>
      <c r="L91" s="1">
        <f t="shared" ref="L91:L92" si="46">+D91-H91</f>
        <v>50</v>
      </c>
      <c r="M91" s="1"/>
      <c r="N91" s="5">
        <f t="shared" ref="N91:N92" si="47">IF(H91=0,0,L91/H91)</f>
        <v>0.2</v>
      </c>
      <c r="O91" s="14"/>
      <c r="P91" s="1">
        <f>SUM(OSRRefP22_11x_0)</f>
        <v>911.55</v>
      </c>
      <c r="Q91" s="1"/>
      <c r="R91" s="5">
        <f t="shared" ref="R91:R92" si="48">IF(P$12=0,0,P91/P$12)</f>
        <v>9.4629341835409362E-4</v>
      </c>
      <c r="S91" s="1"/>
      <c r="T91" s="1">
        <f>SUM(OSRRefT22_11x_0)</f>
        <v>760</v>
      </c>
      <c r="U91" s="1"/>
      <c r="V91" s="5">
        <f t="shared" ref="V91:V92" si="49">IF(T$12=0,0,T91/T$12)</f>
        <v>7.0832024649544582E-4</v>
      </c>
      <c r="W91" s="1"/>
      <c r="X91" s="1">
        <f t="shared" ref="X91:X92" si="50">+P91-T91</f>
        <v>151.54999999999995</v>
      </c>
      <c r="Y91" s="1"/>
      <c r="Z91" s="5">
        <f t="shared" ref="Z91:Z92" si="51">IF(T91=0,0,X91/T91)</f>
        <v>0.19940789473684203</v>
      </c>
    </row>
    <row r="92" spans="1:26" s="24" customFormat="1" hidden="1" outlineLevel="2" x14ac:dyDescent="0.25">
      <c r="A92" s="29"/>
      <c r="B92" s="11" t="str">
        <f>CONCATENATE("          ", "6309", " - ", "TELEPHONE")</f>
        <v xml:space="preserve">          6309 - TELEPHONE</v>
      </c>
      <c r="C92" s="11"/>
      <c r="D92" s="6">
        <v>300</v>
      </c>
      <c r="E92" s="2"/>
      <c r="F92" s="7">
        <f t="shared" si="44"/>
        <v>1.137887112040234E-3</v>
      </c>
      <c r="G92" s="2"/>
      <c r="H92" s="6">
        <v>250</v>
      </c>
      <c r="I92" s="2"/>
      <c r="J92" s="7">
        <f t="shared" si="45"/>
        <v>8.6717031918805111E-4</v>
      </c>
      <c r="K92" s="2"/>
      <c r="L92" s="6">
        <f t="shared" si="46"/>
        <v>50</v>
      </c>
      <c r="M92" s="2"/>
      <c r="N92" s="7">
        <f t="shared" si="47"/>
        <v>0.2</v>
      </c>
      <c r="O92" s="11"/>
      <c r="P92" s="6">
        <v>911.55</v>
      </c>
      <c r="Q92" s="2"/>
      <c r="R92" s="7">
        <f t="shared" si="48"/>
        <v>9.4629341835409362E-4</v>
      </c>
      <c r="S92" s="2"/>
      <c r="T92" s="6">
        <v>760</v>
      </c>
      <c r="U92" s="2"/>
      <c r="V92" s="7">
        <f t="shared" si="49"/>
        <v>7.0832024649544582E-4</v>
      </c>
      <c r="W92" s="2"/>
      <c r="X92" s="6">
        <f t="shared" si="50"/>
        <v>151.54999999999995</v>
      </c>
      <c r="Y92" s="2"/>
      <c r="Z92" s="7">
        <f t="shared" si="51"/>
        <v>0.19940789473684203</v>
      </c>
    </row>
    <row r="93" spans="1:26" s="61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25">
      <c r="A94" s="10"/>
      <c r="B94" s="25" t="s">
        <v>0</v>
      </c>
      <c r="C94" s="10"/>
      <c r="D94" s="4">
        <f>SUM(OSRRefD25x_0)</f>
        <v>281.44</v>
      </c>
      <c r="E94" s="4"/>
      <c r="F94" s="12">
        <f t="shared" ref="F94:F96" si="52">IF(D$12=0,0,D94/D$12)</f>
        <v>1.0674898293753449E-3</v>
      </c>
      <c r="G94" s="4"/>
      <c r="H94" s="4">
        <f>SUM(OSRRefH25x_0)</f>
        <v>2293</v>
      </c>
      <c r="I94" s="4"/>
      <c r="J94" s="12">
        <f t="shared" ref="J94:J96" si="53">IF(H$12=0,0,H94/H$12)</f>
        <v>7.953686167592804E-3</v>
      </c>
      <c r="K94" s="4"/>
      <c r="L94" s="4">
        <f t="shared" ref="L94:L96" si="54">+D94-H94</f>
        <v>-2011.56</v>
      </c>
      <c r="M94" s="4"/>
      <c r="N94" s="12">
        <f t="shared" ref="N94:N96" si="55">IF(H94=0,0,L94/H94)</f>
        <v>-0.87726122982991717</v>
      </c>
      <c r="O94" s="10"/>
      <c r="P94" s="4">
        <f>SUM(OSRRefP25x_0)</f>
        <v>-232.72000000000003</v>
      </c>
      <c r="Q94" s="4"/>
      <c r="R94" s="12">
        <f t="shared" ref="R94:R96" si="56">IF(P$12=0,0,P94/P$12)</f>
        <v>-2.4159004368313827E-4</v>
      </c>
      <c r="S94" s="4"/>
      <c r="T94" s="4">
        <f>SUM(OSRRefT25x_0)</f>
        <v>8533</v>
      </c>
      <c r="U94" s="4"/>
      <c r="V94" s="12">
        <f t="shared" ref="V94:V96" si="57">IF(T$12=0,0,T94/T$12)</f>
        <v>7.952758767560051E-3</v>
      </c>
      <c r="W94" s="4"/>
      <c r="X94" s="4">
        <f t="shared" ref="X94:X96" si="58">+P94-T94</f>
        <v>-8765.7199999999993</v>
      </c>
      <c r="Y94" s="4"/>
      <c r="Z94" s="12">
        <f t="shared" ref="Z94:Z96" si="59">IF(T94=0,0,X94/T94)</f>
        <v>-1.0272729403492322</v>
      </c>
    </row>
    <row r="95" spans="1:26" s="24" customFormat="1" hidden="1" outlineLevel="1" x14ac:dyDescent="0.25">
      <c r="A95" s="51"/>
      <c r="B95" s="11" t="str">
        <f>CONCATENATE("          ", "4187", " - ", "NON-TAXABLE SALES-COMPUTER REP")</f>
        <v xml:space="preserve">          4187 - NON-TAXABLE SALES-COMPUTER REP</v>
      </c>
      <c r="C95" s="11"/>
      <c r="D95" s="2">
        <f>--125.14</f>
        <v>125.14</v>
      </c>
      <c r="E95" s="2"/>
      <c r="F95" s="22">
        <f t="shared" si="52"/>
        <v>4.7465064400238291E-4</v>
      </c>
      <c r="G95" s="2"/>
      <c r="H95" s="2"/>
      <c r="I95" s="2"/>
      <c r="J95" s="22">
        <f t="shared" si="53"/>
        <v>0</v>
      </c>
      <c r="K95" s="2"/>
      <c r="L95" s="2">
        <f t="shared" si="54"/>
        <v>125.14</v>
      </c>
      <c r="M95" s="2"/>
      <c r="N95" s="22">
        <f t="shared" si="55"/>
        <v>0</v>
      </c>
      <c r="O95" s="11"/>
      <c r="P95" s="2">
        <f>--145.13</f>
        <v>145.13</v>
      </c>
      <c r="Q95" s="2"/>
      <c r="R95" s="22">
        <f t="shared" si="56"/>
        <v>1.5066158061075049E-4</v>
      </c>
      <c r="S95" s="2"/>
      <c r="T95" s="2"/>
      <c r="U95" s="2"/>
      <c r="V95" s="22">
        <f t="shared" si="57"/>
        <v>0</v>
      </c>
      <c r="W95" s="2"/>
      <c r="X95" s="2">
        <f t="shared" si="58"/>
        <v>145.13</v>
      </c>
      <c r="Y95" s="2"/>
      <c r="Z95" s="22">
        <f t="shared" si="59"/>
        <v>0</v>
      </c>
    </row>
    <row r="96" spans="1:26" s="24" customFormat="1" hidden="1" outlineLevel="1" x14ac:dyDescent="0.25">
      <c r="A96" s="51"/>
      <c r="B96" s="11" t="str">
        <f>CONCATENATE("          ", "9150", " - ", "MISC. INCOME")</f>
        <v xml:space="preserve">          9150 - MISC. INCOME</v>
      </c>
      <c r="C96" s="11"/>
      <c r="D96" s="2">
        <f>--156.3</f>
        <v>156.30000000000001</v>
      </c>
      <c r="E96" s="2"/>
      <c r="F96" s="22">
        <f t="shared" si="52"/>
        <v>5.9283918537296194E-4</v>
      </c>
      <c r="G96" s="2"/>
      <c r="H96" s="2">
        <v>2293</v>
      </c>
      <c r="I96" s="2"/>
      <c r="J96" s="22">
        <f t="shared" si="53"/>
        <v>7.953686167592804E-3</v>
      </c>
      <c r="K96" s="2"/>
      <c r="L96" s="2">
        <f t="shared" si="54"/>
        <v>-2136.6999999999998</v>
      </c>
      <c r="M96" s="2"/>
      <c r="N96" s="22">
        <f t="shared" si="55"/>
        <v>-0.9318360226777147</v>
      </c>
      <c r="O96" s="11"/>
      <c r="P96" s="2">
        <f>-377.85</f>
        <v>-377.85</v>
      </c>
      <c r="Q96" s="2"/>
      <c r="R96" s="22">
        <f t="shared" si="56"/>
        <v>-3.9225162429388876E-4</v>
      </c>
      <c r="S96" s="2"/>
      <c r="T96" s="2">
        <v>8533</v>
      </c>
      <c r="U96" s="2"/>
      <c r="V96" s="22">
        <f t="shared" si="57"/>
        <v>7.952758767560051E-3</v>
      </c>
      <c r="W96" s="2"/>
      <c r="X96" s="2">
        <f t="shared" si="58"/>
        <v>-8910.85</v>
      </c>
      <c r="Y96" s="2"/>
      <c r="Z96" s="22">
        <f t="shared" si="59"/>
        <v>-1.0442810266026017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6" t="s">
        <v>3</v>
      </c>
      <c r="C98" s="26"/>
      <c r="D98" s="20">
        <f>+D45-D47+D94</f>
        <v>-10530.249999999935</v>
      </c>
      <c r="E98" s="13"/>
      <c r="F98" s="21">
        <f>IF(D$12=0,0,D98/D$12)</f>
        <v>-3.9940785871871998E-2</v>
      </c>
      <c r="G98" s="13"/>
      <c r="H98" s="20">
        <f>+H45-H47+H94</f>
        <v>44847.141597153844</v>
      </c>
      <c r="I98" s="13"/>
      <c r="J98" s="21">
        <f>IF(H$12=0,0,H98/H$12)</f>
        <v>0.15556044037390249</v>
      </c>
      <c r="K98" s="16"/>
      <c r="L98" s="20">
        <f>+D98-H98</f>
        <v>-55377.391597153779</v>
      </c>
      <c r="M98" s="16"/>
      <c r="N98" s="21">
        <f>IF(H98=0,0,L98/H98)</f>
        <v>-1.2348031474244108</v>
      </c>
      <c r="O98" s="25"/>
      <c r="P98" s="20">
        <f>+P45-P47+P94</f>
        <v>-741.69000000014671</v>
      </c>
      <c r="Q98" s="13"/>
      <c r="R98" s="21">
        <f>IF(P$12=0,0,P98/P$12)</f>
        <v>-7.6995926220085192E-4</v>
      </c>
      <c r="S98" s="13"/>
      <c r="T98" s="20">
        <f>+T45-T47+T94</f>
        <v>182968.16524574999</v>
      </c>
      <c r="U98" s="13"/>
      <c r="V98" s="21">
        <f>IF(T$12=0,0,T98/T$12)</f>
        <v>0.17052638935222247</v>
      </c>
      <c r="W98" s="16"/>
      <c r="X98" s="20">
        <f>+P98-T98</f>
        <v>-183709.85524575014</v>
      </c>
      <c r="Y98" s="16"/>
      <c r="Z98" s="21">
        <f>IF(T98=0,0,X98/T98)</f>
        <v>-1.0040536559953146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60328.69</v>
      </c>
      <c r="E100" s="4"/>
      <c r="F100" s="12">
        <f>IF(D$12=0,0,D100/D$12)</f>
        <v>0.22882412945756847</v>
      </c>
      <c r="G100" s="4"/>
      <c r="H100" s="4">
        <v>26981</v>
      </c>
      <c r="I100" s="4"/>
      <c r="J100" s="12">
        <f>IF(H$12=0,0,H100/H$12)</f>
        <v>9.3588489528051225E-2</v>
      </c>
      <c r="K100" s="4"/>
      <c r="L100" s="4">
        <f>+D100-H100</f>
        <v>33347.69</v>
      </c>
      <c r="M100" s="4"/>
      <c r="N100" s="12">
        <f>IF(H100=0,0,L100/H100)</f>
        <v>1.2359693858641267</v>
      </c>
      <c r="O100" s="10"/>
      <c r="P100" s="4">
        <v>178453.3</v>
      </c>
      <c r="Q100" s="4"/>
      <c r="R100" s="12">
        <f>IF(P$12=0,0,P100/P$12)</f>
        <v>0.18525498686146516</v>
      </c>
      <c r="S100" s="4"/>
      <c r="T100" s="4">
        <v>155120</v>
      </c>
      <c r="U100" s="4"/>
      <c r="V100" s="12">
        <f>IF(T$12=0,0,T100/T$12)</f>
        <v>0.14457189031101783</v>
      </c>
      <c r="W100" s="4"/>
      <c r="X100" s="4">
        <f>+P100-T100</f>
        <v>23333.299999999988</v>
      </c>
      <c r="Y100" s="4"/>
      <c r="Z100" s="12">
        <f>IF(T100=0,0,X100/T100)</f>
        <v>0.15042096441464664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4</v>
      </c>
      <c r="C102" s="26"/>
      <c r="D102" s="33">
        <f>+D98-D100</f>
        <v>-70858.939999999944</v>
      </c>
      <c r="E102" s="13"/>
      <c r="F102" s="34">
        <f>IF(D$12=0,0,D102/D$12)</f>
        <v>-0.26876491532944052</v>
      </c>
      <c r="G102" s="13"/>
      <c r="H102" s="33">
        <f>+H98-H100</f>
        <v>17866.141597153844</v>
      </c>
      <c r="I102" s="13"/>
      <c r="J102" s="34">
        <f>IF(H$12=0,0,H102/H$12)</f>
        <v>6.1971950845851262E-2</v>
      </c>
      <c r="K102" s="16"/>
      <c r="L102" s="33">
        <f>D102-H102</f>
        <v>-88725.081597153796</v>
      </c>
      <c r="M102" s="16"/>
      <c r="N102" s="34">
        <f>IF(H102=0,0,L102/H102)</f>
        <v>-4.9661020044354789</v>
      </c>
      <c r="O102" s="25"/>
      <c r="P102" s="33">
        <f>+P98-P100</f>
        <v>-179194.99000000014</v>
      </c>
      <c r="Q102" s="13"/>
      <c r="R102" s="34">
        <f>IF(P$12=0,0,P102/P$12)</f>
        <v>-0.18602494612366602</v>
      </c>
      <c r="S102" s="13"/>
      <c r="T102" s="33">
        <f>+T98-T100</f>
        <v>27848.165245749988</v>
      </c>
      <c r="U102" s="13"/>
      <c r="V102" s="34">
        <f>IF(T$12=0,0,T102/T$12)</f>
        <v>2.5954499041204653E-2</v>
      </c>
      <c r="W102" s="16"/>
      <c r="X102" s="33">
        <f>P102-T102</f>
        <v>-207043.15524575012</v>
      </c>
      <c r="Y102" s="16"/>
      <c r="Z102" s="34">
        <f>IF(T102=0,0,X102/T102)</f>
        <v>-7.4347144028581109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6" t="s">
        <v>5</v>
      </c>
      <c r="C105" s="26"/>
      <c r="D105" s="31">
        <f>SUM(D102:D104)</f>
        <v>-70858.939999999944</v>
      </c>
      <c r="E105" s="13"/>
      <c r="F105" s="32">
        <f>IF(D$12=0,0,D105/D$12)</f>
        <v>-0.26876491532944052</v>
      </c>
      <c r="G105" s="13"/>
      <c r="H105" s="31">
        <f>SUM(H102:H104)</f>
        <v>17866.141597153844</v>
      </c>
      <c r="I105" s="13"/>
      <c r="J105" s="32">
        <f>IF(H$12=0,0,H105/H$12)</f>
        <v>6.1971950845851262E-2</v>
      </c>
      <c r="K105" s="16"/>
      <c r="L105" s="31">
        <f>+D105-H105</f>
        <v>-88725.081597153796</v>
      </c>
      <c r="M105" s="16"/>
      <c r="N105" s="32">
        <f>IF(H105=0,0,L105/H105)</f>
        <v>-4.9661020044354789</v>
      </c>
      <c r="O105" s="25"/>
      <c r="P105" s="31">
        <f>SUM(P102:P104)</f>
        <v>-179194.99000000014</v>
      </c>
      <c r="Q105" s="13"/>
      <c r="R105" s="32">
        <f>IF(P$12=0,0,P105/P$12)</f>
        <v>-0.18602494612366602</v>
      </c>
      <c r="S105" s="13"/>
      <c r="T105" s="31">
        <f>SUM(T102:T104)</f>
        <v>27848.165245749988</v>
      </c>
      <c r="U105" s="13"/>
      <c r="V105" s="32">
        <f>IF(T$12=0,0,T105/T$12)</f>
        <v>2.5954499041204653E-2</v>
      </c>
      <c r="W105" s="16"/>
      <c r="X105" s="31">
        <f>+P105-T105</f>
        <v>-207043.15524575012</v>
      </c>
      <c r="Y105" s="16"/>
      <c r="Z105" s="32">
        <f>IF(T105=0,0,X105/T105)</f>
        <v>-7.4347144028581109</v>
      </c>
    </row>
    <row r="106" spans="1:26" ht="15.75" thickTop="1" x14ac:dyDescent="0.25">
      <c r="A106" s="9"/>
      <c r="C106" s="9"/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55">
        <v>44123.571683796297</v>
      </c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53" t="s">
        <v>314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62"/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","317", " - ", "Computer Store")</f>
        <v>Department 317 - Computer Store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263646.53999999998</v>
      </c>
      <c r="E12" s="4"/>
      <c r="F12" s="12"/>
      <c r="G12" s="4"/>
      <c r="H12" s="4">
        <f>SUM(OSRRefH13x_0)</f>
        <v>288294</v>
      </c>
      <c r="I12" s="4"/>
      <c r="J12" s="12"/>
      <c r="K12" s="4"/>
      <c r="L12" s="4">
        <f t="shared" ref="L12:L30" si="0">+D12-H12</f>
        <v>-24647.460000000021</v>
      </c>
      <c r="M12" s="4"/>
      <c r="N12" s="12">
        <f t="shared" ref="N12:N30" si="1">IF(H12=0,0,L12/H12)</f>
        <v>-8.5494183021498957E-2</v>
      </c>
      <c r="O12" s="10"/>
      <c r="P12" s="4">
        <f>SUM(OSRRefP13x_0)</f>
        <v>963284.72999999986</v>
      </c>
      <c r="Q12" s="4"/>
      <c r="R12" s="12"/>
      <c r="S12" s="4"/>
      <c r="T12" s="4">
        <f>SUM(OSRRefT13x_0)</f>
        <v>1072961</v>
      </c>
      <c r="U12" s="4"/>
      <c r="V12" s="12"/>
      <c r="W12" s="4"/>
      <c r="X12" s="4">
        <f t="shared" ref="X12:X30" si="2">+P12-T12</f>
        <v>-109676.27000000014</v>
      </c>
      <c r="Y12" s="4"/>
      <c r="Z12" s="12">
        <f t="shared" ref="Z12:Z30" si="3">IF(T12=0,0,X12/T12)</f>
        <v>-0.10221831921197522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-549.51</f>
        <v>-549.51</v>
      </c>
      <c r="E13" s="2"/>
      <c r="F13" s="22"/>
      <c r="G13" s="2"/>
      <c r="H13" s="2">
        <v>272056</v>
      </c>
      <c r="I13" s="2"/>
      <c r="J13" s="22"/>
      <c r="K13" s="2"/>
      <c r="L13" s="2">
        <f t="shared" si="0"/>
        <v>-272605.51</v>
      </c>
      <c r="M13" s="2"/>
      <c r="N13" s="22">
        <f t="shared" si="1"/>
        <v>-1.00201984150322</v>
      </c>
      <c r="O13" s="11"/>
      <c r="P13" s="2">
        <f>-1723.7</f>
        <v>-1723.7</v>
      </c>
      <c r="Q13" s="2"/>
      <c r="R13" s="22"/>
      <c r="S13" s="2"/>
      <c r="T13" s="2">
        <v>1021181</v>
      </c>
      <c r="U13" s="2"/>
      <c r="V13" s="22"/>
      <c r="W13" s="2"/>
      <c r="X13" s="2">
        <f t="shared" si="2"/>
        <v>-1022904.7</v>
      </c>
      <c r="Y13" s="2"/>
      <c r="Z13" s="22">
        <f t="shared" si="3"/>
        <v>-1.0016879475822602</v>
      </c>
    </row>
    <row r="14" spans="1:26" s="24" customFormat="1" hidden="1" outlineLevel="1" x14ac:dyDescent="0.25">
      <c r="A14" s="51"/>
      <c r="B14" s="11" t="str">
        <f>CONCATENATE("          ", "4081", " - ", "TAXABLE SALES-ELECTRONICS")</f>
        <v xml:space="preserve">          4081 - TAXABLE SALES-ELECTRONICS</v>
      </c>
      <c r="C14" s="11"/>
      <c r="D14" s="2">
        <f>--12167.65</f>
        <v>12167.65</v>
      </c>
      <c r="E14" s="2"/>
      <c r="F14" s="22"/>
      <c r="G14" s="2"/>
      <c r="H14" s="2"/>
      <c r="I14" s="2"/>
      <c r="J14" s="22"/>
      <c r="K14" s="2"/>
      <c r="L14" s="2">
        <f t="shared" si="0"/>
        <v>12167.65</v>
      </c>
      <c r="M14" s="2"/>
      <c r="N14" s="22">
        <f t="shared" si="1"/>
        <v>0</v>
      </c>
      <c r="O14" s="11"/>
      <c r="P14" s="2">
        <f>--50030.67</f>
        <v>50030.67</v>
      </c>
      <c r="Q14" s="2"/>
      <c r="R14" s="22"/>
      <c r="S14" s="2"/>
      <c r="T14" s="2"/>
      <c r="U14" s="2"/>
      <c r="V14" s="22"/>
      <c r="W14" s="2"/>
      <c r="X14" s="2">
        <f t="shared" si="2"/>
        <v>50030.67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--198101.2</f>
        <v>198101.2</v>
      </c>
      <c r="E15" s="2"/>
      <c r="F15" s="22"/>
      <c r="G15" s="2"/>
      <c r="H15" s="2"/>
      <c r="I15" s="2"/>
      <c r="J15" s="22"/>
      <c r="K15" s="2"/>
      <c r="L15" s="2">
        <f t="shared" si="0"/>
        <v>198101.2</v>
      </c>
      <c r="M15" s="2"/>
      <c r="N15" s="22">
        <f t="shared" si="1"/>
        <v>0</v>
      </c>
      <c r="O15" s="11"/>
      <c r="P15" s="2">
        <f>--739313.21</f>
        <v>739313.21</v>
      </c>
      <c r="Q15" s="2"/>
      <c r="R15" s="22"/>
      <c r="S15" s="2"/>
      <c r="T15" s="2"/>
      <c r="U15" s="2"/>
      <c r="V15" s="22"/>
      <c r="W15" s="2"/>
      <c r="X15" s="2">
        <f t="shared" si="2"/>
        <v>739313.21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--18937.34</f>
        <v>18937.34</v>
      </c>
      <c r="E16" s="2"/>
      <c r="F16" s="22"/>
      <c r="G16" s="2"/>
      <c r="H16" s="2"/>
      <c r="I16" s="2"/>
      <c r="J16" s="22"/>
      <c r="K16" s="2"/>
      <c r="L16" s="2">
        <f t="shared" si="0"/>
        <v>18937.34</v>
      </c>
      <c r="M16" s="2"/>
      <c r="N16" s="22">
        <f t="shared" si="1"/>
        <v>0</v>
      </c>
      <c r="O16" s="11"/>
      <c r="P16" s="2">
        <f>--68652.7</f>
        <v>68652.7</v>
      </c>
      <c r="Q16" s="2"/>
      <c r="R16" s="22"/>
      <c r="S16" s="2"/>
      <c r="T16" s="2"/>
      <c r="U16" s="2"/>
      <c r="V16" s="22"/>
      <c r="W16" s="2"/>
      <c r="X16" s="2">
        <f t="shared" si="2"/>
        <v>68652.7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"4085", " - ", "TAXABLE SALES-SOFTWARE")</f>
        <v xml:space="preserve">          4085 - TAXABLE SALES-SOFTWARE</v>
      </c>
      <c r="C17" s="11"/>
      <c r="D17" s="2">
        <f>--852.96</f>
        <v>852.96</v>
      </c>
      <c r="E17" s="2"/>
      <c r="F17" s="22"/>
      <c r="G17" s="2"/>
      <c r="H17" s="2"/>
      <c r="I17" s="2"/>
      <c r="J17" s="22"/>
      <c r="K17" s="2"/>
      <c r="L17" s="2">
        <f t="shared" si="0"/>
        <v>852.96</v>
      </c>
      <c r="M17" s="2"/>
      <c r="N17" s="22">
        <f t="shared" si="1"/>
        <v>0</v>
      </c>
      <c r="O17" s="11"/>
      <c r="P17" s="2">
        <f>--981.96</f>
        <v>981.96</v>
      </c>
      <c r="Q17" s="2"/>
      <c r="R17" s="22"/>
      <c r="S17" s="2"/>
      <c r="T17" s="2"/>
      <c r="U17" s="2"/>
      <c r="V17" s="22"/>
      <c r="W17" s="2"/>
      <c r="X17" s="2">
        <f t="shared" si="2"/>
        <v>981.96</v>
      </c>
      <c r="Y17" s="2"/>
      <c r="Z17" s="22">
        <f t="shared" si="3"/>
        <v>0</v>
      </c>
    </row>
    <row r="18" spans="1:26" s="24" customFormat="1" hidden="1" outlineLevel="1" x14ac:dyDescent="0.25">
      <c r="A18" s="51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>--713.93</f>
        <v>713.93</v>
      </c>
      <c r="E18" s="2"/>
      <c r="F18" s="22"/>
      <c r="G18" s="2"/>
      <c r="H18" s="2"/>
      <c r="I18" s="2"/>
      <c r="J18" s="22"/>
      <c r="K18" s="2"/>
      <c r="L18" s="2">
        <f t="shared" si="0"/>
        <v>713.93</v>
      </c>
      <c r="M18" s="2"/>
      <c r="N18" s="22">
        <f t="shared" si="1"/>
        <v>0</v>
      </c>
      <c r="O18" s="11"/>
      <c r="P18" s="2">
        <f>--27981.41</f>
        <v>27981.41</v>
      </c>
      <c r="Q18" s="2"/>
      <c r="R18" s="22"/>
      <c r="S18" s="2"/>
      <c r="T18" s="2"/>
      <c r="U18" s="2"/>
      <c r="V18" s="22"/>
      <c r="W18" s="2"/>
      <c r="X18" s="2">
        <f t="shared" si="2"/>
        <v>27981.41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"4100", " - ", "NON-TAXABLE SALES")</f>
        <v xml:space="preserve">          4100 - NON-TAXABLE SALES</v>
      </c>
      <c r="C19" s="11"/>
      <c r="D19" s="2">
        <f>0</f>
        <v>0</v>
      </c>
      <c r="E19" s="2"/>
      <c r="F19" s="22"/>
      <c r="G19" s="2"/>
      <c r="H19" s="2">
        <v>16238</v>
      </c>
      <c r="I19" s="2"/>
      <c r="J19" s="22"/>
      <c r="K19" s="2"/>
      <c r="L19" s="2">
        <f t="shared" si="0"/>
        <v>-16238</v>
      </c>
      <c r="M19" s="2"/>
      <c r="N19" s="22">
        <f t="shared" si="1"/>
        <v>-1</v>
      </c>
      <c r="O19" s="11"/>
      <c r="P19" s="2">
        <f>0</f>
        <v>0</v>
      </c>
      <c r="Q19" s="2"/>
      <c r="R19" s="22"/>
      <c r="S19" s="2"/>
      <c r="T19" s="2">
        <v>51780</v>
      </c>
      <c r="U19" s="2"/>
      <c r="V19" s="22"/>
      <c r="W19" s="2"/>
      <c r="X19" s="2">
        <f t="shared" si="2"/>
        <v>-51780</v>
      </c>
      <c r="Y19" s="2"/>
      <c r="Z19" s="22">
        <f t="shared" si="3"/>
        <v>-1</v>
      </c>
    </row>
    <row r="20" spans="1:26" s="24" customFormat="1" hidden="1" outlineLevel="1" x14ac:dyDescent="0.25">
      <c r="A20" s="51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>--669.89</f>
        <v>669.89</v>
      </c>
      <c r="E20" s="2"/>
      <c r="F20" s="22"/>
      <c r="G20" s="2"/>
      <c r="H20" s="2"/>
      <c r="I20" s="2"/>
      <c r="J20" s="22"/>
      <c r="K20" s="2"/>
      <c r="L20" s="2">
        <f t="shared" si="0"/>
        <v>669.89</v>
      </c>
      <c r="M20" s="2"/>
      <c r="N20" s="22">
        <f t="shared" si="1"/>
        <v>0</v>
      </c>
      <c r="O20" s="11"/>
      <c r="P20" s="2">
        <f>--3309.16</f>
        <v>3309.16</v>
      </c>
      <c r="Q20" s="2"/>
      <c r="R20" s="22"/>
      <c r="S20" s="2"/>
      <c r="T20" s="2"/>
      <c r="U20" s="2"/>
      <c r="V20" s="22"/>
      <c r="W20" s="2"/>
      <c r="X20" s="2">
        <f t="shared" si="2"/>
        <v>3309.16</v>
      </c>
      <c r="Y20" s="2"/>
      <c r="Z20" s="22">
        <f t="shared" si="3"/>
        <v>0</v>
      </c>
    </row>
    <row r="21" spans="1:26" s="24" customFormat="1" hidden="1" outlineLevel="1" x14ac:dyDescent="0.25">
      <c r="A21" s="51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>--38657</f>
        <v>38657</v>
      </c>
      <c r="E21" s="2"/>
      <c r="F21" s="22"/>
      <c r="G21" s="2"/>
      <c r="H21" s="2"/>
      <c r="I21" s="2"/>
      <c r="J21" s="22"/>
      <c r="K21" s="2"/>
      <c r="L21" s="2">
        <f t="shared" si="0"/>
        <v>38657</v>
      </c>
      <c r="M21" s="2"/>
      <c r="N21" s="22">
        <f t="shared" si="1"/>
        <v>0</v>
      </c>
      <c r="O21" s="11"/>
      <c r="P21" s="2">
        <f>--120724.38</f>
        <v>120724.38</v>
      </c>
      <c r="Q21" s="2"/>
      <c r="R21" s="22"/>
      <c r="S21" s="2"/>
      <c r="T21" s="2"/>
      <c r="U21" s="2"/>
      <c r="V21" s="22"/>
      <c r="W21" s="2"/>
      <c r="X21" s="2">
        <f t="shared" si="2"/>
        <v>120724.38</v>
      </c>
      <c r="Y21" s="2"/>
      <c r="Z21" s="22">
        <f t="shared" si="3"/>
        <v>0</v>
      </c>
    </row>
    <row r="22" spans="1:26" s="24" customFormat="1" hidden="1" outlineLevel="1" x14ac:dyDescent="0.25">
      <c r="A22" s="51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>--1946.8</f>
        <v>1946.8</v>
      </c>
      <c r="E22" s="2"/>
      <c r="F22" s="22"/>
      <c r="G22" s="2"/>
      <c r="H22" s="2"/>
      <c r="I22" s="2"/>
      <c r="J22" s="22"/>
      <c r="K22" s="2"/>
      <c r="L22" s="2">
        <f t="shared" si="0"/>
        <v>1946.8</v>
      </c>
      <c r="M22" s="2"/>
      <c r="N22" s="22">
        <f t="shared" si="1"/>
        <v>0</v>
      </c>
      <c r="O22" s="11"/>
      <c r="P22" s="2">
        <f>--5066.48</f>
        <v>5066.4799999999996</v>
      </c>
      <c r="Q22" s="2"/>
      <c r="R22" s="22"/>
      <c r="S22" s="2"/>
      <c r="T22" s="2"/>
      <c r="U22" s="2"/>
      <c r="V22" s="22"/>
      <c r="W22" s="2"/>
      <c r="X22" s="2">
        <f t="shared" si="2"/>
        <v>5066.4799999999996</v>
      </c>
      <c r="Y22" s="2"/>
      <c r="Z22" s="22">
        <f t="shared" si="3"/>
        <v>0</v>
      </c>
    </row>
    <row r="23" spans="1:26" s="24" customFormat="1" hidden="1" outlineLevel="1" x14ac:dyDescent="0.25">
      <c r="A23" s="51"/>
      <c r="B23" s="11" t="str">
        <f>CONCATENATE("          ", "4185", " - ", "NON-TAXABLE SALES-SOFTWARE")</f>
        <v xml:space="preserve">          4185 - NON-TAXABLE SALES-SOFTWARE</v>
      </c>
      <c r="C23" s="11"/>
      <c r="D23" s="2">
        <f>--8427.6</f>
        <v>8427.6</v>
      </c>
      <c r="E23" s="2"/>
      <c r="F23" s="22"/>
      <c r="G23" s="2"/>
      <c r="H23" s="2"/>
      <c r="I23" s="2"/>
      <c r="J23" s="22"/>
      <c r="K23" s="2"/>
      <c r="L23" s="2">
        <f t="shared" si="0"/>
        <v>8427.6</v>
      </c>
      <c r="M23" s="2"/>
      <c r="N23" s="22">
        <f t="shared" si="1"/>
        <v>0</v>
      </c>
      <c r="O23" s="11"/>
      <c r="P23" s="2">
        <f>--19226.09</f>
        <v>19226.09</v>
      </c>
      <c r="Q23" s="2"/>
      <c r="R23" s="22"/>
      <c r="S23" s="2"/>
      <c r="T23" s="2"/>
      <c r="U23" s="2"/>
      <c r="V23" s="22"/>
      <c r="W23" s="2"/>
      <c r="X23" s="2">
        <f t="shared" si="2"/>
        <v>19226.09</v>
      </c>
      <c r="Y23" s="2"/>
      <c r="Z23" s="22">
        <f t="shared" si="3"/>
        <v>0</v>
      </c>
    </row>
    <row r="24" spans="1:26" s="24" customFormat="1" hidden="1" outlineLevel="1" x14ac:dyDescent="0.25">
      <c r="A24" s="51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>--460.89</f>
        <v>460.89</v>
      </c>
      <c r="E24" s="2"/>
      <c r="F24" s="22"/>
      <c r="G24" s="2"/>
      <c r="H24" s="2"/>
      <c r="I24" s="2"/>
      <c r="J24" s="22"/>
      <c r="K24" s="2"/>
      <c r="L24" s="2">
        <f t="shared" si="0"/>
        <v>460.89</v>
      </c>
      <c r="M24" s="2"/>
      <c r="N24" s="22">
        <f t="shared" si="1"/>
        <v>0</v>
      </c>
      <c r="O24" s="11"/>
      <c r="P24" s="2">
        <f>--873.79</f>
        <v>873.79</v>
      </c>
      <c r="Q24" s="2"/>
      <c r="R24" s="22"/>
      <c r="S24" s="2"/>
      <c r="T24" s="2"/>
      <c r="U24" s="2"/>
      <c r="V24" s="22"/>
      <c r="W24" s="2"/>
      <c r="X24" s="2">
        <f t="shared" si="2"/>
        <v>873.79</v>
      </c>
      <c r="Y24" s="2"/>
      <c r="Z24" s="22">
        <f t="shared" si="3"/>
        <v>0</v>
      </c>
    </row>
    <row r="25" spans="1:26" s="24" customFormat="1" hidden="1" outlineLevel="1" x14ac:dyDescent="0.25">
      <c r="A25" s="51"/>
      <c r="B25" s="11" t="str">
        <f>CONCATENATE("          ", "4281", " - ", "SALES RETURN TAXABLE-ELECTRONI")</f>
        <v xml:space="preserve">          4281 - SALES RETURN TAXABLE-ELECTRONI</v>
      </c>
      <c r="C25" s="11"/>
      <c r="D25" s="2">
        <f>-557.94</f>
        <v>-557.94000000000005</v>
      </c>
      <c r="E25" s="2"/>
      <c r="F25" s="22"/>
      <c r="G25" s="2"/>
      <c r="H25" s="2"/>
      <c r="I25" s="2"/>
      <c r="J25" s="22"/>
      <c r="K25" s="2"/>
      <c r="L25" s="2">
        <f t="shared" si="0"/>
        <v>-557.94000000000005</v>
      </c>
      <c r="M25" s="2"/>
      <c r="N25" s="22">
        <f t="shared" si="1"/>
        <v>0</v>
      </c>
      <c r="O25" s="11"/>
      <c r="P25" s="2">
        <f>-14274.16</f>
        <v>-14274.16</v>
      </c>
      <c r="Q25" s="2"/>
      <c r="R25" s="22"/>
      <c r="S25" s="2"/>
      <c r="T25" s="2"/>
      <c r="U25" s="2"/>
      <c r="V25" s="22"/>
      <c r="W25" s="2"/>
      <c r="X25" s="2">
        <f t="shared" si="2"/>
        <v>-14274.16</v>
      </c>
      <c r="Y25" s="2"/>
      <c r="Z25" s="22">
        <f t="shared" si="3"/>
        <v>0</v>
      </c>
    </row>
    <row r="26" spans="1:26" s="24" customFormat="1" hidden="1" outlineLevel="1" x14ac:dyDescent="0.25">
      <c r="A26" s="51"/>
      <c r="B26" s="11" t="str">
        <f>CONCATENATE("          ", "4282", " - ", "SALES RETURN TAXABLE-COMPUTER")</f>
        <v xml:space="preserve">          4282 - SALES RETURN TAXABLE-COMPUTER</v>
      </c>
      <c r="C26" s="11"/>
      <c r="D26" s="2">
        <f>-14636</f>
        <v>-14636</v>
      </c>
      <c r="E26" s="2"/>
      <c r="F26" s="22"/>
      <c r="G26" s="2"/>
      <c r="H26" s="2"/>
      <c r="I26" s="2"/>
      <c r="J26" s="22"/>
      <c r="K26" s="2"/>
      <c r="L26" s="2">
        <f t="shared" si="0"/>
        <v>-14636</v>
      </c>
      <c r="M26" s="2"/>
      <c r="N26" s="22">
        <f t="shared" si="1"/>
        <v>0</v>
      </c>
      <c r="O26" s="11"/>
      <c r="P26" s="2">
        <f>-48285</f>
        <v>-48285</v>
      </c>
      <c r="Q26" s="2"/>
      <c r="R26" s="22"/>
      <c r="S26" s="2"/>
      <c r="T26" s="2"/>
      <c r="U26" s="2"/>
      <c r="V26" s="22"/>
      <c r="W26" s="2"/>
      <c r="X26" s="2">
        <f t="shared" si="2"/>
        <v>-48285</v>
      </c>
      <c r="Y26" s="2"/>
      <c r="Z26" s="22">
        <f t="shared" si="3"/>
        <v>0</v>
      </c>
    </row>
    <row r="27" spans="1:26" s="24" customFormat="1" hidden="1" outlineLevel="1" x14ac:dyDescent="0.25">
      <c r="A27" s="51"/>
      <c r="B27" s="11" t="str">
        <f>CONCATENATE("          ", "4283", " - ", "SALES RETURN TAXABLE-COMPUTER")</f>
        <v xml:space="preserve">          4283 - SALES RETURN TAXABLE-COMPUTER</v>
      </c>
      <c r="C27" s="11"/>
      <c r="D27" s="2">
        <f>-483.9</f>
        <v>-483.9</v>
      </c>
      <c r="E27" s="2"/>
      <c r="F27" s="22"/>
      <c r="G27" s="2"/>
      <c r="H27" s="2"/>
      <c r="I27" s="2"/>
      <c r="J27" s="22"/>
      <c r="K27" s="2"/>
      <c r="L27" s="2">
        <f t="shared" si="0"/>
        <v>-483.9</v>
      </c>
      <c r="M27" s="2"/>
      <c r="N27" s="22">
        <f t="shared" si="1"/>
        <v>0</v>
      </c>
      <c r="O27" s="11"/>
      <c r="P27" s="2">
        <f>-2002.73</f>
        <v>-2002.73</v>
      </c>
      <c r="Q27" s="2"/>
      <c r="R27" s="22"/>
      <c r="S27" s="2"/>
      <c r="T27" s="2"/>
      <c r="U27" s="2"/>
      <c r="V27" s="22"/>
      <c r="W27" s="2"/>
      <c r="X27" s="2">
        <f t="shared" si="2"/>
        <v>-2002.73</v>
      </c>
      <c r="Y27" s="2"/>
      <c r="Z27" s="22">
        <f t="shared" si="3"/>
        <v>0</v>
      </c>
    </row>
    <row r="28" spans="1:26" s="24" customFormat="1" hidden="1" outlineLevel="1" x14ac:dyDescent="0.25">
      <c r="A28" s="51"/>
      <c r="B28" s="11" t="str">
        <f>CONCATENATE("          ", "4285", " - ", "SALES RETURN TAXABLE-SOFTWARE")</f>
        <v xml:space="preserve">          4285 - SALES RETURN TAXABLE-SOFTWARE</v>
      </c>
      <c r="C28" s="11"/>
      <c r="D28" s="2">
        <f>-552.98</f>
        <v>-552.98</v>
      </c>
      <c r="E28" s="2"/>
      <c r="F28" s="22"/>
      <c r="G28" s="2"/>
      <c r="H28" s="2"/>
      <c r="I28" s="2"/>
      <c r="J28" s="22"/>
      <c r="K28" s="2"/>
      <c r="L28" s="2">
        <f t="shared" si="0"/>
        <v>-552.98</v>
      </c>
      <c r="M28" s="2"/>
      <c r="N28" s="22">
        <f t="shared" si="1"/>
        <v>0</v>
      </c>
      <c r="O28" s="11"/>
      <c r="P28" s="2">
        <f>-552.98</f>
        <v>-552.98</v>
      </c>
      <c r="Q28" s="2"/>
      <c r="R28" s="22"/>
      <c r="S28" s="2"/>
      <c r="T28" s="2"/>
      <c r="U28" s="2"/>
      <c r="V28" s="22"/>
      <c r="W28" s="2"/>
      <c r="X28" s="2">
        <f t="shared" si="2"/>
        <v>-552.98</v>
      </c>
      <c r="Y28" s="2"/>
      <c r="Z28" s="22">
        <f t="shared" si="3"/>
        <v>0</v>
      </c>
    </row>
    <row r="29" spans="1:26" s="24" customFormat="1" hidden="1" outlineLevel="1" x14ac:dyDescent="0.25">
      <c r="A29" s="51"/>
      <c r="B29" s="11" t="str">
        <f>CONCATENATE("          ", "4286", " - ", "SALES RETURN TAXABLE-COMPUTER")</f>
        <v xml:space="preserve">          4286 - SALES RETURN TAXABLE-COMPUTER</v>
      </c>
      <c r="C29" s="11"/>
      <c r="D29" s="2">
        <f>-258.44</f>
        <v>-258.44</v>
      </c>
      <c r="E29" s="2"/>
      <c r="F29" s="22"/>
      <c r="G29" s="2"/>
      <c r="H29" s="2"/>
      <c r="I29" s="2"/>
      <c r="J29" s="22"/>
      <c r="K29" s="2"/>
      <c r="L29" s="2">
        <f t="shared" si="0"/>
        <v>-258.44</v>
      </c>
      <c r="M29" s="2"/>
      <c r="N29" s="22">
        <f t="shared" si="1"/>
        <v>0</v>
      </c>
      <c r="O29" s="11"/>
      <c r="P29" s="2">
        <f>-412.4</f>
        <v>-412.4</v>
      </c>
      <c r="Q29" s="2"/>
      <c r="R29" s="22"/>
      <c r="S29" s="2"/>
      <c r="T29" s="2"/>
      <c r="U29" s="2"/>
      <c r="V29" s="22"/>
      <c r="W29" s="2"/>
      <c r="X29" s="2">
        <f t="shared" si="2"/>
        <v>-412.4</v>
      </c>
      <c r="Y29" s="2"/>
      <c r="Z29" s="22">
        <f t="shared" si="3"/>
        <v>0</v>
      </c>
    </row>
    <row r="30" spans="1:26" s="24" customFormat="1" hidden="1" outlineLevel="1" x14ac:dyDescent="0.25">
      <c r="A30" s="51"/>
      <c r="B30" s="11" t="str">
        <f>CONCATENATE("          ", "4381", " - ", "SALES RETURN NON TAXABLE-ELECT")</f>
        <v xml:space="preserve">          4381 - SALES RETURN NON TAXABLE-ELECT</v>
      </c>
      <c r="C30" s="11"/>
      <c r="D30" s="2">
        <f>-249.95</f>
        <v>-249.95</v>
      </c>
      <c r="E30" s="2"/>
      <c r="F30" s="22"/>
      <c r="G30" s="2"/>
      <c r="H30" s="2"/>
      <c r="I30" s="2"/>
      <c r="J30" s="22"/>
      <c r="K30" s="2"/>
      <c r="L30" s="2">
        <f t="shared" si="0"/>
        <v>-249.95</v>
      </c>
      <c r="M30" s="2"/>
      <c r="N30" s="22">
        <f t="shared" si="1"/>
        <v>0</v>
      </c>
      <c r="O30" s="11"/>
      <c r="P30" s="2">
        <f>-5624.15</f>
        <v>-5624.15</v>
      </c>
      <c r="Q30" s="2"/>
      <c r="R30" s="22"/>
      <c r="S30" s="2"/>
      <c r="T30" s="2"/>
      <c r="U30" s="2"/>
      <c r="V30" s="22"/>
      <c r="W30" s="2"/>
      <c r="X30" s="2">
        <f t="shared" si="2"/>
        <v>-5624.15</v>
      </c>
      <c r="Y30" s="2"/>
      <c r="Z30" s="22">
        <f t="shared" si="3"/>
        <v>0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collapsed="1" x14ac:dyDescent="0.25">
      <c r="A32" s="10"/>
      <c r="B32" s="25" t="s">
        <v>8</v>
      </c>
      <c r="C32" s="10"/>
      <c r="D32" s="4">
        <f>SUM(OSRRefD16x_0)</f>
        <v>262131.99999999991</v>
      </c>
      <c r="E32" s="4"/>
      <c r="F32" s="12">
        <f t="shared" ref="F32:F43" si="4">IF(D$12=0,0,D32/D$12)</f>
        <v>0.99425541484443503</v>
      </c>
      <c r="G32" s="4"/>
      <c r="H32" s="4">
        <f>SUM(OSRRefH16x_0)</f>
        <v>225148</v>
      </c>
      <c r="I32" s="4"/>
      <c r="J32" s="12">
        <f t="shared" ref="J32:J43" si="5">IF(H$12=0,0,H32/H$12)</f>
        <v>0.78096665209820526</v>
      </c>
      <c r="K32" s="4"/>
      <c r="L32" s="4">
        <f t="shared" ref="L32:L43" si="6">+D32-H32</f>
        <v>36983.999999999913</v>
      </c>
      <c r="M32" s="4"/>
      <c r="N32" s="12">
        <f t="shared" ref="N32:N43" si="7">IF(H32=0,0,L32/H32)</f>
        <v>0.16426528328033077</v>
      </c>
      <c r="O32" s="10"/>
      <c r="P32" s="4">
        <f>SUM(OSRRefP16x_0)</f>
        <v>924552</v>
      </c>
      <c r="Q32" s="4"/>
      <c r="R32" s="12">
        <f t="shared" ref="R32:R43" si="8">IF(P$12=0,0,P32/P$12)</f>
        <v>0.95979098516385719</v>
      </c>
      <c r="S32" s="4"/>
      <c r="T32" s="4">
        <f>SUM(OSRRefT16x_0)</f>
        <v>837944</v>
      </c>
      <c r="U32" s="4"/>
      <c r="V32" s="12">
        <f t="shared" ref="V32:V43" si="9">IF(T$12=0,0,T32/T$12)</f>
        <v>0.78096407977549975</v>
      </c>
      <c r="W32" s="4"/>
      <c r="X32" s="4">
        <f t="shared" ref="X32:X43" si="10">+P32-T32</f>
        <v>86608</v>
      </c>
      <c r="Y32" s="4"/>
      <c r="Z32" s="12">
        <f t="shared" ref="Z32:Z43" si="11">IF(T32=0,0,X32/T32)</f>
        <v>0.10335774228349388</v>
      </c>
    </row>
    <row r="33" spans="1:26" s="24" customFormat="1" hidden="1" outlineLevel="1" x14ac:dyDescent="0.25">
      <c r="A33" s="51"/>
      <c r="B33" s="11" t="str">
        <f>CONCATENATE("          ", "5000", " - ", "PURCHASES @ COST")</f>
        <v xml:space="preserve">          5000 - PURCHASES @ COST</v>
      </c>
      <c r="C33" s="11"/>
      <c r="D33" s="2"/>
      <c r="E33" s="2"/>
      <c r="F33" s="22">
        <f t="shared" si="4"/>
        <v>0</v>
      </c>
      <c r="G33" s="2"/>
      <c r="H33" s="2">
        <v>225148</v>
      </c>
      <c r="I33" s="2"/>
      <c r="J33" s="22">
        <f t="shared" si="5"/>
        <v>0.78096665209820526</v>
      </c>
      <c r="K33" s="2"/>
      <c r="L33" s="2">
        <f t="shared" si="6"/>
        <v>-225148</v>
      </c>
      <c r="M33" s="2"/>
      <c r="N33" s="22">
        <f t="shared" si="7"/>
        <v>-1</v>
      </c>
      <c r="O33" s="11"/>
      <c r="P33" s="2"/>
      <c r="Q33" s="2"/>
      <c r="R33" s="22">
        <f t="shared" si="8"/>
        <v>0</v>
      </c>
      <c r="S33" s="2"/>
      <c r="T33" s="2">
        <v>837944</v>
      </c>
      <c r="U33" s="2"/>
      <c r="V33" s="22">
        <f t="shared" si="9"/>
        <v>0.78096407977549975</v>
      </c>
      <c r="W33" s="2"/>
      <c r="X33" s="2">
        <f t="shared" si="10"/>
        <v>-837944</v>
      </c>
      <c r="Y33" s="2"/>
      <c r="Z33" s="22">
        <f t="shared" si="11"/>
        <v>-1</v>
      </c>
    </row>
    <row r="34" spans="1:26" s="24" customFormat="1" hidden="1" outlineLevel="1" x14ac:dyDescent="0.25">
      <c r="A34" s="51"/>
      <c r="B34" s="11" t="str">
        <f>CONCATENATE("          ", "5081", " - ", "PURCHASES @ COST-ELECTRONICS")</f>
        <v xml:space="preserve">          5081 - PURCHASES @ COST-ELECTRONICS</v>
      </c>
      <c r="C34" s="11"/>
      <c r="D34" s="2">
        <v>8274.98</v>
      </c>
      <c r="E34" s="2"/>
      <c r="F34" s="22">
        <f t="shared" si="4"/>
        <v>3.1386643647968983E-2</v>
      </c>
      <c r="G34" s="2"/>
      <c r="H34" s="2"/>
      <c r="I34" s="2"/>
      <c r="J34" s="22">
        <f t="shared" si="5"/>
        <v>0</v>
      </c>
      <c r="K34" s="2"/>
      <c r="L34" s="2">
        <f t="shared" si="6"/>
        <v>8274.98</v>
      </c>
      <c r="M34" s="2"/>
      <c r="N34" s="22">
        <f t="shared" si="7"/>
        <v>0</v>
      </c>
      <c r="O34" s="11"/>
      <c r="P34" s="2">
        <v>15697.449999999999</v>
      </c>
      <c r="Q34" s="2"/>
      <c r="R34" s="22">
        <f t="shared" si="8"/>
        <v>1.6295752970152452E-2</v>
      </c>
      <c r="S34" s="2"/>
      <c r="T34" s="2"/>
      <c r="U34" s="2"/>
      <c r="V34" s="22">
        <f t="shared" si="9"/>
        <v>0</v>
      </c>
      <c r="W34" s="2"/>
      <c r="X34" s="2">
        <f t="shared" si="10"/>
        <v>15697.449999999999</v>
      </c>
      <c r="Y34" s="2"/>
      <c r="Z34" s="22">
        <f t="shared" si="11"/>
        <v>0</v>
      </c>
    </row>
    <row r="35" spans="1:26" s="24" customFormat="1" hidden="1" outlineLevel="1" x14ac:dyDescent="0.25">
      <c r="A35" s="51"/>
      <c r="B35" s="11" t="str">
        <f>CONCATENATE("          ", "5082", " - ", "PURCHASES @ COST-COMPUTER HARD")</f>
        <v xml:space="preserve">          5082 - PURCHASES @ COST-COMPUTER HARD</v>
      </c>
      <c r="C35" s="11"/>
      <c r="D35" s="2">
        <v>470149.41</v>
      </c>
      <c r="E35" s="2"/>
      <c r="F35" s="22">
        <f t="shared" si="4"/>
        <v>1.7832565145743995</v>
      </c>
      <c r="G35" s="2"/>
      <c r="H35" s="2"/>
      <c r="I35" s="2"/>
      <c r="J35" s="22">
        <f t="shared" si="5"/>
        <v>0</v>
      </c>
      <c r="K35" s="2"/>
      <c r="L35" s="2">
        <f t="shared" si="6"/>
        <v>470149.41</v>
      </c>
      <c r="M35" s="2"/>
      <c r="N35" s="22">
        <f t="shared" si="7"/>
        <v>0</v>
      </c>
      <c r="O35" s="11"/>
      <c r="P35" s="2">
        <v>713373.21</v>
      </c>
      <c r="Q35" s="2"/>
      <c r="R35" s="22">
        <f t="shared" si="8"/>
        <v>0.74056318737659221</v>
      </c>
      <c r="S35" s="2"/>
      <c r="T35" s="2"/>
      <c r="U35" s="2"/>
      <c r="V35" s="22">
        <f t="shared" si="9"/>
        <v>0</v>
      </c>
      <c r="W35" s="2"/>
      <c r="X35" s="2">
        <f t="shared" si="10"/>
        <v>713373.21</v>
      </c>
      <c r="Y35" s="2"/>
      <c r="Z35" s="22">
        <f t="shared" si="11"/>
        <v>0</v>
      </c>
    </row>
    <row r="36" spans="1:26" s="24" customFormat="1" hidden="1" outlineLevel="1" x14ac:dyDescent="0.25">
      <c r="A36" s="51"/>
      <c r="B36" s="11" t="str">
        <f>CONCATENATE("          ", "5083", " - ", "PURCHASES @ COST-COMPUTER EQUI")</f>
        <v xml:space="preserve">          5083 - PURCHASES @ COST-COMPUTER EQUI</v>
      </c>
      <c r="C36" s="11"/>
      <c r="D36" s="2">
        <v>24155.15</v>
      </c>
      <c r="E36" s="2"/>
      <c r="F36" s="22">
        <f t="shared" si="4"/>
        <v>9.1619446247995534E-2</v>
      </c>
      <c r="G36" s="2"/>
      <c r="H36" s="2"/>
      <c r="I36" s="2"/>
      <c r="J36" s="22">
        <f t="shared" si="5"/>
        <v>0</v>
      </c>
      <c r="K36" s="2"/>
      <c r="L36" s="2">
        <f t="shared" si="6"/>
        <v>24155.15</v>
      </c>
      <c r="M36" s="2"/>
      <c r="N36" s="22">
        <f t="shared" si="7"/>
        <v>0</v>
      </c>
      <c r="O36" s="11"/>
      <c r="P36" s="2">
        <v>61434</v>
      </c>
      <c r="Q36" s="2"/>
      <c r="R36" s="22">
        <f t="shared" si="8"/>
        <v>6.3775536024535562E-2</v>
      </c>
      <c r="S36" s="2"/>
      <c r="T36" s="2"/>
      <c r="U36" s="2"/>
      <c r="V36" s="22">
        <f t="shared" si="9"/>
        <v>0</v>
      </c>
      <c r="W36" s="2"/>
      <c r="X36" s="2">
        <f t="shared" si="10"/>
        <v>61434</v>
      </c>
      <c r="Y36" s="2"/>
      <c r="Z36" s="22">
        <f t="shared" si="11"/>
        <v>0</v>
      </c>
    </row>
    <row r="37" spans="1:26" s="24" customFormat="1" hidden="1" outlineLevel="1" x14ac:dyDescent="0.25">
      <c r="A37" s="51"/>
      <c r="B37" s="11" t="str">
        <f>CONCATENATE("          ", "5085", " - ", "PURCHASES @ COST-SOFTWARE")</f>
        <v xml:space="preserve">          5085 - PURCHASES @ COST-SOFTWARE</v>
      </c>
      <c r="C37" s="11"/>
      <c r="D37" s="2">
        <v>8609.1200000000008</v>
      </c>
      <c r="E37" s="2"/>
      <c r="F37" s="22">
        <f t="shared" si="4"/>
        <v>3.2654022313359399E-2</v>
      </c>
      <c r="G37" s="2"/>
      <c r="H37" s="2"/>
      <c r="I37" s="2"/>
      <c r="J37" s="22">
        <f t="shared" si="5"/>
        <v>0</v>
      </c>
      <c r="K37" s="2"/>
      <c r="L37" s="2">
        <f t="shared" si="6"/>
        <v>8609.1200000000008</v>
      </c>
      <c r="M37" s="2"/>
      <c r="N37" s="22">
        <f t="shared" si="7"/>
        <v>0</v>
      </c>
      <c r="O37" s="11"/>
      <c r="P37" s="2">
        <v>14837.68</v>
      </c>
      <c r="Q37" s="2"/>
      <c r="R37" s="22">
        <f t="shared" si="8"/>
        <v>1.5403213128894925E-2</v>
      </c>
      <c r="S37" s="2"/>
      <c r="T37" s="2"/>
      <c r="U37" s="2"/>
      <c r="V37" s="22">
        <f t="shared" si="9"/>
        <v>0</v>
      </c>
      <c r="W37" s="2"/>
      <c r="X37" s="2">
        <f t="shared" si="10"/>
        <v>14837.68</v>
      </c>
      <c r="Y37" s="2"/>
      <c r="Z37" s="22">
        <f t="shared" si="11"/>
        <v>0</v>
      </c>
    </row>
    <row r="38" spans="1:26" s="24" customFormat="1" hidden="1" outlineLevel="1" x14ac:dyDescent="0.25">
      <c r="A38" s="51"/>
      <c r="B38" s="11" t="str">
        <f>CONCATENATE("          ", "5086", " - ", "PURCHASES @ COST-COMPUTER SUPP")</f>
        <v xml:space="preserve">          5086 - PURCHASES @ COST-COMPUTER SUPP</v>
      </c>
      <c r="C38" s="11"/>
      <c r="D38" s="2">
        <v>18.760000000000002</v>
      </c>
      <c r="E38" s="2"/>
      <c r="F38" s="22">
        <f t="shared" si="4"/>
        <v>7.1155874072915967E-5</v>
      </c>
      <c r="G38" s="2"/>
      <c r="H38" s="2"/>
      <c r="I38" s="2"/>
      <c r="J38" s="22">
        <f t="shared" si="5"/>
        <v>0</v>
      </c>
      <c r="K38" s="2"/>
      <c r="L38" s="2">
        <f t="shared" si="6"/>
        <v>18.760000000000002</v>
      </c>
      <c r="M38" s="2"/>
      <c r="N38" s="22">
        <f t="shared" si="7"/>
        <v>0</v>
      </c>
      <c r="O38" s="11"/>
      <c r="P38" s="2">
        <v>21755.969999999998</v>
      </c>
      <c r="Q38" s="2"/>
      <c r="R38" s="22">
        <f t="shared" si="8"/>
        <v>2.258519140026231E-2</v>
      </c>
      <c r="S38" s="2"/>
      <c r="T38" s="2"/>
      <c r="U38" s="2"/>
      <c r="V38" s="22">
        <f t="shared" si="9"/>
        <v>0</v>
      </c>
      <c r="W38" s="2"/>
      <c r="X38" s="2">
        <f t="shared" si="10"/>
        <v>21755.969999999998</v>
      </c>
      <c r="Y38" s="2"/>
      <c r="Z38" s="22">
        <f t="shared" si="11"/>
        <v>0</v>
      </c>
    </row>
    <row r="39" spans="1:26" s="24" customFormat="1" hidden="1" outlineLevel="1" x14ac:dyDescent="0.25">
      <c r="A39" s="51"/>
      <c r="B39" s="11" t="str">
        <f>CONCATENATE("          ", "5200", " - ", "PURCHASES OFFSET")</f>
        <v xml:space="preserve">          5200 - PURCHASES OFFSET</v>
      </c>
      <c r="C39" s="11"/>
      <c r="D39" s="2">
        <v>-511387.42000000004</v>
      </c>
      <c r="E39" s="2"/>
      <c r="F39" s="22">
        <f t="shared" si="4"/>
        <v>-1.9396705149250208</v>
      </c>
      <c r="G39" s="2"/>
      <c r="H39" s="2"/>
      <c r="I39" s="2"/>
      <c r="J39" s="22">
        <f t="shared" si="5"/>
        <v>0</v>
      </c>
      <c r="K39" s="2"/>
      <c r="L39" s="2">
        <f t="shared" si="6"/>
        <v>-511387.42000000004</v>
      </c>
      <c r="M39" s="2"/>
      <c r="N39" s="22">
        <f t="shared" si="7"/>
        <v>0</v>
      </c>
      <c r="O39" s="11"/>
      <c r="P39" s="2">
        <v>-827319.82</v>
      </c>
      <c r="Q39" s="2"/>
      <c r="R39" s="22">
        <f t="shared" si="8"/>
        <v>-0.85885283367878162</v>
      </c>
      <c r="S39" s="2"/>
      <c r="T39" s="2"/>
      <c r="U39" s="2"/>
      <c r="V39" s="22">
        <f t="shared" si="9"/>
        <v>0</v>
      </c>
      <c r="W39" s="2"/>
      <c r="X39" s="2">
        <f t="shared" si="10"/>
        <v>-827319.82</v>
      </c>
      <c r="Y39" s="2"/>
      <c r="Z39" s="22">
        <f t="shared" si="11"/>
        <v>0</v>
      </c>
    </row>
    <row r="40" spans="1:26" s="24" customFormat="1" hidden="1" outlineLevel="1" x14ac:dyDescent="0.25">
      <c r="A40" s="51"/>
      <c r="B40" s="11" t="str">
        <f>CONCATENATE("          ", "5300", " - ", "COG$ OFFSET")</f>
        <v xml:space="preserve">          5300 - COG$ OFFSET</v>
      </c>
      <c r="C40" s="11"/>
      <c r="D40" s="2">
        <v>262131.99999999997</v>
      </c>
      <c r="E40" s="2"/>
      <c r="F40" s="22">
        <f t="shared" si="4"/>
        <v>0.99425541484443525</v>
      </c>
      <c r="G40" s="2"/>
      <c r="H40" s="2"/>
      <c r="I40" s="2"/>
      <c r="J40" s="22">
        <f t="shared" si="5"/>
        <v>0</v>
      </c>
      <c r="K40" s="2"/>
      <c r="L40" s="2">
        <f t="shared" si="6"/>
        <v>262131.99999999997</v>
      </c>
      <c r="M40" s="2"/>
      <c r="N40" s="22">
        <f t="shared" si="7"/>
        <v>0</v>
      </c>
      <c r="O40" s="11"/>
      <c r="P40" s="2">
        <v>924552</v>
      </c>
      <c r="Q40" s="2"/>
      <c r="R40" s="22">
        <f t="shared" si="8"/>
        <v>0.95979098516385719</v>
      </c>
      <c r="S40" s="2"/>
      <c r="T40" s="2"/>
      <c r="U40" s="2"/>
      <c r="V40" s="22">
        <f t="shared" si="9"/>
        <v>0</v>
      </c>
      <c r="W40" s="2"/>
      <c r="X40" s="2">
        <f t="shared" si="10"/>
        <v>924552</v>
      </c>
      <c r="Y40" s="2"/>
      <c r="Z40" s="22">
        <f t="shared" si="11"/>
        <v>0</v>
      </c>
    </row>
    <row r="41" spans="1:26" s="24" customFormat="1" hidden="1" outlineLevel="1" x14ac:dyDescent="0.25">
      <c r="A41" s="51"/>
      <c r="B41" s="11" t="str">
        <f>CONCATENATE("          ", "5582", " - ", "FREIGHT-IN-COMPUTER HARDWARE")</f>
        <v xml:space="preserve">          5582 - FREIGHT-IN-COMPUTER HARDWARE</v>
      </c>
      <c r="C41" s="11"/>
      <c r="D41" s="2">
        <v>24</v>
      </c>
      <c r="E41" s="2"/>
      <c r="F41" s="22">
        <f t="shared" si="4"/>
        <v>9.1030968963218717E-5</v>
      </c>
      <c r="G41" s="2"/>
      <c r="H41" s="2"/>
      <c r="I41" s="2"/>
      <c r="J41" s="22">
        <f t="shared" si="5"/>
        <v>0</v>
      </c>
      <c r="K41" s="2"/>
      <c r="L41" s="2">
        <f t="shared" si="6"/>
        <v>24</v>
      </c>
      <c r="M41" s="2"/>
      <c r="N41" s="22">
        <f t="shared" si="7"/>
        <v>0</v>
      </c>
      <c r="O41" s="11"/>
      <c r="P41" s="2">
        <v>24</v>
      </c>
      <c r="Q41" s="2"/>
      <c r="R41" s="22">
        <f t="shared" si="8"/>
        <v>2.4914751840818656E-5</v>
      </c>
      <c r="S41" s="2"/>
      <c r="T41" s="2"/>
      <c r="U41" s="2"/>
      <c r="V41" s="22">
        <f t="shared" si="9"/>
        <v>0</v>
      </c>
      <c r="W41" s="2"/>
      <c r="X41" s="2">
        <f t="shared" si="10"/>
        <v>24</v>
      </c>
      <c r="Y41" s="2"/>
      <c r="Z41" s="22">
        <f t="shared" si="11"/>
        <v>0</v>
      </c>
    </row>
    <row r="42" spans="1:26" s="24" customFormat="1" hidden="1" outlineLevel="1" x14ac:dyDescent="0.25">
      <c r="A42" s="51"/>
      <c r="B42" s="11" t="str">
        <f>CONCATENATE("          ", "5583", " - ", "FREIGHT-IN-COMPUTER EQUIPMENT")</f>
        <v xml:space="preserve">          5583 - FREIGHT-IN-COMPUTER EQUIPMENT</v>
      </c>
      <c r="C42" s="11"/>
      <c r="D42" s="2">
        <v>156</v>
      </c>
      <c r="E42" s="2"/>
      <c r="F42" s="22">
        <f t="shared" si="4"/>
        <v>5.9170129826092164E-4</v>
      </c>
      <c r="G42" s="2"/>
      <c r="H42" s="2"/>
      <c r="I42" s="2"/>
      <c r="J42" s="22">
        <f t="shared" si="5"/>
        <v>0</v>
      </c>
      <c r="K42" s="2"/>
      <c r="L42" s="2">
        <f t="shared" si="6"/>
        <v>156</v>
      </c>
      <c r="M42" s="2"/>
      <c r="N42" s="22">
        <f t="shared" si="7"/>
        <v>0</v>
      </c>
      <c r="O42" s="11"/>
      <c r="P42" s="2">
        <v>173.39</v>
      </c>
      <c r="Q42" s="2"/>
      <c r="R42" s="22">
        <f t="shared" si="8"/>
        <v>1.7999870090331445E-4</v>
      </c>
      <c r="S42" s="2"/>
      <c r="T42" s="2"/>
      <c r="U42" s="2"/>
      <c r="V42" s="22">
        <f t="shared" si="9"/>
        <v>0</v>
      </c>
      <c r="W42" s="2"/>
      <c r="X42" s="2">
        <f t="shared" si="10"/>
        <v>173.39</v>
      </c>
      <c r="Y42" s="2"/>
      <c r="Z42" s="22">
        <f t="shared" si="11"/>
        <v>0</v>
      </c>
    </row>
    <row r="43" spans="1:26" s="24" customFormat="1" hidden="1" outlineLevel="1" x14ac:dyDescent="0.25">
      <c r="A43" s="51"/>
      <c r="B43" s="11" t="str">
        <f>CONCATENATE("          ", "5586", " - ", "FREIGHT-IN-COMPUTER SUPPLIES")</f>
        <v xml:space="preserve">          5586 - FREIGHT-IN-COMPUTER SUPPLIES</v>
      </c>
      <c r="C43" s="11"/>
      <c r="D43" s="2"/>
      <c r="E43" s="2"/>
      <c r="F43" s="22">
        <f t="shared" si="4"/>
        <v>0</v>
      </c>
      <c r="G43" s="2"/>
      <c r="H43" s="2"/>
      <c r="I43" s="2"/>
      <c r="J43" s="22">
        <f t="shared" si="5"/>
        <v>0</v>
      </c>
      <c r="K43" s="2"/>
      <c r="L43" s="2">
        <f t="shared" si="6"/>
        <v>0</v>
      </c>
      <c r="M43" s="2"/>
      <c r="N43" s="22">
        <f t="shared" si="7"/>
        <v>0</v>
      </c>
      <c r="O43" s="11"/>
      <c r="P43" s="2">
        <v>24.12</v>
      </c>
      <c r="Q43" s="2"/>
      <c r="R43" s="22">
        <f t="shared" si="8"/>
        <v>2.5039325600022752E-5</v>
      </c>
      <c r="S43" s="2"/>
      <c r="T43" s="2"/>
      <c r="U43" s="2"/>
      <c r="V43" s="22">
        <f t="shared" si="9"/>
        <v>0</v>
      </c>
      <c r="W43" s="2"/>
      <c r="X43" s="2">
        <f t="shared" si="10"/>
        <v>24.12</v>
      </c>
      <c r="Y43" s="2"/>
      <c r="Z43" s="22">
        <f t="shared" si="11"/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6" t="s">
        <v>6</v>
      </c>
      <c r="C45" s="26"/>
      <c r="D45" s="20">
        <f>D12-D32</f>
        <v>1514.5400000000664</v>
      </c>
      <c r="E45" s="13"/>
      <c r="F45" s="21">
        <f>IF(D$12=0,0,D45/D$12)</f>
        <v>5.7445851555649715E-3</v>
      </c>
      <c r="G45" s="13"/>
      <c r="H45" s="20">
        <f>H12-H32</f>
        <v>63146</v>
      </c>
      <c r="I45" s="13"/>
      <c r="J45" s="21">
        <f>IF(H$12=0,0,H45/H$12)</f>
        <v>0.21903334790179468</v>
      </c>
      <c r="K45" s="16"/>
      <c r="L45" s="20">
        <f>+D45-H45</f>
        <v>-61631.459999999934</v>
      </c>
      <c r="M45" s="16"/>
      <c r="N45" s="21">
        <f>IF(H45=0,0,L45/H45)</f>
        <v>-0.97601526620846824</v>
      </c>
      <c r="O45" s="25"/>
      <c r="P45" s="20">
        <f>P12-P32</f>
        <v>38732.729999999865</v>
      </c>
      <c r="Q45" s="13"/>
      <c r="R45" s="21">
        <f>IF(P$12=0,0,P45/P$12)</f>
        <v>4.0209014836142865E-2</v>
      </c>
      <c r="S45" s="13"/>
      <c r="T45" s="20">
        <f>T12-T32</f>
        <v>235017</v>
      </c>
      <c r="U45" s="13"/>
      <c r="V45" s="21">
        <f>IF(T$12=0,0,T45/T$12)</f>
        <v>0.21903592022450025</v>
      </c>
      <c r="W45" s="16"/>
      <c r="X45" s="20">
        <f>+P45-T45</f>
        <v>-196284.27000000014</v>
      </c>
      <c r="Y45" s="16"/>
      <c r="Z45" s="21">
        <f>IF(T45=0,0,X45/T45)</f>
        <v>-0.83519179463613324</v>
      </c>
    </row>
    <row r="46" spans="1:26" x14ac:dyDescent="0.25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6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25">
      <c r="A47" s="10"/>
      <c r="B47" s="25" t="s">
        <v>9</v>
      </c>
      <c r="C47" s="10"/>
      <c r="D47" s="19">
        <f>SUM(OSRRefD22x_0)</f>
        <v>12326.230000000001</v>
      </c>
      <c r="E47" s="19"/>
      <c r="F47" s="35">
        <f t="shared" ref="F47:F58" si="12">IF(D$12=0,0,D47/D$12)</f>
        <v>4.6752860856812316E-2</v>
      </c>
      <c r="G47" s="19"/>
      <c r="H47" s="19">
        <f>SUM(OSRRefH22x_0)</f>
        <v>20591.858402846156</v>
      </c>
      <c r="I47" s="19"/>
      <c r="J47" s="35">
        <f t="shared" ref="J47:J58" si="13">IF(H$12=0,0,H47/H$12)</f>
        <v>7.1426593695485013E-2</v>
      </c>
      <c r="K47" s="4"/>
      <c r="L47" s="19">
        <f t="shared" ref="L47:L58" si="14">+D47-H47</f>
        <v>-8265.6284028461541</v>
      </c>
      <c r="M47" s="4"/>
      <c r="N47" s="35">
        <f t="shared" ref="N47:N58" si="15">IF(H47=0,0,L47/H47)</f>
        <v>-0.40140274088635436</v>
      </c>
      <c r="O47" s="10"/>
      <c r="P47" s="19">
        <f>SUM(OSRRefP22x_0)</f>
        <v>39241.700000000012</v>
      </c>
      <c r="Q47" s="19"/>
      <c r="R47" s="35">
        <f t="shared" ref="R47:R58" si="16">IF(P$12=0,0,P47/P$12)</f>
        <v>4.0737384054660576E-2</v>
      </c>
      <c r="S47" s="19"/>
      <c r="T47" s="19">
        <f>SUM(OSRRefT22x_0)</f>
        <v>60581.834754249998</v>
      </c>
      <c r="U47" s="19"/>
      <c r="V47" s="35">
        <f t="shared" ref="V47:V58" si="17">IF(T$12=0,0,T47/T$12)</f>
        <v>5.6462289639837793E-2</v>
      </c>
      <c r="W47" s="4"/>
      <c r="X47" s="19">
        <f t="shared" ref="X47:X58" si="18">+P47-T47</f>
        <v>-21340.134754249986</v>
      </c>
      <c r="Y47" s="4"/>
      <c r="Z47" s="35">
        <f t="shared" ref="Z47:Z58" si="19">IF(T47=0,0,X47/T47)</f>
        <v>-0.35225302833458527</v>
      </c>
    </row>
    <row r="48" spans="1:26" s="28" customFormat="1" outlineLevel="1" collapsed="1" x14ac:dyDescent="0.25">
      <c r="A48" s="27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2917.2400000000007</v>
      </c>
      <c r="E48" s="1"/>
      <c r="F48" s="5">
        <f t="shared" si="12"/>
        <v>1.1064965995760843E-2</v>
      </c>
      <c r="G48" s="1"/>
      <c r="H48" s="1">
        <f>SUM(OSRRefH22_0x_0)</f>
        <v>2476.3834028461542</v>
      </c>
      <c r="I48" s="1"/>
      <c r="J48" s="5">
        <f t="shared" si="13"/>
        <v>8.5897847435123659E-3</v>
      </c>
      <c r="K48" s="1"/>
      <c r="L48" s="1">
        <f t="shared" si="14"/>
        <v>440.85659715384645</v>
      </c>
      <c r="M48" s="1"/>
      <c r="N48" s="5">
        <f t="shared" si="15"/>
        <v>0.17802437080104866</v>
      </c>
      <c r="O48" s="14"/>
      <c r="P48" s="1">
        <f>SUM(OSRRefP22_0x_0)</f>
        <v>8488.76</v>
      </c>
      <c r="Q48" s="1"/>
      <c r="R48" s="5">
        <f t="shared" si="16"/>
        <v>8.8123062015111574E-3</v>
      </c>
      <c r="S48" s="1"/>
      <c r="T48" s="1">
        <f>SUM(OSRRefT22_0x_0)</f>
        <v>7937.1935042499972</v>
      </c>
      <c r="U48" s="1"/>
      <c r="V48" s="5">
        <f t="shared" si="17"/>
        <v>7.3974669202794855E-3</v>
      </c>
      <c r="W48" s="1"/>
      <c r="X48" s="1">
        <f t="shared" si="18"/>
        <v>551.56649575000301</v>
      </c>
      <c r="Y48" s="1"/>
      <c r="Z48" s="5">
        <f t="shared" si="19"/>
        <v>6.9491375692764062E-2</v>
      </c>
    </row>
    <row r="49" spans="1:26" s="24" customFormat="1" hidden="1" outlineLevel="2" x14ac:dyDescent="0.25">
      <c r="A49" s="29"/>
      <c r="B49" s="11" t="str">
        <f>CONCATENATE("          ", "6111", " - ", "F.I.C.A.")</f>
        <v xml:space="preserve">          6111 - F.I.C.A.</v>
      </c>
      <c r="C49" s="11"/>
      <c r="D49" s="6">
        <v>530.98</v>
      </c>
      <c r="E49" s="2"/>
      <c r="F49" s="7">
        <f t="shared" si="12"/>
        <v>2.0139843291704113E-3</v>
      </c>
      <c r="G49" s="2"/>
      <c r="H49" s="6">
        <v>425.68281899999999</v>
      </c>
      <c r="I49" s="2"/>
      <c r="J49" s="7">
        <f t="shared" si="13"/>
        <v>1.4765580241003975E-3</v>
      </c>
      <c r="K49" s="2"/>
      <c r="L49" s="6">
        <f t="shared" si="14"/>
        <v>105.29718100000002</v>
      </c>
      <c r="M49" s="2"/>
      <c r="N49" s="7">
        <f t="shared" si="15"/>
        <v>0.24736065516423866</v>
      </c>
      <c r="O49" s="11"/>
      <c r="P49" s="6">
        <v>1569.36</v>
      </c>
      <c r="Q49" s="2"/>
      <c r="R49" s="7">
        <f t="shared" si="16"/>
        <v>1.6291756228711319E-3</v>
      </c>
      <c r="S49" s="2"/>
      <c r="T49" s="6">
        <v>1810.8126817500001</v>
      </c>
      <c r="U49" s="2"/>
      <c r="V49" s="7">
        <f t="shared" si="17"/>
        <v>1.6876780067029465E-3</v>
      </c>
      <c r="W49" s="2"/>
      <c r="X49" s="6">
        <f t="shared" si="18"/>
        <v>-241.45268175000024</v>
      </c>
      <c r="Y49" s="2"/>
      <c r="Z49" s="7">
        <f t="shared" si="19"/>
        <v>-0.13333940290094295</v>
      </c>
    </row>
    <row r="50" spans="1:26" s="24" customFormat="1" hidden="1" outlineLevel="2" x14ac:dyDescent="0.25">
      <c r="A50" s="29"/>
      <c r="B50" s="11" t="str">
        <f>CONCATENATE("          ", "6112", " - ", "COMPENSATION INSURANCE")</f>
        <v xml:space="preserve">          6112 - COMPENSATION INSURANCE</v>
      </c>
      <c r="C50" s="11"/>
      <c r="D50" s="6">
        <v>168.59</v>
      </c>
      <c r="E50" s="2"/>
      <c r="F50" s="7">
        <f t="shared" si="12"/>
        <v>6.394546273962102E-4</v>
      </c>
      <c r="G50" s="2"/>
      <c r="H50" s="6">
        <v>215.03104999999999</v>
      </c>
      <c r="I50" s="2"/>
      <c r="J50" s="7">
        <f t="shared" si="13"/>
        <v>7.4587417705536711E-4</v>
      </c>
      <c r="K50" s="2"/>
      <c r="L50" s="6">
        <f t="shared" si="14"/>
        <v>-46.44104999999999</v>
      </c>
      <c r="M50" s="2"/>
      <c r="N50" s="7">
        <f t="shared" si="15"/>
        <v>-0.21597369310153111</v>
      </c>
      <c r="O50" s="11"/>
      <c r="P50" s="6">
        <v>312.5</v>
      </c>
      <c r="Q50" s="2"/>
      <c r="R50" s="7">
        <f t="shared" si="16"/>
        <v>3.2441083126065961E-4</v>
      </c>
      <c r="S50" s="2"/>
      <c r="T50" s="6">
        <v>549.86578750000001</v>
      </c>
      <c r="U50" s="2"/>
      <c r="V50" s="7">
        <f t="shared" si="17"/>
        <v>5.124750922913321E-4</v>
      </c>
      <c r="W50" s="2"/>
      <c r="X50" s="6">
        <f t="shared" si="18"/>
        <v>-237.36578750000001</v>
      </c>
      <c r="Y50" s="2"/>
      <c r="Z50" s="7">
        <f t="shared" si="19"/>
        <v>-0.43167949869948946</v>
      </c>
    </row>
    <row r="51" spans="1:26" s="24" customFormat="1" hidden="1" outlineLevel="2" x14ac:dyDescent="0.25">
      <c r="A51" s="29"/>
      <c r="B51" s="11" t="str">
        <f>CONCATENATE("          ", "6113", " - ", "GROUP INSURANCE")</f>
        <v xml:space="preserve">          6113 - GROUP INSURANCE</v>
      </c>
      <c r="C51" s="11"/>
      <c r="D51" s="6">
        <v>1035.69</v>
      </c>
      <c r="E51" s="2"/>
      <c r="F51" s="7">
        <f t="shared" si="12"/>
        <v>3.9283276768964995E-3</v>
      </c>
      <c r="G51" s="2"/>
      <c r="H51" s="6">
        <v>946.34615384615404</v>
      </c>
      <c r="I51" s="2"/>
      <c r="J51" s="7">
        <f t="shared" si="13"/>
        <v>3.2825731851726155E-3</v>
      </c>
      <c r="K51" s="2"/>
      <c r="L51" s="6">
        <f t="shared" si="14"/>
        <v>89.343846153846016</v>
      </c>
      <c r="M51" s="2"/>
      <c r="N51" s="7">
        <f t="shared" si="15"/>
        <v>9.4409266409266238E-2</v>
      </c>
      <c r="O51" s="11"/>
      <c r="P51" s="6">
        <v>3107.07</v>
      </c>
      <c r="Q51" s="2"/>
      <c r="R51" s="7">
        <f t="shared" si="16"/>
        <v>3.2254949167521848E-3</v>
      </c>
      <c r="S51" s="2"/>
      <c r="T51" s="6">
        <v>2992.4999999999977</v>
      </c>
      <c r="U51" s="2"/>
      <c r="V51" s="7">
        <f t="shared" si="17"/>
        <v>2.7890109705758157E-3</v>
      </c>
      <c r="W51" s="2"/>
      <c r="X51" s="6">
        <f t="shared" si="18"/>
        <v>114.57000000000244</v>
      </c>
      <c r="Y51" s="2"/>
      <c r="Z51" s="7">
        <f t="shared" si="19"/>
        <v>3.8285714285715131E-2</v>
      </c>
    </row>
    <row r="52" spans="1:26" s="24" customFormat="1" hidden="1" outlineLevel="2" x14ac:dyDescent="0.25">
      <c r="A52" s="29"/>
      <c r="B52" s="11" t="str">
        <f>CONCATENATE("          ", "6114", " - ", "STATE UNEMPLOYMENT INSURANCE")</f>
        <v xml:space="preserve">          6114 - STATE UNEMPLOYMENT INSURANCE</v>
      </c>
      <c r="C52" s="11"/>
      <c r="D52" s="6">
        <v>23.69</v>
      </c>
      <c r="E52" s="2"/>
      <c r="F52" s="7">
        <f t="shared" si="12"/>
        <v>8.9855152280777153E-5</v>
      </c>
      <c r="G52" s="2"/>
      <c r="H52" s="6">
        <v>30.220580000000002</v>
      </c>
      <c r="I52" s="2"/>
      <c r="J52" s="7">
        <f t="shared" si="13"/>
        <v>1.0482556001859214E-4</v>
      </c>
      <c r="K52" s="2"/>
      <c r="L52" s="6">
        <f t="shared" si="14"/>
        <v>-6.5305800000000005</v>
      </c>
      <c r="M52" s="2"/>
      <c r="N52" s="7">
        <f t="shared" si="15"/>
        <v>-0.21609710998266746</v>
      </c>
      <c r="O52" s="11"/>
      <c r="P52" s="6">
        <v>58.62</v>
      </c>
      <c r="Q52" s="2"/>
      <c r="R52" s="7">
        <f t="shared" si="16"/>
        <v>6.0854281371199571E-5</v>
      </c>
      <c r="S52" s="2"/>
      <c r="T52" s="6">
        <v>77.278435000000002</v>
      </c>
      <c r="U52" s="2"/>
      <c r="V52" s="7">
        <f t="shared" si="17"/>
        <v>7.2023526484187218E-5</v>
      </c>
      <c r="W52" s="2"/>
      <c r="X52" s="6">
        <f t="shared" si="18"/>
        <v>-18.658435000000004</v>
      </c>
      <c r="Y52" s="2"/>
      <c r="Z52" s="7">
        <f t="shared" si="19"/>
        <v>-0.24144426579032047</v>
      </c>
    </row>
    <row r="53" spans="1:26" s="24" customFormat="1" hidden="1" outlineLevel="2" x14ac:dyDescent="0.25">
      <c r="A53" s="29"/>
      <c r="B53" s="11" t="str">
        <f>CONCATENATE("          ", "6115", " - ", "P.E.R.S.")</f>
        <v xml:space="preserve">          6115 - P.E.R.S.</v>
      </c>
      <c r="C53" s="11"/>
      <c r="D53" s="6">
        <v>176.42</v>
      </c>
      <c r="E53" s="2"/>
      <c r="F53" s="7">
        <f t="shared" si="12"/>
        <v>6.6915348102046025E-4</v>
      </c>
      <c r="G53" s="2"/>
      <c r="H53" s="6">
        <v>196.27780000000001</v>
      </c>
      <c r="I53" s="2"/>
      <c r="J53" s="7">
        <f t="shared" si="13"/>
        <v>6.8082512990211383E-4</v>
      </c>
      <c r="K53" s="2"/>
      <c r="L53" s="6">
        <f t="shared" si="14"/>
        <v>-19.857800000000026</v>
      </c>
      <c r="M53" s="2"/>
      <c r="N53" s="7">
        <f t="shared" si="15"/>
        <v>-0.10117191042491827</v>
      </c>
      <c r="O53" s="11"/>
      <c r="P53" s="6">
        <v>617.47</v>
      </c>
      <c r="Q53" s="2"/>
      <c r="R53" s="7">
        <f t="shared" si="16"/>
        <v>6.4100465913126241E-4</v>
      </c>
      <c r="S53" s="2"/>
      <c r="T53" s="6">
        <v>637.90284999999994</v>
      </c>
      <c r="U53" s="2"/>
      <c r="V53" s="7">
        <f t="shared" si="17"/>
        <v>5.9452566309493068E-4</v>
      </c>
      <c r="W53" s="2"/>
      <c r="X53" s="6">
        <f t="shared" si="18"/>
        <v>-20.432849999999917</v>
      </c>
      <c r="Y53" s="2"/>
      <c r="Z53" s="7">
        <f t="shared" si="19"/>
        <v>-3.2031288149911727E-2</v>
      </c>
    </row>
    <row r="54" spans="1:26" s="24" customFormat="1" hidden="1" outlineLevel="2" x14ac:dyDescent="0.25">
      <c r="A54" s="29"/>
      <c r="B54" s="11" t="str">
        <f>CONCATENATE("          ", "6116", " - ", "EDUCATIONAL BENEFITS")</f>
        <v xml:space="preserve">          6116 - EDUCATIONAL BENEFITS</v>
      </c>
      <c r="C54" s="11"/>
      <c r="D54" s="6"/>
      <c r="E54" s="2"/>
      <c r="F54" s="7">
        <f t="shared" si="12"/>
        <v>0</v>
      </c>
      <c r="G54" s="2"/>
      <c r="H54" s="6">
        <v>0</v>
      </c>
      <c r="I54" s="2"/>
      <c r="J54" s="7">
        <f t="shared" si="13"/>
        <v>0</v>
      </c>
      <c r="K54" s="2"/>
      <c r="L54" s="6">
        <f t="shared" si="14"/>
        <v>0</v>
      </c>
      <c r="M54" s="2"/>
      <c r="N54" s="7">
        <f t="shared" si="15"/>
        <v>0</v>
      </c>
      <c r="O54" s="11"/>
      <c r="P54" s="6"/>
      <c r="Q54" s="2"/>
      <c r="R54" s="7">
        <f t="shared" si="16"/>
        <v>0</v>
      </c>
      <c r="S54" s="2"/>
      <c r="T54" s="6">
        <v>0</v>
      </c>
      <c r="U54" s="2"/>
      <c r="V54" s="7">
        <f t="shared" si="17"/>
        <v>0</v>
      </c>
      <c r="W54" s="2"/>
      <c r="X54" s="6">
        <f t="shared" si="18"/>
        <v>0</v>
      </c>
      <c r="Y54" s="2"/>
      <c r="Z54" s="7">
        <f t="shared" si="19"/>
        <v>0</v>
      </c>
    </row>
    <row r="55" spans="1:26" s="24" customFormat="1" hidden="1" outlineLevel="2" x14ac:dyDescent="0.25">
      <c r="A55" s="29"/>
      <c r="B55" s="11" t="str">
        <f>CONCATENATE("          ", "6117", " - ", "RETIREMENT STAFF HOURLY")</f>
        <v xml:space="preserve">          6117 - RETIREMENT STAFF HOURLY</v>
      </c>
      <c r="C55" s="11"/>
      <c r="D55" s="6">
        <v>185.73</v>
      </c>
      <c r="E55" s="2"/>
      <c r="F55" s="7">
        <f t="shared" si="12"/>
        <v>7.0446591106410885E-4</v>
      </c>
      <c r="G55" s="2"/>
      <c r="H55" s="6"/>
      <c r="I55" s="2"/>
      <c r="J55" s="7">
        <f t="shared" si="13"/>
        <v>0</v>
      </c>
      <c r="K55" s="2"/>
      <c r="L55" s="6">
        <f t="shared" si="14"/>
        <v>185.73</v>
      </c>
      <c r="M55" s="2"/>
      <c r="N55" s="7">
        <f t="shared" si="15"/>
        <v>0</v>
      </c>
      <c r="O55" s="11"/>
      <c r="P55" s="6">
        <v>623.80999999999995</v>
      </c>
      <c r="Q55" s="2"/>
      <c r="R55" s="7">
        <f t="shared" si="16"/>
        <v>6.4758630607587853E-4</v>
      </c>
      <c r="S55" s="2"/>
      <c r="T55" s="6"/>
      <c r="U55" s="2"/>
      <c r="V55" s="7">
        <f t="shared" si="17"/>
        <v>0</v>
      </c>
      <c r="W55" s="2"/>
      <c r="X55" s="6">
        <f t="shared" si="18"/>
        <v>623.80999999999995</v>
      </c>
      <c r="Y55" s="2"/>
      <c r="Z55" s="7">
        <f t="shared" si="19"/>
        <v>0</v>
      </c>
    </row>
    <row r="56" spans="1:26" s="24" customFormat="1" hidden="1" outlineLevel="2" x14ac:dyDescent="0.25">
      <c r="A56" s="29"/>
      <c r="B56" s="11" t="str">
        <f>CONCATENATE("          ", "6118", " - ", "VACATION")</f>
        <v xml:space="preserve">          6118 - VACATION</v>
      </c>
      <c r="C56" s="11"/>
      <c r="D56" s="6">
        <v>257.8</v>
      </c>
      <c r="E56" s="2"/>
      <c r="F56" s="7">
        <f t="shared" si="12"/>
        <v>9.7782432494657439E-4</v>
      </c>
      <c r="G56" s="2"/>
      <c r="H56" s="6">
        <v>194.749</v>
      </c>
      <c r="I56" s="2"/>
      <c r="J56" s="7">
        <f t="shared" si="13"/>
        <v>6.75522209966215E-4</v>
      </c>
      <c r="K56" s="2"/>
      <c r="L56" s="6">
        <f t="shared" si="14"/>
        <v>63.051000000000016</v>
      </c>
      <c r="M56" s="2"/>
      <c r="N56" s="7">
        <f t="shared" si="15"/>
        <v>0.32375519258122004</v>
      </c>
      <c r="O56" s="11"/>
      <c r="P56" s="6">
        <v>773.4</v>
      </c>
      <c r="Q56" s="2"/>
      <c r="R56" s="7">
        <f t="shared" si="16"/>
        <v>8.0287787807038118E-4</v>
      </c>
      <c r="S56" s="2"/>
      <c r="T56" s="6">
        <v>632.93425000000002</v>
      </c>
      <c r="U56" s="2"/>
      <c r="V56" s="7">
        <f t="shared" si="17"/>
        <v>5.8989492628343438E-4</v>
      </c>
      <c r="W56" s="2"/>
      <c r="X56" s="6">
        <f t="shared" si="18"/>
        <v>140.46574999999996</v>
      </c>
      <c r="Y56" s="2"/>
      <c r="Z56" s="7">
        <f t="shared" si="19"/>
        <v>0.22192787007497217</v>
      </c>
    </row>
    <row r="57" spans="1:26" s="24" customFormat="1" hidden="1" outlineLevel="2" x14ac:dyDescent="0.25">
      <c r="A57" s="29"/>
      <c r="B57" s="11" t="str">
        <f>CONCATENATE("          ", "6119", " - ", "SICK LEAVE")</f>
        <v xml:space="preserve">          6119 - SICK LEAVE</v>
      </c>
      <c r="C57" s="11"/>
      <c r="D57" s="6">
        <v>256.57</v>
      </c>
      <c r="E57" s="2"/>
      <c r="F57" s="7">
        <f t="shared" si="12"/>
        <v>9.7315898778720935E-4</v>
      </c>
      <c r="G57" s="2"/>
      <c r="H57" s="6">
        <v>293.07600000000002</v>
      </c>
      <c r="I57" s="2"/>
      <c r="J57" s="7">
        <f t="shared" si="13"/>
        <v>1.0165872338654292E-3</v>
      </c>
      <c r="K57" s="2"/>
      <c r="L57" s="6">
        <f t="shared" si="14"/>
        <v>-36.506000000000029</v>
      </c>
      <c r="M57" s="2"/>
      <c r="N57" s="7">
        <f t="shared" si="15"/>
        <v>-0.12456154717547675</v>
      </c>
      <c r="O57" s="11"/>
      <c r="P57" s="6">
        <v>769.71</v>
      </c>
      <c r="Q57" s="2"/>
      <c r="R57" s="7">
        <f t="shared" si="16"/>
        <v>7.9904723497485543E-4</v>
      </c>
      <c r="S57" s="2"/>
      <c r="T57" s="6">
        <v>710.89949999999999</v>
      </c>
      <c r="U57" s="2"/>
      <c r="V57" s="7">
        <f t="shared" si="17"/>
        <v>6.6255856457038051E-4</v>
      </c>
      <c r="W57" s="2"/>
      <c r="X57" s="6">
        <f t="shared" si="18"/>
        <v>58.810500000000047</v>
      </c>
      <c r="Y57" s="2"/>
      <c r="Z57" s="7">
        <f t="shared" si="19"/>
        <v>8.272688333583024E-2</v>
      </c>
    </row>
    <row r="58" spans="1:26" s="24" customFormat="1" hidden="1" outlineLevel="2" x14ac:dyDescent="0.25">
      <c r="A58" s="29"/>
      <c r="B58" s="11" t="str">
        <f>CONCATENATE("          ", "6156", " - ", "EMPLOYEE MEALS")</f>
        <v xml:space="preserve">          6156 - EMPLOYEE MEALS</v>
      </c>
      <c r="C58" s="11"/>
      <c r="D58" s="6">
        <v>281.77</v>
      </c>
      <c r="E58" s="2"/>
      <c r="F58" s="7">
        <f t="shared" si="12"/>
        <v>1.0687415051985889E-3</v>
      </c>
      <c r="G58" s="2"/>
      <c r="H58" s="6">
        <v>175</v>
      </c>
      <c r="I58" s="2"/>
      <c r="J58" s="7">
        <f t="shared" si="13"/>
        <v>6.0701922343163581E-4</v>
      </c>
      <c r="K58" s="2"/>
      <c r="L58" s="6">
        <f t="shared" si="14"/>
        <v>106.76999999999998</v>
      </c>
      <c r="M58" s="2"/>
      <c r="N58" s="7">
        <f t="shared" si="15"/>
        <v>0.61011428571428561</v>
      </c>
      <c r="O58" s="11"/>
      <c r="P58" s="6">
        <v>656.82</v>
      </c>
      <c r="Q58" s="2"/>
      <c r="R58" s="7">
        <f t="shared" si="16"/>
        <v>6.8185447100360468E-4</v>
      </c>
      <c r="S58" s="2"/>
      <c r="T58" s="6">
        <v>525</v>
      </c>
      <c r="U58" s="2"/>
      <c r="V58" s="7">
        <f t="shared" si="17"/>
        <v>4.893001702764593E-4</v>
      </c>
      <c r="W58" s="2"/>
      <c r="X58" s="6">
        <f t="shared" si="18"/>
        <v>131.82000000000005</v>
      </c>
      <c r="Y58" s="2"/>
      <c r="Z58" s="7">
        <f t="shared" si="19"/>
        <v>0.25108571428571436</v>
      </c>
    </row>
    <row r="59" spans="1:26" s="28" customFormat="1" outlineLevel="1" collapsed="1" x14ac:dyDescent="0.25">
      <c r="A59" s="27"/>
      <c r="B59" s="14" t="str">
        <f>CONCATENATE("     ","*Payroll                                          ")</f>
        <v xml:space="preserve">     *Payroll                                          </v>
      </c>
      <c r="C59" s="14"/>
      <c r="D59" s="1">
        <f>SUM(OSRRefD22_1x_0)</f>
        <v>7451.68</v>
      </c>
      <c r="E59" s="1"/>
      <c r="F59" s="5">
        <f t="shared" ref="F59:F69" si="20">IF(D$12=0,0,D59/D$12)</f>
        <v>2.826390211682657E-2</v>
      </c>
      <c r="G59" s="1"/>
      <c r="H59" s="1">
        <f>SUM(OSRRefH22_1x_0)</f>
        <v>11135.475</v>
      </c>
      <c r="I59" s="1"/>
      <c r="J59" s="5">
        <f t="shared" ref="J59:J69" si="21">IF(H$12=0,0,H59/H$12)</f>
        <v>3.8625413640242252E-2</v>
      </c>
      <c r="K59" s="1"/>
      <c r="L59" s="1">
        <f t="shared" ref="L59:L69" si="22">+D59-H59</f>
        <v>-3683.7950000000001</v>
      </c>
      <c r="M59" s="1"/>
      <c r="N59" s="5">
        <f t="shared" ref="N59:N69" si="23">IF(H59=0,0,L59/H59)</f>
        <v>-0.33081615288077071</v>
      </c>
      <c r="O59" s="14"/>
      <c r="P59" s="1">
        <f>SUM(OSRRefP22_1x_0)</f>
        <v>23259.17</v>
      </c>
      <c r="Q59" s="1"/>
      <c r="R59" s="5">
        <f t="shared" ref="R59:R69" si="24">IF(P$12=0,0,P59/P$12)</f>
        <v>2.4145685357225586E-2</v>
      </c>
      <c r="S59" s="1"/>
      <c r="T59" s="1">
        <f>SUM(OSRRefT22_1x_0)</f>
        <v>28378.641250000001</v>
      </c>
      <c r="U59" s="1"/>
      <c r="V59" s="5">
        <f t="shared" ref="V59:V69" si="25">IF(T$12=0,0,T59/T$12)</f>
        <v>2.6448902849218192E-2</v>
      </c>
      <c r="W59" s="1"/>
      <c r="X59" s="1">
        <f t="shared" ref="X59:X69" si="26">+P59-T59</f>
        <v>-5119.4712500000023</v>
      </c>
      <c r="Y59" s="1"/>
      <c r="Z59" s="5">
        <f t="shared" ref="Z59:Z69" si="27">IF(T59=0,0,X59/T59)</f>
        <v>-0.1803987444254401</v>
      </c>
    </row>
    <row r="60" spans="1:26" s="24" customFormat="1" hidden="1" outlineLevel="2" x14ac:dyDescent="0.25">
      <c r="A60" s="29"/>
      <c r="B60" s="11" t="str">
        <f>CONCATENATE("          ", "6001", " - ", "ADMINISTRATIVE SALARIES")</f>
        <v xml:space="preserve">          6001 - ADMINISTRATIVE SALARIES</v>
      </c>
      <c r="C60" s="11"/>
      <c r="D60" s="6"/>
      <c r="E60" s="2"/>
      <c r="F60" s="7">
        <f t="shared" si="20"/>
        <v>0</v>
      </c>
      <c r="G60" s="2"/>
      <c r="H60" s="6">
        <v>0</v>
      </c>
      <c r="I60" s="2"/>
      <c r="J60" s="7">
        <f t="shared" si="21"/>
        <v>0</v>
      </c>
      <c r="K60" s="2"/>
      <c r="L60" s="6">
        <f t="shared" si="22"/>
        <v>0</v>
      </c>
      <c r="M60" s="2"/>
      <c r="N60" s="7">
        <f t="shared" si="23"/>
        <v>0</v>
      </c>
      <c r="O60" s="11"/>
      <c r="P60" s="6"/>
      <c r="Q60" s="2"/>
      <c r="R60" s="7">
        <f t="shared" si="24"/>
        <v>0</v>
      </c>
      <c r="S60" s="2"/>
      <c r="T60" s="6">
        <v>0</v>
      </c>
      <c r="U60" s="2"/>
      <c r="V60" s="7">
        <f t="shared" si="25"/>
        <v>0</v>
      </c>
      <c r="W60" s="2"/>
      <c r="X60" s="6">
        <f t="shared" si="26"/>
        <v>0</v>
      </c>
      <c r="Y60" s="2"/>
      <c r="Z60" s="7">
        <f t="shared" si="27"/>
        <v>0</v>
      </c>
    </row>
    <row r="61" spans="1:26" s="24" customFormat="1" hidden="1" outlineLevel="2" x14ac:dyDescent="0.25">
      <c r="A61" s="29"/>
      <c r="B61" s="11" t="str">
        <f>CONCATENATE("          ", "6002", " - ", "STAFF SALARIES")</f>
        <v xml:space="preserve">          6002 - STAFF SALARIES</v>
      </c>
      <c r="C61" s="11"/>
      <c r="D61" s="6">
        <v>2282.3000000000002</v>
      </c>
      <c r="E61" s="2"/>
      <c r="F61" s="7">
        <f t="shared" si="20"/>
        <v>8.6566658526980866E-3</v>
      </c>
      <c r="G61" s="2"/>
      <c r="H61" s="6">
        <v>2168.1849999999999</v>
      </c>
      <c r="I61" s="2"/>
      <c r="J61" s="7">
        <f t="shared" si="21"/>
        <v>7.5207427140349782E-3</v>
      </c>
      <c r="K61" s="2"/>
      <c r="L61" s="6">
        <f t="shared" si="22"/>
        <v>114.11500000000024</v>
      </c>
      <c r="M61" s="2"/>
      <c r="N61" s="7">
        <f t="shared" si="23"/>
        <v>5.2631578947368529E-2</v>
      </c>
      <c r="O61" s="11"/>
      <c r="P61" s="6">
        <v>6961.44</v>
      </c>
      <c r="Q61" s="2"/>
      <c r="R61" s="7">
        <f t="shared" si="24"/>
        <v>7.226772918947859E-3</v>
      </c>
      <c r="S61" s="2"/>
      <c r="T61" s="6">
        <v>7046.6012499999997</v>
      </c>
      <c r="U61" s="2"/>
      <c r="V61" s="7">
        <f t="shared" si="25"/>
        <v>6.5674346504672578E-3</v>
      </c>
      <c r="W61" s="2"/>
      <c r="X61" s="6">
        <f t="shared" si="26"/>
        <v>-85.161250000000109</v>
      </c>
      <c r="Y61" s="2"/>
      <c r="Z61" s="7">
        <f t="shared" si="27"/>
        <v>-1.2085436223597881E-2</v>
      </c>
    </row>
    <row r="62" spans="1:26" s="24" customFormat="1" hidden="1" outlineLevel="2" x14ac:dyDescent="0.25">
      <c r="A62" s="29"/>
      <c r="B62" s="11" t="str">
        <f>CONCATENATE("          ", "6003", " - ", "STAFF HOURLY-9 MONTH")</f>
        <v xml:space="preserve">          6003 - STAFF HOURLY-9 MONTH</v>
      </c>
      <c r="C62" s="11"/>
      <c r="D62" s="6"/>
      <c r="E62" s="2"/>
      <c r="F62" s="7">
        <f t="shared" si="20"/>
        <v>0</v>
      </c>
      <c r="G62" s="2"/>
      <c r="H62" s="6">
        <v>0</v>
      </c>
      <c r="I62" s="2"/>
      <c r="J62" s="7">
        <f t="shared" si="21"/>
        <v>0</v>
      </c>
      <c r="K62" s="2"/>
      <c r="L62" s="6">
        <f t="shared" si="22"/>
        <v>0</v>
      </c>
      <c r="M62" s="2"/>
      <c r="N62" s="7">
        <f t="shared" si="23"/>
        <v>0</v>
      </c>
      <c r="O62" s="11"/>
      <c r="P62" s="6"/>
      <c r="Q62" s="2"/>
      <c r="R62" s="7">
        <f t="shared" si="24"/>
        <v>0</v>
      </c>
      <c r="S62" s="2"/>
      <c r="T62" s="6">
        <v>0</v>
      </c>
      <c r="U62" s="2"/>
      <c r="V62" s="7">
        <f t="shared" si="25"/>
        <v>0</v>
      </c>
      <c r="W62" s="2"/>
      <c r="X62" s="6">
        <f t="shared" si="26"/>
        <v>0</v>
      </c>
      <c r="Y62" s="2"/>
      <c r="Z62" s="7">
        <f t="shared" si="27"/>
        <v>0</v>
      </c>
    </row>
    <row r="63" spans="1:26" s="24" customFormat="1" hidden="1" outlineLevel="2" x14ac:dyDescent="0.25">
      <c r="A63" s="29"/>
      <c r="B63" s="11" t="str">
        <f>CONCATENATE("          ", "6004", " - ", "STAFF HOURLY")</f>
        <v xml:space="preserve">          6004 - STAFF HOURLY</v>
      </c>
      <c r="C63" s="11"/>
      <c r="D63" s="6">
        <v>3714.5</v>
      </c>
      <c r="E63" s="2"/>
      <c r="F63" s="7">
        <f t="shared" si="20"/>
        <v>1.4088938925578163E-2</v>
      </c>
      <c r="G63" s="2"/>
      <c r="H63" s="6">
        <v>3088.12</v>
      </c>
      <c r="I63" s="2"/>
      <c r="J63" s="7">
        <f t="shared" si="21"/>
        <v>1.0711704024364017E-2</v>
      </c>
      <c r="K63" s="2"/>
      <c r="L63" s="6">
        <f t="shared" si="22"/>
        <v>626.38000000000011</v>
      </c>
      <c r="M63" s="2"/>
      <c r="N63" s="7">
        <f t="shared" si="23"/>
        <v>0.20283538204473925</v>
      </c>
      <c r="O63" s="11"/>
      <c r="P63" s="6">
        <v>10549.21</v>
      </c>
      <c r="Q63" s="2"/>
      <c r="R63" s="7">
        <f t="shared" si="24"/>
        <v>1.0951289552778441E-2</v>
      </c>
      <c r="S63" s="2"/>
      <c r="T63" s="6">
        <v>10036.39</v>
      </c>
      <c r="U63" s="2"/>
      <c r="V63" s="7">
        <f t="shared" si="25"/>
        <v>9.3539187351637191E-3</v>
      </c>
      <c r="W63" s="2"/>
      <c r="X63" s="6">
        <f t="shared" si="26"/>
        <v>512.81999999999971</v>
      </c>
      <c r="Y63" s="2"/>
      <c r="Z63" s="7">
        <f t="shared" si="27"/>
        <v>5.1096061432447298E-2</v>
      </c>
    </row>
    <row r="64" spans="1:26" s="24" customFormat="1" hidden="1" outlineLevel="2" x14ac:dyDescent="0.25">
      <c r="A64" s="29"/>
      <c r="B64" s="11" t="str">
        <f>CONCATENATE("          ", "6005", " - ", "TEMPORARY WAGES-HOURLY")</f>
        <v xml:space="preserve">          6005 - TEMPORARY WAGES-HOURLY</v>
      </c>
      <c r="C64" s="11"/>
      <c r="D64" s="6"/>
      <c r="E64" s="2"/>
      <c r="F64" s="7">
        <f t="shared" si="20"/>
        <v>0</v>
      </c>
      <c r="G64" s="2"/>
      <c r="H64" s="6">
        <v>0</v>
      </c>
      <c r="I64" s="2"/>
      <c r="J64" s="7">
        <f t="shared" si="21"/>
        <v>0</v>
      </c>
      <c r="K64" s="2"/>
      <c r="L64" s="6">
        <f t="shared" si="22"/>
        <v>0</v>
      </c>
      <c r="M64" s="2"/>
      <c r="N64" s="7">
        <f t="shared" si="23"/>
        <v>0</v>
      </c>
      <c r="O64" s="11"/>
      <c r="P64" s="6"/>
      <c r="Q64" s="2"/>
      <c r="R64" s="7">
        <f t="shared" si="24"/>
        <v>0</v>
      </c>
      <c r="S64" s="2"/>
      <c r="T64" s="6">
        <v>0</v>
      </c>
      <c r="U64" s="2"/>
      <c r="V64" s="7">
        <f t="shared" si="25"/>
        <v>0</v>
      </c>
      <c r="W64" s="2"/>
      <c r="X64" s="6">
        <f t="shared" si="26"/>
        <v>0</v>
      </c>
      <c r="Y64" s="2"/>
      <c r="Z64" s="7">
        <f t="shared" si="27"/>
        <v>0</v>
      </c>
    </row>
    <row r="65" spans="1:26" s="24" customFormat="1" hidden="1" outlineLevel="2" x14ac:dyDescent="0.25">
      <c r="A65" s="29"/>
      <c r="B65" s="11" t="str">
        <f>CONCATENATE("          ", "6006", " - ", "TEMPORARY PART TIME")</f>
        <v xml:space="preserve">          6006 - TEMPORARY PART TIME</v>
      </c>
      <c r="C65" s="11"/>
      <c r="D65" s="6"/>
      <c r="E65" s="2"/>
      <c r="F65" s="7">
        <f t="shared" si="20"/>
        <v>0</v>
      </c>
      <c r="G65" s="2"/>
      <c r="H65" s="6">
        <v>0</v>
      </c>
      <c r="I65" s="2"/>
      <c r="J65" s="7">
        <f t="shared" si="21"/>
        <v>0</v>
      </c>
      <c r="K65" s="2"/>
      <c r="L65" s="6">
        <f t="shared" si="22"/>
        <v>0</v>
      </c>
      <c r="M65" s="2"/>
      <c r="N65" s="7">
        <f t="shared" si="23"/>
        <v>0</v>
      </c>
      <c r="O65" s="11"/>
      <c r="P65" s="6"/>
      <c r="Q65" s="2"/>
      <c r="R65" s="7">
        <f t="shared" si="24"/>
        <v>0</v>
      </c>
      <c r="S65" s="2"/>
      <c r="T65" s="6">
        <v>0</v>
      </c>
      <c r="U65" s="2"/>
      <c r="V65" s="7">
        <f t="shared" si="25"/>
        <v>0</v>
      </c>
      <c r="W65" s="2"/>
      <c r="X65" s="6">
        <f t="shared" si="26"/>
        <v>0</v>
      </c>
      <c r="Y65" s="2"/>
      <c r="Z65" s="7">
        <f t="shared" si="27"/>
        <v>0</v>
      </c>
    </row>
    <row r="66" spans="1:26" s="24" customFormat="1" hidden="1" outlineLevel="2" x14ac:dyDescent="0.25">
      <c r="A66" s="29"/>
      <c r="B66" s="11" t="str">
        <f>CONCATENATE("          ", "6007", " - ", "STUDENT HOURLY")</f>
        <v xml:space="preserve">          6007 - STUDENT HOURLY</v>
      </c>
      <c r="C66" s="11"/>
      <c r="D66" s="6">
        <v>1454.88</v>
      </c>
      <c r="E66" s="2"/>
      <c r="F66" s="7">
        <f t="shared" si="20"/>
        <v>5.518297338550319E-3</v>
      </c>
      <c r="G66" s="2"/>
      <c r="H66" s="6">
        <v>0</v>
      </c>
      <c r="I66" s="2"/>
      <c r="J66" s="7">
        <f t="shared" si="21"/>
        <v>0</v>
      </c>
      <c r="K66" s="2"/>
      <c r="L66" s="6">
        <f t="shared" si="22"/>
        <v>1454.88</v>
      </c>
      <c r="M66" s="2"/>
      <c r="N66" s="7">
        <f t="shared" si="23"/>
        <v>0</v>
      </c>
      <c r="O66" s="11"/>
      <c r="P66" s="6">
        <v>5748.52</v>
      </c>
      <c r="Q66" s="2"/>
      <c r="R66" s="7">
        <f t="shared" si="24"/>
        <v>5.9676228854992864E-3</v>
      </c>
      <c r="S66" s="2"/>
      <c r="T66" s="6">
        <v>5416.48</v>
      </c>
      <c r="U66" s="2"/>
      <c r="V66" s="7">
        <f t="shared" si="25"/>
        <v>5.0481611167600684E-3</v>
      </c>
      <c r="W66" s="2"/>
      <c r="X66" s="6">
        <f t="shared" si="26"/>
        <v>332.04000000000087</v>
      </c>
      <c r="Y66" s="2"/>
      <c r="Z66" s="7">
        <f t="shared" si="27"/>
        <v>6.1301804862198495E-2</v>
      </c>
    </row>
    <row r="67" spans="1:26" s="24" customFormat="1" hidden="1" outlineLevel="2" x14ac:dyDescent="0.25">
      <c r="A67" s="29"/>
      <c r="B67" s="11" t="str">
        <f>CONCATENATE("          ", "6008", " - ", "STUDENT HOURLY-FICA EXEMPT")</f>
        <v xml:space="preserve">          6008 - STUDENT HOURLY-FICA EXEMPT</v>
      </c>
      <c r="C67" s="11"/>
      <c r="D67" s="6"/>
      <c r="E67" s="2"/>
      <c r="F67" s="7">
        <f t="shared" si="20"/>
        <v>0</v>
      </c>
      <c r="G67" s="2"/>
      <c r="H67" s="6">
        <v>5879.17</v>
      </c>
      <c r="I67" s="2"/>
      <c r="J67" s="7">
        <f t="shared" si="21"/>
        <v>2.0392966901843258E-2</v>
      </c>
      <c r="K67" s="2"/>
      <c r="L67" s="6">
        <f t="shared" si="22"/>
        <v>-5879.17</v>
      </c>
      <c r="M67" s="2"/>
      <c r="N67" s="7">
        <f t="shared" si="23"/>
        <v>-1</v>
      </c>
      <c r="O67" s="11"/>
      <c r="P67" s="6"/>
      <c r="Q67" s="2"/>
      <c r="R67" s="7">
        <f t="shared" si="24"/>
        <v>0</v>
      </c>
      <c r="S67" s="2"/>
      <c r="T67" s="6">
        <v>5879.17</v>
      </c>
      <c r="U67" s="2"/>
      <c r="V67" s="7">
        <f t="shared" si="25"/>
        <v>5.4793883468271451E-3</v>
      </c>
      <c r="W67" s="2"/>
      <c r="X67" s="6">
        <f t="shared" si="26"/>
        <v>-5879.17</v>
      </c>
      <c r="Y67" s="2"/>
      <c r="Z67" s="7">
        <f t="shared" si="27"/>
        <v>-1</v>
      </c>
    </row>
    <row r="68" spans="1:26" s="24" customFormat="1" hidden="1" outlineLevel="2" x14ac:dyDescent="0.25">
      <c r="A68" s="29"/>
      <c r="B68" s="11" t="str">
        <f>CONCATENATE("          ", "6009", " - ", "TEMPORARY-SEASONAL")</f>
        <v xml:space="preserve">          6009 - TEMPORARY-SEASONAL</v>
      </c>
      <c r="C68" s="11"/>
      <c r="D68" s="6"/>
      <c r="E68" s="2"/>
      <c r="F68" s="7">
        <f t="shared" si="20"/>
        <v>0</v>
      </c>
      <c r="G68" s="2"/>
      <c r="H68" s="6">
        <v>0</v>
      </c>
      <c r="I68" s="2"/>
      <c r="J68" s="7">
        <f t="shared" si="21"/>
        <v>0</v>
      </c>
      <c r="K68" s="2"/>
      <c r="L68" s="6">
        <f t="shared" si="22"/>
        <v>0</v>
      </c>
      <c r="M68" s="2"/>
      <c r="N68" s="7">
        <f t="shared" si="23"/>
        <v>0</v>
      </c>
      <c r="O68" s="11"/>
      <c r="P68" s="6"/>
      <c r="Q68" s="2"/>
      <c r="R68" s="7">
        <f t="shared" si="24"/>
        <v>0</v>
      </c>
      <c r="S68" s="2"/>
      <c r="T68" s="6">
        <v>0</v>
      </c>
      <c r="U68" s="2"/>
      <c r="V68" s="7">
        <f t="shared" si="25"/>
        <v>0</v>
      </c>
      <c r="W68" s="2"/>
      <c r="X68" s="6">
        <f t="shared" si="26"/>
        <v>0</v>
      </c>
      <c r="Y68" s="2"/>
      <c r="Z68" s="7">
        <f t="shared" si="27"/>
        <v>0</v>
      </c>
    </row>
    <row r="69" spans="1:26" s="24" customFormat="1" hidden="1" outlineLevel="2" x14ac:dyDescent="0.25">
      <c r="A69" s="29"/>
      <c r="B69" s="11" t="str">
        <f>CONCATENATE("          ", "6010", " - ", "GRATUITY")</f>
        <v xml:space="preserve">          6010 - GRATUITY</v>
      </c>
      <c r="C69" s="11"/>
      <c r="D69" s="6"/>
      <c r="E69" s="2"/>
      <c r="F69" s="7">
        <f t="shared" si="20"/>
        <v>0</v>
      </c>
      <c r="G69" s="2"/>
      <c r="H69" s="6">
        <v>0</v>
      </c>
      <c r="I69" s="2"/>
      <c r="J69" s="7">
        <f t="shared" si="21"/>
        <v>0</v>
      </c>
      <c r="K69" s="2"/>
      <c r="L69" s="6">
        <f t="shared" si="22"/>
        <v>0</v>
      </c>
      <c r="M69" s="2"/>
      <c r="N69" s="7">
        <f t="shared" si="23"/>
        <v>0</v>
      </c>
      <c r="O69" s="11"/>
      <c r="P69" s="6"/>
      <c r="Q69" s="2"/>
      <c r="R69" s="7">
        <f t="shared" si="24"/>
        <v>0</v>
      </c>
      <c r="S69" s="2"/>
      <c r="T69" s="6">
        <v>0</v>
      </c>
      <c r="U69" s="2"/>
      <c r="V69" s="7">
        <f t="shared" si="25"/>
        <v>0</v>
      </c>
      <c r="W69" s="2"/>
      <c r="X69" s="6">
        <f t="shared" si="26"/>
        <v>0</v>
      </c>
      <c r="Y69" s="2"/>
      <c r="Z69" s="7">
        <f t="shared" si="27"/>
        <v>0</v>
      </c>
    </row>
    <row r="70" spans="1:26" s="28" customFormat="1" outlineLevel="1" collapsed="1" x14ac:dyDescent="0.25">
      <c r="A70" s="27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0</v>
      </c>
      <c r="E70" s="1"/>
      <c r="F70" s="5">
        <f t="shared" ref="F70:F80" si="28">IF(D$12=0,0,D70/D$12)</f>
        <v>0</v>
      </c>
      <c r="G70" s="1"/>
      <c r="H70" s="1">
        <f>SUM(OSRRefH22_2x_0)</f>
        <v>200</v>
      </c>
      <c r="I70" s="1"/>
      <c r="J70" s="5">
        <f t="shared" ref="J70:J80" si="29">IF(H$12=0,0,H70/H$12)</f>
        <v>6.9373625535044091E-4</v>
      </c>
      <c r="K70" s="1"/>
      <c r="L70" s="1">
        <f t="shared" ref="L70:L80" si="30">+D70-H70</f>
        <v>-200</v>
      </c>
      <c r="M70" s="1"/>
      <c r="N70" s="5">
        <f t="shared" ref="N70:N80" si="31">IF(H70=0,0,L70/H70)</f>
        <v>-1</v>
      </c>
      <c r="O70" s="14"/>
      <c r="P70" s="1">
        <f>SUM(OSRRefP22_2x_0)</f>
        <v>248.88</v>
      </c>
      <c r="Q70" s="1"/>
      <c r="R70" s="5">
        <f t="shared" ref="R70:R80" si="32">IF(P$12=0,0,P70/P$12)</f>
        <v>2.5836597658928945E-4</v>
      </c>
      <c r="S70" s="1"/>
      <c r="T70" s="1">
        <f>SUM(OSRRefT22_2x_0)</f>
        <v>600</v>
      </c>
      <c r="U70" s="1"/>
      <c r="V70" s="5">
        <f t="shared" ref="V70:V80" si="33">IF(T$12=0,0,T70/T$12)</f>
        <v>5.5920019460166772E-4</v>
      </c>
      <c r="W70" s="1"/>
      <c r="X70" s="1">
        <f t="shared" ref="X70:X80" si="34">+P70-T70</f>
        <v>-351.12</v>
      </c>
      <c r="Y70" s="1"/>
      <c r="Z70" s="5">
        <f t="shared" ref="Z70:Z80" si="35">IF(T70=0,0,X70/T70)</f>
        <v>-0.58520000000000005</v>
      </c>
    </row>
    <row r="71" spans="1:26" s="24" customFormat="1" hidden="1" outlineLevel="2" x14ac:dyDescent="0.25">
      <c r="A71" s="29"/>
      <c r="B71" s="11" t="str">
        <f>CONCATENATE("          ", "6362", " - ", "ADVERTISING EXPENSE")</f>
        <v xml:space="preserve">          6362 - ADVERTISING EXPENSE</v>
      </c>
      <c r="C71" s="11"/>
      <c r="D71" s="6"/>
      <c r="E71" s="2"/>
      <c r="F71" s="7">
        <f t="shared" si="28"/>
        <v>0</v>
      </c>
      <c r="G71" s="2"/>
      <c r="H71" s="6">
        <v>200</v>
      </c>
      <c r="I71" s="2"/>
      <c r="J71" s="7">
        <f t="shared" si="29"/>
        <v>6.9373625535044091E-4</v>
      </c>
      <c r="K71" s="2"/>
      <c r="L71" s="6">
        <f t="shared" si="30"/>
        <v>-200</v>
      </c>
      <c r="M71" s="2"/>
      <c r="N71" s="7">
        <f t="shared" si="31"/>
        <v>-1</v>
      </c>
      <c r="O71" s="11"/>
      <c r="P71" s="6">
        <v>248.88</v>
      </c>
      <c r="Q71" s="2"/>
      <c r="R71" s="7">
        <f t="shared" si="32"/>
        <v>2.5836597658928945E-4</v>
      </c>
      <c r="S71" s="2"/>
      <c r="T71" s="6">
        <v>600</v>
      </c>
      <c r="U71" s="2"/>
      <c r="V71" s="7">
        <f t="shared" si="33"/>
        <v>5.5920019460166772E-4</v>
      </c>
      <c r="W71" s="2"/>
      <c r="X71" s="6">
        <f t="shared" si="34"/>
        <v>-351.12</v>
      </c>
      <c r="Y71" s="2"/>
      <c r="Z71" s="7">
        <f t="shared" si="35"/>
        <v>-0.58520000000000005</v>
      </c>
    </row>
    <row r="72" spans="1:26" s="28" customFormat="1" outlineLevel="1" collapsed="1" x14ac:dyDescent="0.25">
      <c r="A72" s="27"/>
      <c r="B72" s="14" t="str">
        <f>CONCATENATE("     ","Depreciation                                      ")</f>
        <v xml:space="preserve">     Depreciation                                      </v>
      </c>
      <c r="C72" s="14"/>
      <c r="D72" s="1">
        <f>SUM(OSRRefD22_3x_0)</f>
        <v>280.44</v>
      </c>
      <c r="E72" s="1"/>
      <c r="F72" s="5">
        <f t="shared" si="28"/>
        <v>1.0636968723352106E-3</v>
      </c>
      <c r="G72" s="1"/>
      <c r="H72" s="1">
        <f>SUM(OSRRefH22_3x_0)</f>
        <v>300</v>
      </c>
      <c r="I72" s="1"/>
      <c r="J72" s="5">
        <f t="shared" si="29"/>
        <v>1.0406043830256612E-3</v>
      </c>
      <c r="K72" s="1"/>
      <c r="L72" s="1">
        <f t="shared" si="30"/>
        <v>-19.560000000000002</v>
      </c>
      <c r="M72" s="1"/>
      <c r="N72" s="5">
        <f t="shared" si="31"/>
        <v>-6.5200000000000008E-2</v>
      </c>
      <c r="O72" s="14"/>
      <c r="P72" s="1">
        <f>SUM(OSRRefP22_3x_0)</f>
        <v>841.32</v>
      </c>
      <c r="Q72" s="1"/>
      <c r="R72" s="5">
        <f t="shared" si="32"/>
        <v>8.7338662577989804E-4</v>
      </c>
      <c r="S72" s="1"/>
      <c r="T72" s="1">
        <f>SUM(OSRRefT22_3x_0)</f>
        <v>900</v>
      </c>
      <c r="U72" s="1"/>
      <c r="V72" s="5">
        <f t="shared" si="33"/>
        <v>8.3880029190250163E-4</v>
      </c>
      <c r="W72" s="1"/>
      <c r="X72" s="1">
        <f t="shared" si="34"/>
        <v>-58.67999999999995</v>
      </c>
      <c r="Y72" s="1"/>
      <c r="Z72" s="5">
        <f t="shared" si="35"/>
        <v>-6.5199999999999939E-2</v>
      </c>
    </row>
    <row r="73" spans="1:26" s="24" customFormat="1" hidden="1" outlineLevel="2" x14ac:dyDescent="0.25">
      <c r="A73" s="29"/>
      <c r="B73" s="11" t="str">
        <f>CONCATENATE("          ", "6322", " - ", "EQUIPMENT DEPRECIATION EXPENSE")</f>
        <v xml:space="preserve">          6322 - EQUIPMENT DEPRECIATION EXPENSE</v>
      </c>
      <c r="C73" s="11"/>
      <c r="D73" s="6">
        <v>280.44</v>
      </c>
      <c r="E73" s="2"/>
      <c r="F73" s="7">
        <f t="shared" si="28"/>
        <v>1.0636968723352106E-3</v>
      </c>
      <c r="G73" s="2"/>
      <c r="H73" s="6">
        <v>300</v>
      </c>
      <c r="I73" s="2"/>
      <c r="J73" s="7">
        <f t="shared" si="29"/>
        <v>1.0406043830256612E-3</v>
      </c>
      <c r="K73" s="2"/>
      <c r="L73" s="6">
        <f t="shared" si="30"/>
        <v>-19.560000000000002</v>
      </c>
      <c r="M73" s="2"/>
      <c r="N73" s="7">
        <f t="shared" si="31"/>
        <v>-6.5200000000000008E-2</v>
      </c>
      <c r="O73" s="11"/>
      <c r="P73" s="6">
        <v>841.32</v>
      </c>
      <c r="Q73" s="2"/>
      <c r="R73" s="7">
        <f t="shared" si="32"/>
        <v>8.7338662577989804E-4</v>
      </c>
      <c r="S73" s="2"/>
      <c r="T73" s="6">
        <v>900</v>
      </c>
      <c r="U73" s="2"/>
      <c r="V73" s="7">
        <f t="shared" si="33"/>
        <v>8.3880029190250163E-4</v>
      </c>
      <c r="W73" s="2"/>
      <c r="X73" s="6">
        <f t="shared" si="34"/>
        <v>-58.67999999999995</v>
      </c>
      <c r="Y73" s="2"/>
      <c r="Z73" s="7">
        <f t="shared" si="35"/>
        <v>-6.5199999999999939E-2</v>
      </c>
    </row>
    <row r="74" spans="1:26" s="28" customFormat="1" outlineLevel="1" collapsed="1" x14ac:dyDescent="0.25">
      <c r="A74" s="27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SUM(OSRRefD22_4x_0)</f>
        <v>0</v>
      </c>
      <c r="E74" s="1"/>
      <c r="F74" s="5">
        <f t="shared" si="28"/>
        <v>0</v>
      </c>
      <c r="G74" s="1"/>
      <c r="H74" s="1">
        <f>SUM(OSRRefH22_4x_0)</f>
        <v>4585</v>
      </c>
      <c r="I74" s="1"/>
      <c r="J74" s="5">
        <f t="shared" si="29"/>
        <v>1.5903903653908858E-2</v>
      </c>
      <c r="K74" s="1"/>
      <c r="L74" s="1">
        <f t="shared" si="30"/>
        <v>-4585</v>
      </c>
      <c r="M74" s="1"/>
      <c r="N74" s="5">
        <f t="shared" si="31"/>
        <v>-1</v>
      </c>
      <c r="O74" s="14"/>
      <c r="P74" s="1">
        <f>SUM(OSRRefP22_4x_0)</f>
        <v>0</v>
      </c>
      <c r="Q74" s="1"/>
      <c r="R74" s="5">
        <f t="shared" si="32"/>
        <v>0</v>
      </c>
      <c r="S74" s="1"/>
      <c r="T74" s="1">
        <f>SUM(OSRRefT22_4x_0)</f>
        <v>17066</v>
      </c>
      <c r="U74" s="1"/>
      <c r="V74" s="5">
        <f t="shared" si="33"/>
        <v>1.5905517535120102E-2</v>
      </c>
      <c r="W74" s="1"/>
      <c r="X74" s="1">
        <f t="shared" si="34"/>
        <v>-17066</v>
      </c>
      <c r="Y74" s="1"/>
      <c r="Z74" s="5">
        <f t="shared" si="35"/>
        <v>-1</v>
      </c>
    </row>
    <row r="75" spans="1:26" s="24" customFormat="1" hidden="1" outlineLevel="2" x14ac:dyDescent="0.25">
      <c r="A75" s="29"/>
      <c r="B75" s="11" t="str">
        <f>CONCATENATE("          ", "6382", " - ", "DISCOUNTS/MARK DOWNS")</f>
        <v xml:space="preserve">          6382 - DISCOUNTS/MARK DOWNS</v>
      </c>
      <c r="C75" s="11"/>
      <c r="D75" s="6"/>
      <c r="E75" s="2"/>
      <c r="F75" s="7">
        <f t="shared" si="28"/>
        <v>0</v>
      </c>
      <c r="G75" s="2"/>
      <c r="H75" s="6">
        <v>4585</v>
      </c>
      <c r="I75" s="2"/>
      <c r="J75" s="7">
        <f t="shared" si="29"/>
        <v>1.5903903653908858E-2</v>
      </c>
      <c r="K75" s="2"/>
      <c r="L75" s="6">
        <f t="shared" si="30"/>
        <v>-4585</v>
      </c>
      <c r="M75" s="2"/>
      <c r="N75" s="7">
        <f t="shared" si="31"/>
        <v>-1</v>
      </c>
      <c r="O75" s="11"/>
      <c r="P75" s="6"/>
      <c r="Q75" s="2"/>
      <c r="R75" s="7">
        <f t="shared" si="32"/>
        <v>0</v>
      </c>
      <c r="S75" s="2"/>
      <c r="T75" s="6">
        <v>17066</v>
      </c>
      <c r="U75" s="2"/>
      <c r="V75" s="7">
        <f t="shared" si="33"/>
        <v>1.5905517535120102E-2</v>
      </c>
      <c r="W75" s="2"/>
      <c r="X75" s="6">
        <f t="shared" si="34"/>
        <v>-17066</v>
      </c>
      <c r="Y75" s="2"/>
      <c r="Z75" s="7">
        <f t="shared" si="35"/>
        <v>-1</v>
      </c>
    </row>
    <row r="76" spans="1:26" s="28" customFormat="1" outlineLevel="1" collapsed="1" x14ac:dyDescent="0.25">
      <c r="A76" s="27"/>
      <c r="B76" s="14" t="str">
        <f>CONCATENATE("     ","Employees' Appreciation                           ")</f>
        <v xml:space="preserve">     Employees' Appreciation                           </v>
      </c>
      <c r="C76" s="14"/>
      <c r="D76" s="1">
        <f>SUM(OSRRefD22_5x_0)</f>
        <v>0</v>
      </c>
      <c r="E76" s="1"/>
      <c r="F76" s="5">
        <f t="shared" si="28"/>
        <v>0</v>
      </c>
      <c r="G76" s="1"/>
      <c r="H76" s="1">
        <f>SUM(OSRRefH22_5x_0)</f>
        <v>20</v>
      </c>
      <c r="I76" s="1"/>
      <c r="J76" s="5">
        <f t="shared" si="29"/>
        <v>6.9373625535044093E-5</v>
      </c>
      <c r="K76" s="1"/>
      <c r="L76" s="1">
        <f t="shared" si="30"/>
        <v>-20</v>
      </c>
      <c r="M76" s="1"/>
      <c r="N76" s="5">
        <f t="shared" si="31"/>
        <v>-1</v>
      </c>
      <c r="O76" s="14"/>
      <c r="P76" s="1">
        <f>SUM(OSRRefP22_5x_0)</f>
        <v>0</v>
      </c>
      <c r="Q76" s="1"/>
      <c r="R76" s="5">
        <f t="shared" si="32"/>
        <v>0</v>
      </c>
      <c r="S76" s="1"/>
      <c r="T76" s="1">
        <f>SUM(OSRRefT22_5x_0)</f>
        <v>60</v>
      </c>
      <c r="U76" s="1"/>
      <c r="V76" s="5">
        <f t="shared" si="33"/>
        <v>5.5920019460166775E-5</v>
      </c>
      <c r="W76" s="1"/>
      <c r="X76" s="1">
        <f t="shared" si="34"/>
        <v>-60</v>
      </c>
      <c r="Y76" s="1"/>
      <c r="Z76" s="5">
        <f t="shared" si="35"/>
        <v>-1</v>
      </c>
    </row>
    <row r="77" spans="1:26" s="24" customFormat="1" hidden="1" outlineLevel="2" x14ac:dyDescent="0.25">
      <c r="A77" s="29"/>
      <c r="B77" s="11" t="str">
        <f>CONCATENATE("          ", "6277", " - ", "EMPLOYEE APPRECIATION")</f>
        <v xml:space="preserve">          6277 - EMPLOYEE APPRECIATION</v>
      </c>
      <c r="C77" s="11"/>
      <c r="D77" s="6"/>
      <c r="E77" s="2"/>
      <c r="F77" s="7">
        <f t="shared" si="28"/>
        <v>0</v>
      </c>
      <c r="G77" s="2"/>
      <c r="H77" s="6">
        <v>20</v>
      </c>
      <c r="I77" s="2"/>
      <c r="J77" s="7">
        <f t="shared" si="29"/>
        <v>6.9373625535044093E-5</v>
      </c>
      <c r="K77" s="2"/>
      <c r="L77" s="6">
        <f t="shared" si="30"/>
        <v>-20</v>
      </c>
      <c r="M77" s="2"/>
      <c r="N77" s="7">
        <f t="shared" si="31"/>
        <v>-1</v>
      </c>
      <c r="O77" s="11"/>
      <c r="P77" s="6"/>
      <c r="Q77" s="2"/>
      <c r="R77" s="7">
        <f t="shared" si="32"/>
        <v>0</v>
      </c>
      <c r="S77" s="2"/>
      <c r="T77" s="6">
        <v>60</v>
      </c>
      <c r="U77" s="2"/>
      <c r="V77" s="7">
        <f t="shared" si="33"/>
        <v>5.5920019460166775E-5</v>
      </c>
      <c r="W77" s="2"/>
      <c r="X77" s="6">
        <f t="shared" si="34"/>
        <v>-60</v>
      </c>
      <c r="Y77" s="2"/>
      <c r="Z77" s="7">
        <f t="shared" si="35"/>
        <v>-1</v>
      </c>
    </row>
    <row r="78" spans="1:26" s="28" customFormat="1" outlineLevel="1" collapsed="1" x14ac:dyDescent="0.25">
      <c r="A78" s="27"/>
      <c r="B78" s="14" t="str">
        <f>CONCATENATE("     ","Freight out/Postage                               ")</f>
        <v xml:space="preserve">     Freight out/Postage                               </v>
      </c>
      <c r="C78" s="14"/>
      <c r="D78" s="1">
        <f>SUM(OSRRefD22_6x_0)</f>
        <v>87.509999999999991</v>
      </c>
      <c r="E78" s="1"/>
      <c r="F78" s="5">
        <f t="shared" si="28"/>
        <v>3.319216705821362E-4</v>
      </c>
      <c r="G78" s="1"/>
      <c r="H78" s="1">
        <f>SUM(OSRRefH22_6x_0)</f>
        <v>15</v>
      </c>
      <c r="I78" s="1"/>
      <c r="J78" s="5">
        <f t="shared" si="29"/>
        <v>5.2030219151283067E-5</v>
      </c>
      <c r="K78" s="1"/>
      <c r="L78" s="1">
        <f t="shared" si="30"/>
        <v>72.509999999999991</v>
      </c>
      <c r="M78" s="1"/>
      <c r="N78" s="5">
        <f t="shared" si="31"/>
        <v>4.8339999999999996</v>
      </c>
      <c r="O78" s="14"/>
      <c r="P78" s="1">
        <f>SUM(OSRRefP22_6x_0)</f>
        <v>277.26000000000005</v>
      </c>
      <c r="Q78" s="1"/>
      <c r="R78" s="5">
        <f t="shared" si="32"/>
        <v>2.878276706410576E-4</v>
      </c>
      <c r="S78" s="1"/>
      <c r="T78" s="1">
        <f>SUM(OSRRefT22_6x_0)</f>
        <v>45</v>
      </c>
      <c r="U78" s="1"/>
      <c r="V78" s="5">
        <f t="shared" si="33"/>
        <v>4.1940014595125078E-5</v>
      </c>
      <c r="W78" s="1"/>
      <c r="X78" s="1">
        <f t="shared" si="34"/>
        <v>232.26000000000005</v>
      </c>
      <c r="Y78" s="1"/>
      <c r="Z78" s="5">
        <f t="shared" si="35"/>
        <v>5.1613333333333342</v>
      </c>
    </row>
    <row r="79" spans="1:26" s="24" customFormat="1" hidden="1" outlineLevel="2" x14ac:dyDescent="0.25">
      <c r="A79" s="29"/>
      <c r="B79" s="11" t="str">
        <f>CONCATENATE("          ", "6305", " - ", "FREIGHT OUT")</f>
        <v xml:space="preserve">          6305 - FREIGHT OUT</v>
      </c>
      <c r="C79" s="11"/>
      <c r="D79" s="6">
        <v>83.71</v>
      </c>
      <c r="E79" s="2"/>
      <c r="F79" s="7">
        <f t="shared" si="28"/>
        <v>3.1750843382962661E-4</v>
      </c>
      <c r="G79" s="2"/>
      <c r="H79" s="6">
        <v>15</v>
      </c>
      <c r="I79" s="2"/>
      <c r="J79" s="7">
        <f t="shared" si="29"/>
        <v>5.2030219151283067E-5</v>
      </c>
      <c r="K79" s="2"/>
      <c r="L79" s="6">
        <f t="shared" si="30"/>
        <v>68.709999999999994</v>
      </c>
      <c r="M79" s="2"/>
      <c r="N79" s="7">
        <f t="shared" si="31"/>
        <v>4.5806666666666667</v>
      </c>
      <c r="O79" s="11"/>
      <c r="P79" s="6">
        <v>264.66000000000003</v>
      </c>
      <c r="Q79" s="2"/>
      <c r="R79" s="7">
        <f t="shared" si="32"/>
        <v>2.7474742592462775E-4</v>
      </c>
      <c r="S79" s="2"/>
      <c r="T79" s="6">
        <v>45</v>
      </c>
      <c r="U79" s="2"/>
      <c r="V79" s="7">
        <f t="shared" si="33"/>
        <v>4.1940014595125078E-5</v>
      </c>
      <c r="W79" s="2"/>
      <c r="X79" s="6">
        <f t="shared" si="34"/>
        <v>219.66000000000003</v>
      </c>
      <c r="Y79" s="2"/>
      <c r="Z79" s="7">
        <f t="shared" si="35"/>
        <v>4.881333333333334</v>
      </c>
    </row>
    <row r="80" spans="1:26" s="24" customFormat="1" hidden="1" outlineLevel="2" x14ac:dyDescent="0.25">
      <c r="A80" s="29"/>
      <c r="B80" s="11" t="str">
        <f>CONCATENATE("          ", "6307", " - ", "POSTAGE")</f>
        <v xml:space="preserve">          6307 - POSTAGE</v>
      </c>
      <c r="C80" s="11"/>
      <c r="D80" s="6">
        <v>3.8</v>
      </c>
      <c r="E80" s="2"/>
      <c r="F80" s="7">
        <f t="shared" si="28"/>
        <v>1.441323675250963E-5</v>
      </c>
      <c r="G80" s="2"/>
      <c r="H80" s="6"/>
      <c r="I80" s="2"/>
      <c r="J80" s="7">
        <f t="shared" si="29"/>
        <v>0</v>
      </c>
      <c r="K80" s="2"/>
      <c r="L80" s="6">
        <f t="shared" si="30"/>
        <v>3.8</v>
      </c>
      <c r="M80" s="2"/>
      <c r="N80" s="7">
        <f t="shared" si="31"/>
        <v>0</v>
      </c>
      <c r="O80" s="11"/>
      <c r="P80" s="6">
        <v>12.6</v>
      </c>
      <c r="Q80" s="2"/>
      <c r="R80" s="7">
        <f t="shared" si="32"/>
        <v>1.3080244716429795E-5</v>
      </c>
      <c r="S80" s="2"/>
      <c r="T80" s="6"/>
      <c r="U80" s="2"/>
      <c r="V80" s="7">
        <f t="shared" si="33"/>
        <v>0</v>
      </c>
      <c r="W80" s="2"/>
      <c r="X80" s="6">
        <f t="shared" si="34"/>
        <v>12.6</v>
      </c>
      <c r="Y80" s="2"/>
      <c r="Z80" s="7">
        <f t="shared" si="35"/>
        <v>0</v>
      </c>
    </row>
    <row r="81" spans="1:26" s="28" customFormat="1" outlineLevel="1" collapsed="1" x14ac:dyDescent="0.25">
      <c r="A81" s="27"/>
      <c r="B81" s="14" t="str">
        <f>CONCATENATE("     ","General                                           ")</f>
        <v xml:space="preserve">     General                                           </v>
      </c>
      <c r="C81" s="14"/>
      <c r="D81" s="1">
        <f>SUM(OSRRefD22_7x_0)</f>
        <v>0</v>
      </c>
      <c r="E81" s="1"/>
      <c r="F81" s="5">
        <f t="shared" ref="F81:F90" si="36">IF(D$12=0,0,D81/D$12)</f>
        <v>0</v>
      </c>
      <c r="G81" s="1"/>
      <c r="H81" s="1">
        <f>SUM(OSRRefH22_7x_0)</f>
        <v>30</v>
      </c>
      <c r="I81" s="1"/>
      <c r="J81" s="5">
        <f t="shared" ref="J81:J90" si="37">IF(H$12=0,0,H81/H$12)</f>
        <v>1.0406043830256613E-4</v>
      </c>
      <c r="K81" s="1"/>
      <c r="L81" s="1">
        <f t="shared" ref="L81:L90" si="38">+D81-H81</f>
        <v>-30</v>
      </c>
      <c r="M81" s="1"/>
      <c r="N81" s="5">
        <f t="shared" ref="N81:N90" si="39">IF(H81=0,0,L81/H81)</f>
        <v>-1</v>
      </c>
      <c r="O81" s="14"/>
      <c r="P81" s="1">
        <f>SUM(OSRRefP22_7x_0)</f>
        <v>-30.15</v>
      </c>
      <c r="Q81" s="1"/>
      <c r="R81" s="5">
        <f t="shared" ref="R81:R90" si="40">IF(P$12=0,0,P81/P$12)</f>
        <v>-3.1299157000028436E-5</v>
      </c>
      <c r="S81" s="1"/>
      <c r="T81" s="1">
        <f>SUM(OSRRefT22_7x_0)</f>
        <v>90</v>
      </c>
      <c r="U81" s="1"/>
      <c r="V81" s="5">
        <f t="shared" ref="V81:V90" si="41">IF(T$12=0,0,T81/T$12)</f>
        <v>8.3880029190250155E-5</v>
      </c>
      <c r="W81" s="1"/>
      <c r="X81" s="1">
        <f t="shared" ref="X81:X90" si="42">+P81-T81</f>
        <v>-120.15</v>
      </c>
      <c r="Y81" s="1"/>
      <c r="Z81" s="5">
        <f t="shared" ref="Z81:Z90" si="43">IF(T81=0,0,X81/T81)</f>
        <v>-1.335</v>
      </c>
    </row>
    <row r="82" spans="1:26" s="24" customFormat="1" hidden="1" outlineLevel="2" x14ac:dyDescent="0.25">
      <c r="A82" s="29"/>
      <c r="B82" s="11" t="str">
        <f>CONCATENATE("          ", "6279", " - ", "GENERAL EXPENSE")</f>
        <v xml:space="preserve">          6279 - GENERAL EXPENSE</v>
      </c>
      <c r="C82" s="11"/>
      <c r="D82" s="6"/>
      <c r="E82" s="2"/>
      <c r="F82" s="7">
        <f t="shared" si="36"/>
        <v>0</v>
      </c>
      <c r="G82" s="2"/>
      <c r="H82" s="6">
        <v>30</v>
      </c>
      <c r="I82" s="2"/>
      <c r="J82" s="7">
        <f t="shared" si="37"/>
        <v>1.0406043830256613E-4</v>
      </c>
      <c r="K82" s="2"/>
      <c r="L82" s="6">
        <f t="shared" si="38"/>
        <v>-30</v>
      </c>
      <c r="M82" s="2"/>
      <c r="N82" s="7">
        <f t="shared" si="39"/>
        <v>-1</v>
      </c>
      <c r="O82" s="11"/>
      <c r="P82" s="6">
        <v>-30.15</v>
      </c>
      <c r="Q82" s="2"/>
      <c r="R82" s="7">
        <f t="shared" si="40"/>
        <v>-3.1299157000028436E-5</v>
      </c>
      <c r="S82" s="2"/>
      <c r="T82" s="6">
        <v>90</v>
      </c>
      <c r="U82" s="2"/>
      <c r="V82" s="7">
        <f t="shared" si="41"/>
        <v>8.3880029190250155E-5</v>
      </c>
      <c r="W82" s="2"/>
      <c r="X82" s="6">
        <f t="shared" si="42"/>
        <v>-120.15</v>
      </c>
      <c r="Y82" s="2"/>
      <c r="Z82" s="7">
        <f t="shared" si="43"/>
        <v>-1.335</v>
      </c>
    </row>
    <row r="83" spans="1:26" s="28" customFormat="1" outlineLevel="1" collapsed="1" x14ac:dyDescent="0.25">
      <c r="A83" s="27"/>
      <c r="B83" s="14" t="str">
        <f>CONCATENATE("     ","Inventory Adjustment                              ")</f>
        <v xml:space="preserve">     Inventory Adjustment                              </v>
      </c>
      <c r="C83" s="14"/>
      <c r="D83" s="1">
        <f>SUM(OSRRefD22_8x_0)</f>
        <v>1250</v>
      </c>
      <c r="E83" s="1"/>
      <c r="F83" s="5">
        <f t="shared" si="36"/>
        <v>4.7411963001676412E-3</v>
      </c>
      <c r="G83" s="1"/>
      <c r="H83" s="1">
        <f>SUM(OSRRefH22_8x_0)</f>
        <v>1250</v>
      </c>
      <c r="I83" s="1"/>
      <c r="J83" s="5">
        <f t="shared" si="37"/>
        <v>4.3358515959402554E-3</v>
      </c>
      <c r="K83" s="1"/>
      <c r="L83" s="1">
        <f t="shared" si="38"/>
        <v>0</v>
      </c>
      <c r="M83" s="1"/>
      <c r="N83" s="5">
        <f t="shared" si="39"/>
        <v>0</v>
      </c>
      <c r="O83" s="14"/>
      <c r="P83" s="1">
        <f>SUM(OSRRefP22_8x_0)</f>
        <v>3750</v>
      </c>
      <c r="Q83" s="1"/>
      <c r="R83" s="5">
        <f t="shared" si="40"/>
        <v>3.8929299751279153E-3</v>
      </c>
      <c r="S83" s="1"/>
      <c r="T83" s="1">
        <f>SUM(OSRRefT22_8x_0)</f>
        <v>3750</v>
      </c>
      <c r="U83" s="1"/>
      <c r="V83" s="5">
        <f t="shared" si="41"/>
        <v>3.4950012162604234E-3</v>
      </c>
      <c r="W83" s="1"/>
      <c r="X83" s="1">
        <f t="shared" si="42"/>
        <v>0</v>
      </c>
      <c r="Y83" s="1"/>
      <c r="Z83" s="5">
        <f t="shared" si="43"/>
        <v>0</v>
      </c>
    </row>
    <row r="84" spans="1:26" s="24" customFormat="1" hidden="1" outlineLevel="2" x14ac:dyDescent="0.25">
      <c r="A84" s="29"/>
      <c r="B84" s="11" t="str">
        <f>CONCATENATE("          ", "6408", " - ", "INVENTORY ADJUSTMENT")</f>
        <v xml:space="preserve">          6408 - INVENTORY ADJUSTMENT</v>
      </c>
      <c r="C84" s="11"/>
      <c r="D84" s="6">
        <v>1250</v>
      </c>
      <c r="E84" s="2"/>
      <c r="F84" s="7">
        <f t="shared" si="36"/>
        <v>4.7411963001676412E-3</v>
      </c>
      <c r="G84" s="2"/>
      <c r="H84" s="6">
        <v>1250</v>
      </c>
      <c r="I84" s="2"/>
      <c r="J84" s="7">
        <f t="shared" si="37"/>
        <v>4.3358515959402554E-3</v>
      </c>
      <c r="K84" s="2"/>
      <c r="L84" s="6">
        <f t="shared" si="38"/>
        <v>0</v>
      </c>
      <c r="M84" s="2"/>
      <c r="N84" s="7">
        <f t="shared" si="39"/>
        <v>0</v>
      </c>
      <c r="O84" s="11"/>
      <c r="P84" s="6">
        <v>3750</v>
      </c>
      <c r="Q84" s="2"/>
      <c r="R84" s="7">
        <f t="shared" si="40"/>
        <v>3.8929299751279153E-3</v>
      </c>
      <c r="S84" s="2"/>
      <c r="T84" s="6">
        <v>3750</v>
      </c>
      <c r="U84" s="2"/>
      <c r="V84" s="7">
        <f t="shared" si="41"/>
        <v>3.4950012162604234E-3</v>
      </c>
      <c r="W84" s="2"/>
      <c r="X84" s="6">
        <f t="shared" si="42"/>
        <v>0</v>
      </c>
      <c r="Y84" s="2"/>
      <c r="Z84" s="7">
        <f t="shared" si="43"/>
        <v>0</v>
      </c>
    </row>
    <row r="85" spans="1:26" s="28" customFormat="1" outlineLevel="1" collapsed="1" x14ac:dyDescent="0.25">
      <c r="A85" s="27"/>
      <c r="B85" s="14" t="str">
        <f>CONCATENATE("     ","Repair and Maintenance                            ")</f>
        <v xml:space="preserve">     Repair and Maintenance                            </v>
      </c>
      <c r="C85" s="14"/>
      <c r="D85" s="1">
        <f>SUM(OSRRefD22_9x_0)</f>
        <v>0</v>
      </c>
      <c r="E85" s="1"/>
      <c r="F85" s="5">
        <f t="shared" si="36"/>
        <v>0</v>
      </c>
      <c r="G85" s="1"/>
      <c r="H85" s="1">
        <f>SUM(OSRRefH22_9x_0)</f>
        <v>20</v>
      </c>
      <c r="I85" s="1"/>
      <c r="J85" s="5">
        <f t="shared" si="37"/>
        <v>6.9373625535044093E-5</v>
      </c>
      <c r="K85" s="1"/>
      <c r="L85" s="1">
        <f t="shared" si="38"/>
        <v>-20</v>
      </c>
      <c r="M85" s="1"/>
      <c r="N85" s="5">
        <f t="shared" si="39"/>
        <v>-1</v>
      </c>
      <c r="O85" s="14"/>
      <c r="P85" s="1">
        <f>SUM(OSRRefP22_9x_0)</f>
        <v>0</v>
      </c>
      <c r="Q85" s="1"/>
      <c r="R85" s="5">
        <f t="shared" si="40"/>
        <v>0</v>
      </c>
      <c r="S85" s="1"/>
      <c r="T85" s="1">
        <f>SUM(OSRRefT22_9x_0)</f>
        <v>65</v>
      </c>
      <c r="U85" s="1"/>
      <c r="V85" s="5">
        <f t="shared" si="41"/>
        <v>6.0580021081847334E-5</v>
      </c>
      <c r="W85" s="1"/>
      <c r="X85" s="1">
        <f t="shared" si="42"/>
        <v>-65</v>
      </c>
      <c r="Y85" s="1"/>
      <c r="Z85" s="5">
        <f t="shared" si="43"/>
        <v>-1</v>
      </c>
    </row>
    <row r="86" spans="1:26" s="24" customFormat="1" hidden="1" outlineLevel="2" x14ac:dyDescent="0.25">
      <c r="A86" s="29"/>
      <c r="B86" s="11" t="str">
        <f>CONCATENATE("          ", "6375", " - ", "OUTSIDE REPAIRS &amp; MAINTENANCE")</f>
        <v xml:space="preserve">          6375 - OUTSIDE REPAIRS &amp; MAINTENANCE</v>
      </c>
      <c r="C86" s="11"/>
      <c r="D86" s="6"/>
      <c r="E86" s="2"/>
      <c r="F86" s="7">
        <f t="shared" si="36"/>
        <v>0</v>
      </c>
      <c r="G86" s="2"/>
      <c r="H86" s="6">
        <v>20</v>
      </c>
      <c r="I86" s="2"/>
      <c r="J86" s="7">
        <f t="shared" si="37"/>
        <v>6.9373625535044093E-5</v>
      </c>
      <c r="K86" s="2"/>
      <c r="L86" s="6">
        <f t="shared" si="38"/>
        <v>-20</v>
      </c>
      <c r="M86" s="2"/>
      <c r="N86" s="7">
        <f t="shared" si="39"/>
        <v>-1</v>
      </c>
      <c r="O86" s="11"/>
      <c r="P86" s="6"/>
      <c r="Q86" s="2"/>
      <c r="R86" s="7">
        <f t="shared" si="40"/>
        <v>0</v>
      </c>
      <c r="S86" s="2"/>
      <c r="T86" s="6">
        <v>65</v>
      </c>
      <c r="U86" s="2"/>
      <c r="V86" s="7">
        <f t="shared" si="41"/>
        <v>6.0580021081847334E-5</v>
      </c>
      <c r="W86" s="2"/>
      <c r="X86" s="6">
        <f t="shared" si="42"/>
        <v>-65</v>
      </c>
      <c r="Y86" s="2"/>
      <c r="Z86" s="7">
        <f t="shared" si="43"/>
        <v>-1</v>
      </c>
    </row>
    <row r="87" spans="1:26" s="28" customFormat="1" outlineLevel="1" collapsed="1" x14ac:dyDescent="0.25">
      <c r="A87" s="27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SUM(OSRRefD22_10x_0)</f>
        <v>39.36</v>
      </c>
      <c r="E87" s="1"/>
      <c r="F87" s="5">
        <f t="shared" si="36"/>
        <v>1.492907890996787E-4</v>
      </c>
      <c r="G87" s="1"/>
      <c r="H87" s="1">
        <f>SUM(OSRRefH22_10x_0)</f>
        <v>310</v>
      </c>
      <c r="I87" s="1"/>
      <c r="J87" s="5">
        <f t="shared" si="37"/>
        <v>1.0752911957931835E-3</v>
      </c>
      <c r="K87" s="1"/>
      <c r="L87" s="1">
        <f t="shared" si="38"/>
        <v>-270.64</v>
      </c>
      <c r="M87" s="1"/>
      <c r="N87" s="5">
        <f t="shared" si="39"/>
        <v>-0.87303225806451612</v>
      </c>
      <c r="O87" s="14"/>
      <c r="P87" s="1">
        <f>SUM(OSRRefP22_10x_0)</f>
        <v>1494.9099999999999</v>
      </c>
      <c r="Q87" s="1"/>
      <c r="R87" s="5">
        <f t="shared" si="40"/>
        <v>1.5518879864315923E-3</v>
      </c>
      <c r="S87" s="1"/>
      <c r="T87" s="1">
        <f>SUM(OSRRefT22_10x_0)</f>
        <v>930</v>
      </c>
      <c r="U87" s="1"/>
      <c r="V87" s="5">
        <f t="shared" si="41"/>
        <v>8.6676030163258496E-4</v>
      </c>
      <c r="W87" s="1"/>
      <c r="X87" s="1">
        <f t="shared" si="42"/>
        <v>564.90999999999985</v>
      </c>
      <c r="Y87" s="1"/>
      <c r="Z87" s="5">
        <f t="shared" si="43"/>
        <v>0.60743010752688154</v>
      </c>
    </row>
    <row r="88" spans="1:26" s="24" customFormat="1" hidden="1" outlineLevel="2" x14ac:dyDescent="0.25">
      <c r="A88" s="29"/>
      <c r="B88" s="11" t="str">
        <f>CONCATENATE("          ", "6235", " - ", "COVID-19 EXPENSES")</f>
        <v xml:space="preserve">          6235 - COVID-19 EXPENSES</v>
      </c>
      <c r="C88" s="11"/>
      <c r="D88" s="6"/>
      <c r="E88" s="2"/>
      <c r="F88" s="7">
        <f t="shared" si="36"/>
        <v>0</v>
      </c>
      <c r="G88" s="2"/>
      <c r="H88" s="6"/>
      <c r="I88" s="2"/>
      <c r="J88" s="7">
        <f t="shared" si="37"/>
        <v>0</v>
      </c>
      <c r="K88" s="2"/>
      <c r="L88" s="6">
        <f t="shared" si="38"/>
        <v>0</v>
      </c>
      <c r="M88" s="2"/>
      <c r="N88" s="7">
        <f t="shared" si="39"/>
        <v>0</v>
      </c>
      <c r="O88" s="11"/>
      <c r="P88" s="6">
        <v>668.12</v>
      </c>
      <c r="Q88" s="2"/>
      <c r="R88" s="7">
        <f t="shared" si="40"/>
        <v>6.9358516666199002E-4</v>
      </c>
      <c r="S88" s="2"/>
      <c r="T88" s="6"/>
      <c r="U88" s="2"/>
      <c r="V88" s="7">
        <f t="shared" si="41"/>
        <v>0</v>
      </c>
      <c r="W88" s="2"/>
      <c r="X88" s="6">
        <f t="shared" si="42"/>
        <v>668.12</v>
      </c>
      <c r="Y88" s="2"/>
      <c r="Z88" s="7">
        <f t="shared" si="43"/>
        <v>0</v>
      </c>
    </row>
    <row r="89" spans="1:26" s="24" customFormat="1" hidden="1" outlineLevel="2" x14ac:dyDescent="0.25">
      <c r="A89" s="29"/>
      <c r="B89" s="11" t="str">
        <f>CONCATENATE("          ", "6241", " - ", "OFFICE EXPENSE")</f>
        <v xml:space="preserve">          6241 - OFFICE EXPENSE</v>
      </c>
      <c r="C89" s="11"/>
      <c r="D89" s="6">
        <v>39.36</v>
      </c>
      <c r="E89" s="2"/>
      <c r="F89" s="7">
        <f t="shared" si="36"/>
        <v>1.492907890996787E-4</v>
      </c>
      <c r="G89" s="2"/>
      <c r="H89" s="6">
        <v>110</v>
      </c>
      <c r="I89" s="2"/>
      <c r="J89" s="7">
        <f t="shared" si="37"/>
        <v>3.8155494044274249E-4</v>
      </c>
      <c r="K89" s="2"/>
      <c r="L89" s="6">
        <f t="shared" si="38"/>
        <v>-70.64</v>
      </c>
      <c r="M89" s="2"/>
      <c r="N89" s="7">
        <f t="shared" si="39"/>
        <v>-0.64218181818181819</v>
      </c>
      <c r="O89" s="11"/>
      <c r="P89" s="6">
        <v>826.79</v>
      </c>
      <c r="Q89" s="2"/>
      <c r="R89" s="7">
        <f t="shared" si="40"/>
        <v>8.5830281976960238E-4</v>
      </c>
      <c r="S89" s="2"/>
      <c r="T89" s="6">
        <v>330</v>
      </c>
      <c r="U89" s="2"/>
      <c r="V89" s="7">
        <f t="shared" si="41"/>
        <v>3.0756010703091724E-4</v>
      </c>
      <c r="W89" s="2"/>
      <c r="X89" s="6">
        <f t="shared" si="42"/>
        <v>496.78999999999996</v>
      </c>
      <c r="Y89" s="2"/>
      <c r="Z89" s="7">
        <f t="shared" si="43"/>
        <v>1.5054242424242423</v>
      </c>
    </row>
    <row r="90" spans="1:26" s="24" customFormat="1" hidden="1" outlineLevel="2" x14ac:dyDescent="0.25">
      <c r="A90" s="29"/>
      <c r="B90" s="11" t="str">
        <f>CONCATENATE("          ", "6247", " - ", "STORE SUPPLIES")</f>
        <v xml:space="preserve">          6247 - STORE SUPPLIES</v>
      </c>
      <c r="C90" s="11"/>
      <c r="D90" s="6"/>
      <c r="E90" s="2"/>
      <c r="F90" s="7">
        <f t="shared" si="36"/>
        <v>0</v>
      </c>
      <c r="G90" s="2"/>
      <c r="H90" s="6">
        <v>200</v>
      </c>
      <c r="I90" s="2"/>
      <c r="J90" s="7">
        <f t="shared" si="37"/>
        <v>6.9373625535044091E-4</v>
      </c>
      <c r="K90" s="2"/>
      <c r="L90" s="6">
        <f t="shared" si="38"/>
        <v>-200</v>
      </c>
      <c r="M90" s="2"/>
      <c r="N90" s="7">
        <f t="shared" si="39"/>
        <v>-1</v>
      </c>
      <c r="O90" s="11"/>
      <c r="P90" s="6"/>
      <c r="Q90" s="2"/>
      <c r="R90" s="7">
        <f t="shared" si="40"/>
        <v>0</v>
      </c>
      <c r="S90" s="2"/>
      <c r="T90" s="6">
        <v>600</v>
      </c>
      <c r="U90" s="2"/>
      <c r="V90" s="7">
        <f t="shared" si="41"/>
        <v>5.5920019460166772E-4</v>
      </c>
      <c r="W90" s="2"/>
      <c r="X90" s="6">
        <f t="shared" si="42"/>
        <v>-600</v>
      </c>
      <c r="Y90" s="2"/>
      <c r="Z90" s="7">
        <f t="shared" si="43"/>
        <v>-1</v>
      </c>
    </row>
    <row r="91" spans="1:26" s="28" customFormat="1" outlineLevel="1" collapsed="1" x14ac:dyDescent="0.25">
      <c r="A91" s="27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SUM(OSRRefD22_11x_0)</f>
        <v>300</v>
      </c>
      <c r="E91" s="1"/>
      <c r="F91" s="5">
        <f t="shared" ref="F91:F92" si="44">IF(D$12=0,0,D91/D$12)</f>
        <v>1.137887112040234E-3</v>
      </c>
      <c r="G91" s="1"/>
      <c r="H91" s="1">
        <f>SUM(OSRRefH22_11x_0)</f>
        <v>250</v>
      </c>
      <c r="I91" s="1"/>
      <c r="J91" s="5">
        <f t="shared" ref="J91:J92" si="45">IF(H$12=0,0,H91/H$12)</f>
        <v>8.6717031918805111E-4</v>
      </c>
      <c r="K91" s="1"/>
      <c r="L91" s="1">
        <f t="shared" ref="L91:L92" si="46">+D91-H91</f>
        <v>50</v>
      </c>
      <c r="M91" s="1"/>
      <c r="N91" s="5">
        <f t="shared" ref="N91:N92" si="47">IF(H91=0,0,L91/H91)</f>
        <v>0.2</v>
      </c>
      <c r="O91" s="14"/>
      <c r="P91" s="1">
        <f>SUM(OSRRefP22_11x_0)</f>
        <v>911.55</v>
      </c>
      <c r="Q91" s="1"/>
      <c r="R91" s="5">
        <f t="shared" ref="R91:R92" si="48">IF(P$12=0,0,P91/P$12)</f>
        <v>9.4629341835409362E-4</v>
      </c>
      <c r="S91" s="1"/>
      <c r="T91" s="1">
        <f>SUM(OSRRefT22_11x_0)</f>
        <v>760</v>
      </c>
      <c r="U91" s="1"/>
      <c r="V91" s="5">
        <f t="shared" ref="V91:V92" si="49">IF(T$12=0,0,T91/T$12)</f>
        <v>7.0832024649544582E-4</v>
      </c>
      <c r="W91" s="1"/>
      <c r="X91" s="1">
        <f t="shared" ref="X91:X92" si="50">+P91-T91</f>
        <v>151.54999999999995</v>
      </c>
      <c r="Y91" s="1"/>
      <c r="Z91" s="5">
        <f t="shared" ref="Z91:Z92" si="51">IF(T91=0,0,X91/T91)</f>
        <v>0.19940789473684203</v>
      </c>
    </row>
    <row r="92" spans="1:26" s="24" customFormat="1" hidden="1" outlineLevel="2" x14ac:dyDescent="0.25">
      <c r="A92" s="29"/>
      <c r="B92" s="11" t="str">
        <f>CONCATENATE("          ", "6309", " - ", "TELEPHONE")</f>
        <v xml:space="preserve">          6309 - TELEPHONE</v>
      </c>
      <c r="C92" s="11"/>
      <c r="D92" s="6">
        <v>300</v>
      </c>
      <c r="E92" s="2"/>
      <c r="F92" s="7">
        <f t="shared" si="44"/>
        <v>1.137887112040234E-3</v>
      </c>
      <c r="G92" s="2"/>
      <c r="H92" s="6">
        <v>250</v>
      </c>
      <c r="I92" s="2"/>
      <c r="J92" s="7">
        <f t="shared" si="45"/>
        <v>8.6717031918805111E-4</v>
      </c>
      <c r="K92" s="2"/>
      <c r="L92" s="6">
        <f t="shared" si="46"/>
        <v>50</v>
      </c>
      <c r="M92" s="2"/>
      <c r="N92" s="7">
        <f t="shared" si="47"/>
        <v>0.2</v>
      </c>
      <c r="O92" s="11"/>
      <c r="P92" s="6">
        <v>911.55</v>
      </c>
      <c r="Q92" s="2"/>
      <c r="R92" s="7">
        <f t="shared" si="48"/>
        <v>9.4629341835409362E-4</v>
      </c>
      <c r="S92" s="2"/>
      <c r="T92" s="6">
        <v>760</v>
      </c>
      <c r="U92" s="2"/>
      <c r="V92" s="7">
        <f t="shared" si="49"/>
        <v>7.0832024649544582E-4</v>
      </c>
      <c r="W92" s="2"/>
      <c r="X92" s="6">
        <f t="shared" si="50"/>
        <v>151.54999999999995</v>
      </c>
      <c r="Y92" s="2"/>
      <c r="Z92" s="7">
        <f t="shared" si="51"/>
        <v>0.19940789473684203</v>
      </c>
    </row>
    <row r="93" spans="1:26" s="61" customFormat="1" x14ac:dyDescent="0.25">
      <c r="A93" s="36"/>
      <c r="B93" s="36"/>
      <c r="C93" s="36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6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collapsed="1" x14ac:dyDescent="0.25">
      <c r="A94" s="10"/>
      <c r="B94" s="25" t="s">
        <v>0</v>
      </c>
      <c r="C94" s="10"/>
      <c r="D94" s="4">
        <f>SUM(OSRRefD25x_0)</f>
        <v>281.44</v>
      </c>
      <c r="E94" s="4"/>
      <c r="F94" s="12">
        <f t="shared" ref="F94:F96" si="52">IF(D$12=0,0,D94/D$12)</f>
        <v>1.0674898293753449E-3</v>
      </c>
      <c r="G94" s="4"/>
      <c r="H94" s="4">
        <f>SUM(OSRRefH25x_0)</f>
        <v>2293</v>
      </c>
      <c r="I94" s="4"/>
      <c r="J94" s="12">
        <f t="shared" ref="J94:J96" si="53">IF(H$12=0,0,H94/H$12)</f>
        <v>7.953686167592804E-3</v>
      </c>
      <c r="K94" s="4"/>
      <c r="L94" s="4">
        <f t="shared" ref="L94:L96" si="54">+D94-H94</f>
        <v>-2011.56</v>
      </c>
      <c r="M94" s="4"/>
      <c r="N94" s="12">
        <f t="shared" ref="N94:N96" si="55">IF(H94=0,0,L94/H94)</f>
        <v>-0.87726122982991717</v>
      </c>
      <c r="O94" s="10"/>
      <c r="P94" s="4">
        <f>SUM(OSRRefP25x_0)</f>
        <v>-232.72000000000003</v>
      </c>
      <c r="Q94" s="4"/>
      <c r="R94" s="12">
        <f t="shared" ref="R94:R96" si="56">IF(P$12=0,0,P94/P$12)</f>
        <v>-2.4159004368313827E-4</v>
      </c>
      <c r="S94" s="4"/>
      <c r="T94" s="4">
        <f>SUM(OSRRefT25x_0)</f>
        <v>8533</v>
      </c>
      <c r="U94" s="4"/>
      <c r="V94" s="12">
        <f t="shared" ref="V94:V96" si="57">IF(T$12=0,0,T94/T$12)</f>
        <v>7.952758767560051E-3</v>
      </c>
      <c r="W94" s="4"/>
      <c r="X94" s="4">
        <f t="shared" ref="X94:X96" si="58">+P94-T94</f>
        <v>-8765.7199999999993</v>
      </c>
      <c r="Y94" s="4"/>
      <c r="Z94" s="12">
        <f t="shared" ref="Z94:Z96" si="59">IF(T94=0,0,X94/T94)</f>
        <v>-1.0272729403492322</v>
      </c>
    </row>
    <row r="95" spans="1:26" s="24" customFormat="1" hidden="1" outlineLevel="1" x14ac:dyDescent="0.25">
      <c r="A95" s="51"/>
      <c r="B95" s="11" t="str">
        <f>CONCATENATE("          ", "4187", " - ", "NON-TAXABLE SALES-COMPUTER REP")</f>
        <v xml:space="preserve">          4187 - NON-TAXABLE SALES-COMPUTER REP</v>
      </c>
      <c r="C95" s="11"/>
      <c r="D95" s="2">
        <f>--125.14</f>
        <v>125.14</v>
      </c>
      <c r="E95" s="2"/>
      <c r="F95" s="22">
        <f t="shared" si="52"/>
        <v>4.7465064400238291E-4</v>
      </c>
      <c r="G95" s="2"/>
      <c r="H95" s="2"/>
      <c r="I95" s="2"/>
      <c r="J95" s="22">
        <f t="shared" si="53"/>
        <v>0</v>
      </c>
      <c r="K95" s="2"/>
      <c r="L95" s="2">
        <f t="shared" si="54"/>
        <v>125.14</v>
      </c>
      <c r="M95" s="2"/>
      <c r="N95" s="22">
        <f t="shared" si="55"/>
        <v>0</v>
      </c>
      <c r="O95" s="11"/>
      <c r="P95" s="2">
        <f>--145.13</f>
        <v>145.13</v>
      </c>
      <c r="Q95" s="2"/>
      <c r="R95" s="22">
        <f t="shared" si="56"/>
        <v>1.5066158061075049E-4</v>
      </c>
      <c r="S95" s="2"/>
      <c r="T95" s="2"/>
      <c r="U95" s="2"/>
      <c r="V95" s="22">
        <f t="shared" si="57"/>
        <v>0</v>
      </c>
      <c r="W95" s="2"/>
      <c r="X95" s="2">
        <f t="shared" si="58"/>
        <v>145.13</v>
      </c>
      <c r="Y95" s="2"/>
      <c r="Z95" s="22">
        <f t="shared" si="59"/>
        <v>0</v>
      </c>
    </row>
    <row r="96" spans="1:26" s="24" customFormat="1" hidden="1" outlineLevel="1" x14ac:dyDescent="0.25">
      <c r="A96" s="51"/>
      <c r="B96" s="11" t="str">
        <f>CONCATENATE("          ", "9150", " - ", "MISC. INCOME")</f>
        <v xml:space="preserve">          9150 - MISC. INCOME</v>
      </c>
      <c r="C96" s="11"/>
      <c r="D96" s="2">
        <f>--156.3</f>
        <v>156.30000000000001</v>
      </c>
      <c r="E96" s="2"/>
      <c r="F96" s="22">
        <f t="shared" si="52"/>
        <v>5.9283918537296194E-4</v>
      </c>
      <c r="G96" s="2"/>
      <c r="H96" s="2">
        <v>2293</v>
      </c>
      <c r="I96" s="2"/>
      <c r="J96" s="22">
        <f t="shared" si="53"/>
        <v>7.953686167592804E-3</v>
      </c>
      <c r="K96" s="2"/>
      <c r="L96" s="2">
        <f t="shared" si="54"/>
        <v>-2136.6999999999998</v>
      </c>
      <c r="M96" s="2"/>
      <c r="N96" s="22">
        <f t="shared" si="55"/>
        <v>-0.9318360226777147</v>
      </c>
      <c r="O96" s="11"/>
      <c r="P96" s="2">
        <f>-377.85</f>
        <v>-377.85</v>
      </c>
      <c r="Q96" s="2"/>
      <c r="R96" s="22">
        <f t="shared" si="56"/>
        <v>-3.9225162429388876E-4</v>
      </c>
      <c r="S96" s="2"/>
      <c r="T96" s="2">
        <v>8533</v>
      </c>
      <c r="U96" s="2"/>
      <c r="V96" s="22">
        <f t="shared" si="57"/>
        <v>7.952758767560051E-3</v>
      </c>
      <c r="W96" s="2"/>
      <c r="X96" s="2">
        <f t="shared" si="58"/>
        <v>-8910.85</v>
      </c>
      <c r="Y96" s="2"/>
      <c r="Z96" s="22">
        <f t="shared" si="59"/>
        <v>-1.0442810266026017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6" t="s">
        <v>3</v>
      </c>
      <c r="C98" s="26"/>
      <c r="D98" s="20">
        <f>+D45-D47+D94</f>
        <v>-10530.249999999935</v>
      </c>
      <c r="E98" s="13"/>
      <c r="F98" s="21">
        <f>IF(D$12=0,0,D98/D$12)</f>
        <v>-3.9940785871871998E-2</v>
      </c>
      <c r="G98" s="13"/>
      <c r="H98" s="20">
        <f>+H45-H47+H94</f>
        <v>44847.141597153844</v>
      </c>
      <c r="I98" s="13"/>
      <c r="J98" s="21">
        <f>IF(H$12=0,0,H98/H$12)</f>
        <v>0.15556044037390249</v>
      </c>
      <c r="K98" s="16"/>
      <c r="L98" s="20">
        <f>+D98-H98</f>
        <v>-55377.391597153779</v>
      </c>
      <c r="M98" s="16"/>
      <c r="N98" s="21">
        <f>IF(H98=0,0,L98/H98)</f>
        <v>-1.2348031474244108</v>
      </c>
      <c r="O98" s="25"/>
      <c r="P98" s="20">
        <f>+P45-P47+P94</f>
        <v>-741.69000000014671</v>
      </c>
      <c r="Q98" s="13"/>
      <c r="R98" s="21">
        <f>IF(P$12=0,0,P98/P$12)</f>
        <v>-7.6995926220085192E-4</v>
      </c>
      <c r="S98" s="13"/>
      <c r="T98" s="20">
        <f>+T45-T47+T94</f>
        <v>182968.16524574999</v>
      </c>
      <c r="U98" s="13"/>
      <c r="V98" s="21">
        <f>IF(T$12=0,0,T98/T$12)</f>
        <v>0.17052638935222247</v>
      </c>
      <c r="W98" s="16"/>
      <c r="X98" s="20">
        <f>+P98-T98</f>
        <v>-183709.85524575014</v>
      </c>
      <c r="Y98" s="16"/>
      <c r="Z98" s="21">
        <f>IF(T98=0,0,X98/T98)</f>
        <v>-1.0040536559953146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60328.69</v>
      </c>
      <c r="E100" s="4"/>
      <c r="F100" s="12">
        <f>IF(D$12=0,0,D100/D$12)</f>
        <v>0.22882412945756847</v>
      </c>
      <c r="G100" s="4"/>
      <c r="H100" s="4">
        <v>26981</v>
      </c>
      <c r="I100" s="4"/>
      <c r="J100" s="12">
        <f>IF(H$12=0,0,H100/H$12)</f>
        <v>9.3588489528051225E-2</v>
      </c>
      <c r="K100" s="4"/>
      <c r="L100" s="4">
        <f>+D100-H100</f>
        <v>33347.69</v>
      </c>
      <c r="M100" s="4"/>
      <c r="N100" s="12">
        <f>IF(H100=0,0,L100/H100)</f>
        <v>1.2359693858641267</v>
      </c>
      <c r="O100" s="10"/>
      <c r="P100" s="4">
        <v>178453.3</v>
      </c>
      <c r="Q100" s="4"/>
      <c r="R100" s="12">
        <f>IF(P$12=0,0,P100/P$12)</f>
        <v>0.18525498686146516</v>
      </c>
      <c r="S100" s="4"/>
      <c r="T100" s="4">
        <v>155120</v>
      </c>
      <c r="U100" s="4"/>
      <c r="V100" s="12">
        <f>IF(T$12=0,0,T100/T$12)</f>
        <v>0.14457189031101783</v>
      </c>
      <c r="W100" s="4"/>
      <c r="X100" s="4">
        <f>+P100-T100</f>
        <v>23333.299999999988</v>
      </c>
      <c r="Y100" s="4"/>
      <c r="Z100" s="12">
        <f>IF(T100=0,0,X100/T100)</f>
        <v>0.15042096441464664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4</v>
      </c>
      <c r="C102" s="26"/>
      <c r="D102" s="33">
        <f>+D98-D100</f>
        <v>-70858.939999999944</v>
      </c>
      <c r="E102" s="13"/>
      <c r="F102" s="34">
        <f>IF(D$12=0,0,D102/D$12)</f>
        <v>-0.26876491532944052</v>
      </c>
      <c r="G102" s="13"/>
      <c r="H102" s="33">
        <f>+H98-H100</f>
        <v>17866.141597153844</v>
      </c>
      <c r="I102" s="13"/>
      <c r="J102" s="34">
        <f>IF(H$12=0,0,H102/H$12)</f>
        <v>6.1971950845851262E-2</v>
      </c>
      <c r="K102" s="16"/>
      <c r="L102" s="33">
        <f>D102-H102</f>
        <v>-88725.081597153796</v>
      </c>
      <c r="M102" s="16"/>
      <c r="N102" s="34">
        <f>IF(H102=0,0,L102/H102)</f>
        <v>-4.9661020044354789</v>
      </c>
      <c r="O102" s="25"/>
      <c r="P102" s="33">
        <f>+P98-P100</f>
        <v>-179194.99000000014</v>
      </c>
      <c r="Q102" s="13"/>
      <c r="R102" s="34">
        <f>IF(P$12=0,0,P102/P$12)</f>
        <v>-0.18602494612366602</v>
      </c>
      <c r="S102" s="13"/>
      <c r="T102" s="33">
        <f>+T98-T100</f>
        <v>27848.165245749988</v>
      </c>
      <c r="U102" s="13"/>
      <c r="V102" s="34">
        <f>IF(T$12=0,0,T102/T$12)</f>
        <v>2.5954499041204653E-2</v>
      </c>
      <c r="W102" s="16"/>
      <c r="X102" s="33">
        <f>P102-T102</f>
        <v>-207043.15524575012</v>
      </c>
      <c r="Y102" s="16"/>
      <c r="Z102" s="34">
        <f>IF(T102=0,0,X102/T102)</f>
        <v>-7.4347144028581109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6" t="s">
        <v>5</v>
      </c>
      <c r="C105" s="26"/>
      <c r="D105" s="31">
        <f>SUM(D102:D104)</f>
        <v>-70858.939999999944</v>
      </c>
      <c r="E105" s="13"/>
      <c r="F105" s="32">
        <f>IF(D$12=0,0,D105/D$12)</f>
        <v>-0.26876491532944052</v>
      </c>
      <c r="G105" s="13"/>
      <c r="H105" s="31">
        <f>SUM(H102:H104)</f>
        <v>17866.141597153844</v>
      </c>
      <c r="I105" s="13"/>
      <c r="J105" s="32">
        <f>IF(H$12=0,0,H105/H$12)</f>
        <v>6.1971950845851262E-2</v>
      </c>
      <c r="K105" s="16"/>
      <c r="L105" s="31">
        <f>+D105-H105</f>
        <v>-88725.081597153796</v>
      </c>
      <c r="M105" s="16"/>
      <c r="N105" s="32">
        <f>IF(H105=0,0,L105/H105)</f>
        <v>-4.9661020044354789</v>
      </c>
      <c r="O105" s="25"/>
      <c r="P105" s="31">
        <f>SUM(P102:P104)</f>
        <v>-179194.99000000014</v>
      </c>
      <c r="Q105" s="13"/>
      <c r="R105" s="32">
        <f>IF(P$12=0,0,P105/P$12)</f>
        <v>-0.18602494612366602</v>
      </c>
      <c r="S105" s="13"/>
      <c r="T105" s="31">
        <f>SUM(T102:T104)</f>
        <v>27848.165245749988</v>
      </c>
      <c r="U105" s="13"/>
      <c r="V105" s="32">
        <f>IF(T$12=0,0,T105/T$12)</f>
        <v>2.5954499041204653E-2</v>
      </c>
      <c r="W105" s="16"/>
      <c r="X105" s="31">
        <f>+P105-T105</f>
        <v>-207043.15524575012</v>
      </c>
      <c r="Y105" s="16"/>
      <c r="Z105" s="32">
        <f>IF(T105=0,0,X105/T105)</f>
        <v>-7.4347144028581109</v>
      </c>
    </row>
    <row r="106" spans="1:26" ht="15.75" thickTop="1" x14ac:dyDescent="0.25">
      <c r="A106" s="9"/>
      <c r="C106" s="9"/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55">
        <v>44123.572064155094</v>
      </c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53" t="s">
        <v>314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62"/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307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1762.4699999999998</v>
      </c>
      <c r="E12" s="4"/>
      <c r="F12" s="12"/>
      <c r="G12" s="4"/>
      <c r="H12" s="4">
        <f>SUM(OSRRefH13x_0)</f>
        <v>50882</v>
      </c>
      <c r="I12" s="4"/>
      <c r="J12" s="12"/>
      <c r="K12" s="4"/>
      <c r="L12" s="4">
        <f t="shared" ref="L12:L17" si="0">+D12-H12</f>
        <v>-49119.53</v>
      </c>
      <c r="M12" s="4"/>
      <c r="N12" s="12">
        <f t="shared" ref="N12:N17" si="1">IF(H12=0,0,L12/H12)</f>
        <v>-0.96536162100546363</v>
      </c>
      <c r="O12" s="10"/>
      <c r="P12" s="4">
        <f>SUM(OSRRefP13x_0)</f>
        <v>2586.4700000000003</v>
      </c>
      <c r="Q12" s="4"/>
      <c r="R12" s="12"/>
      <c r="S12" s="4"/>
      <c r="T12" s="4">
        <f>SUM(OSRRefT13x_0)</f>
        <v>55682</v>
      </c>
      <c r="U12" s="4"/>
      <c r="V12" s="12"/>
      <c r="W12" s="4"/>
      <c r="X12" s="4">
        <f t="shared" ref="X12:X17" si="2">+P12-T12</f>
        <v>-53095.53</v>
      </c>
      <c r="Y12" s="4"/>
      <c r="Z12" s="12">
        <f t="shared" ref="Z12:Z17" si="3">IF(T12=0,0,X12/T12)</f>
        <v>-0.95354926187996114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4294</v>
      </c>
      <c r="I13" s="2"/>
      <c r="J13" s="22"/>
      <c r="K13" s="2"/>
      <c r="L13" s="2">
        <f t="shared" si="0"/>
        <v>-4294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4294</v>
      </c>
      <c r="U13" s="2"/>
      <c r="V13" s="22"/>
      <c r="W13" s="2"/>
      <c r="X13" s="2">
        <f t="shared" si="2"/>
        <v>-4294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>--356.39</f>
        <v>356.39</v>
      </c>
      <c r="E14" s="2"/>
      <c r="F14" s="22"/>
      <c r="G14" s="2"/>
      <c r="H14" s="2"/>
      <c r="I14" s="2"/>
      <c r="J14" s="22"/>
      <c r="K14" s="2"/>
      <c r="L14" s="2">
        <f t="shared" si="0"/>
        <v>356.39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2"/>
      <c r="G15" s="2"/>
      <c r="H15" s="2">
        <v>46588</v>
      </c>
      <c r="I15" s="2"/>
      <c r="J15" s="22"/>
      <c r="K15" s="2"/>
      <c r="L15" s="2">
        <f t="shared" si="0"/>
        <v>-46588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51388</v>
      </c>
      <c r="U15" s="2"/>
      <c r="V15" s="22"/>
      <c r="W15" s="2"/>
      <c r="X15" s="2">
        <f t="shared" si="2"/>
        <v>-51388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"4132", " - ", "NON-TAXABLE SALES-JUICE")</f>
        <v xml:space="preserve">          4132 - NON-TAXABLE SALES-JUICE</v>
      </c>
      <c r="C16" s="11"/>
      <c r="D16" s="2">
        <f>--1406.08</f>
        <v>1406.08</v>
      </c>
      <c r="E16" s="2"/>
      <c r="F16" s="22"/>
      <c r="G16" s="2"/>
      <c r="H16" s="2"/>
      <c r="I16" s="2"/>
      <c r="J16" s="22"/>
      <c r="K16" s="2"/>
      <c r="L16" s="2">
        <f t="shared" si="0"/>
        <v>1406.08</v>
      </c>
      <c r="M16" s="2"/>
      <c r="N16" s="22">
        <f t="shared" si="1"/>
        <v>0</v>
      </c>
      <c r="O16" s="11"/>
      <c r="P16" s="2">
        <f>--2031.88</f>
        <v>2031.88</v>
      </c>
      <c r="Q16" s="2"/>
      <c r="R16" s="22"/>
      <c r="S16" s="2"/>
      <c r="T16" s="2"/>
      <c r="U16" s="2"/>
      <c r="V16" s="22"/>
      <c r="W16" s="2"/>
      <c r="X16" s="2">
        <f t="shared" si="2"/>
        <v>2031.88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"4153", " - ", "NON-TAXABLE SALES-FOOD")</f>
        <v xml:space="preserve">          4153 - NON-TAXABLE SALES-FOOD</v>
      </c>
      <c r="C17" s="11"/>
      <c r="D17" s="2">
        <f>0</f>
        <v>0</v>
      </c>
      <c r="E17" s="2"/>
      <c r="F17" s="22"/>
      <c r="G17" s="2"/>
      <c r="H17" s="2"/>
      <c r="I17" s="2"/>
      <c r="J17" s="22"/>
      <c r="K17" s="2"/>
      <c r="L17" s="2">
        <f t="shared" si="0"/>
        <v>0</v>
      </c>
      <c r="M17" s="2"/>
      <c r="N17" s="22">
        <f t="shared" si="1"/>
        <v>0</v>
      </c>
      <c r="O17" s="11"/>
      <c r="P17" s="2">
        <f>--110</f>
        <v>110</v>
      </c>
      <c r="Q17" s="2"/>
      <c r="R17" s="22"/>
      <c r="S17" s="2"/>
      <c r="T17" s="2"/>
      <c r="U17" s="2"/>
      <c r="V17" s="22"/>
      <c r="W17" s="2"/>
      <c r="X17" s="2">
        <f t="shared" si="2"/>
        <v>110</v>
      </c>
      <c r="Y17" s="2"/>
      <c r="Z17" s="22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8</v>
      </c>
      <c r="C19" s="10"/>
      <c r="D19" s="4">
        <f>SUM(OSRRefD16x_0)</f>
        <v>53.15</v>
      </c>
      <c r="E19" s="4"/>
      <c r="F19" s="12">
        <f t="shared" ref="F19:F22" si="4">IF(D$12=0,0,D19/D$12)</f>
        <v>3.0156541671631294E-2</v>
      </c>
      <c r="G19" s="4"/>
      <c r="H19" s="4">
        <f>SUM(OSRRefH16x_0)</f>
        <v>21227</v>
      </c>
      <c r="I19" s="4"/>
      <c r="J19" s="12">
        <f t="shared" ref="J19:J22" si="5">IF(H$12=0,0,H19/H$12)</f>
        <v>0.41718092842262489</v>
      </c>
      <c r="K19" s="4"/>
      <c r="L19" s="4">
        <f t="shared" ref="L19:L22" si="6">+D19-H19</f>
        <v>-21173.85</v>
      </c>
      <c r="M19" s="4"/>
      <c r="N19" s="12">
        <f t="shared" ref="N19:N22" si="7">IF(H19=0,0,L19/H19)</f>
        <v>-0.99749611344042954</v>
      </c>
      <c r="O19" s="10"/>
      <c r="P19" s="4">
        <f>SUM(OSRRefP16x_0)</f>
        <v>-2216.4900000000002</v>
      </c>
      <c r="Q19" s="4"/>
      <c r="R19" s="12">
        <f t="shared" ref="R19:R22" si="8">IF(P$12=0,0,P19/P$12)</f>
        <v>-0.85695561904835549</v>
      </c>
      <c r="S19" s="4"/>
      <c r="T19" s="4">
        <f>SUM(OSRRefT16x_0)</f>
        <v>23576</v>
      </c>
      <c r="U19" s="4"/>
      <c r="V19" s="12">
        <f t="shared" ref="V19:V22" si="9">IF(T$12=0,0,T19/T$12)</f>
        <v>0.4234043317409576</v>
      </c>
      <c r="W19" s="4"/>
      <c r="X19" s="4">
        <f t="shared" ref="X19:X22" si="10">+P19-T19</f>
        <v>-25792.49</v>
      </c>
      <c r="Y19" s="4"/>
      <c r="Z19" s="12">
        <f t="shared" ref="Z19:Z22" si="11">IF(T19=0,0,X19/T19)</f>
        <v>-1.0940146759416356</v>
      </c>
    </row>
    <row r="20" spans="1:26" s="24" customFormat="1" hidden="1" outlineLevel="1" x14ac:dyDescent="0.25">
      <c r="A20" s="51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22">
        <f t="shared" si="4"/>
        <v>0</v>
      </c>
      <c r="G20" s="2"/>
      <c r="H20" s="2">
        <v>21227</v>
      </c>
      <c r="I20" s="2"/>
      <c r="J20" s="22">
        <f t="shared" si="5"/>
        <v>0.41718092842262489</v>
      </c>
      <c r="K20" s="2"/>
      <c r="L20" s="2">
        <f t="shared" si="6"/>
        <v>-21227</v>
      </c>
      <c r="M20" s="2"/>
      <c r="N20" s="22">
        <f t="shared" si="7"/>
        <v>-1</v>
      </c>
      <c r="O20" s="11"/>
      <c r="P20" s="2"/>
      <c r="Q20" s="2"/>
      <c r="R20" s="22">
        <f t="shared" si="8"/>
        <v>0</v>
      </c>
      <c r="S20" s="2"/>
      <c r="T20" s="2">
        <v>23576</v>
      </c>
      <c r="U20" s="2"/>
      <c r="V20" s="22">
        <f t="shared" si="9"/>
        <v>0.4234043317409576</v>
      </c>
      <c r="W20" s="2"/>
      <c r="X20" s="2">
        <f t="shared" si="10"/>
        <v>-23576</v>
      </c>
      <c r="Y20" s="2"/>
      <c r="Z20" s="22">
        <f t="shared" si="11"/>
        <v>-1</v>
      </c>
    </row>
    <row r="21" spans="1:26" s="24" customFormat="1" hidden="1" outlineLevel="1" x14ac:dyDescent="0.25">
      <c r="A21" s="51"/>
      <c r="B21" s="11" t="str">
        <f>CONCATENATE("          ", "5053", " - ", "PURCHASES @ COST-FOOD")</f>
        <v xml:space="preserve">          5053 - PURCHASES @ COST-FOOD</v>
      </c>
      <c r="C21" s="11"/>
      <c r="D21" s="2">
        <v>53.15</v>
      </c>
      <c r="E21" s="2"/>
      <c r="F21" s="22">
        <f t="shared" si="4"/>
        <v>3.0156541671631294E-2</v>
      </c>
      <c r="G21" s="2"/>
      <c r="H21" s="2"/>
      <c r="I21" s="2"/>
      <c r="J21" s="22">
        <f t="shared" si="5"/>
        <v>0</v>
      </c>
      <c r="K21" s="2"/>
      <c r="L21" s="2">
        <f t="shared" si="6"/>
        <v>53.15</v>
      </c>
      <c r="M21" s="2"/>
      <c r="N21" s="22">
        <f t="shared" si="7"/>
        <v>0</v>
      </c>
      <c r="O21" s="11"/>
      <c r="P21" s="2">
        <v>-2285.4</v>
      </c>
      <c r="Q21" s="2"/>
      <c r="R21" s="22">
        <f t="shared" si="8"/>
        <v>-0.88359810861908306</v>
      </c>
      <c r="S21" s="2"/>
      <c r="T21" s="2"/>
      <c r="U21" s="2"/>
      <c r="V21" s="22">
        <f t="shared" si="9"/>
        <v>0</v>
      </c>
      <c r="W21" s="2"/>
      <c r="X21" s="2">
        <f t="shared" si="10"/>
        <v>-2285.4</v>
      </c>
      <c r="Y21" s="2"/>
      <c r="Z21" s="22">
        <f t="shared" si="11"/>
        <v>0</v>
      </c>
    </row>
    <row r="22" spans="1:26" s="24" customFormat="1" hidden="1" outlineLevel="1" x14ac:dyDescent="0.25">
      <c r="A22" s="51"/>
      <c r="B22" s="11" t="str">
        <f>CONCATENATE("          ", "5059", " - ", "PURCHASES @ COST-FOOD")</f>
        <v xml:space="preserve">          5059 - PURCHASES @ COST-FOOD</v>
      </c>
      <c r="C22" s="11"/>
      <c r="D22" s="2"/>
      <c r="E22" s="2"/>
      <c r="F22" s="22">
        <f t="shared" si="4"/>
        <v>0</v>
      </c>
      <c r="G22" s="2"/>
      <c r="H22" s="2"/>
      <c r="I22" s="2"/>
      <c r="J22" s="22">
        <f t="shared" si="5"/>
        <v>0</v>
      </c>
      <c r="K22" s="2"/>
      <c r="L22" s="2">
        <f t="shared" si="6"/>
        <v>0</v>
      </c>
      <c r="M22" s="2"/>
      <c r="N22" s="22">
        <f t="shared" si="7"/>
        <v>0</v>
      </c>
      <c r="O22" s="11"/>
      <c r="P22" s="2">
        <v>68.91</v>
      </c>
      <c r="Q22" s="2"/>
      <c r="R22" s="22">
        <f t="shared" si="8"/>
        <v>2.6642489570727668E-2</v>
      </c>
      <c r="S22" s="2"/>
      <c r="T22" s="2"/>
      <c r="U22" s="2"/>
      <c r="V22" s="22">
        <f t="shared" si="9"/>
        <v>0</v>
      </c>
      <c r="W22" s="2"/>
      <c r="X22" s="2">
        <f t="shared" si="10"/>
        <v>68.91</v>
      </c>
      <c r="Y22" s="2"/>
      <c r="Z22" s="22">
        <f t="shared" si="11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6</v>
      </c>
      <c r="C24" s="26"/>
      <c r="D24" s="20">
        <f>D12-D19</f>
        <v>1709.3199999999997</v>
      </c>
      <c r="E24" s="13"/>
      <c r="F24" s="21">
        <f>IF(D$12=0,0,D24/D$12)</f>
        <v>0.9698434583283686</v>
      </c>
      <c r="G24" s="13"/>
      <c r="H24" s="20">
        <f>H12-H19</f>
        <v>29655</v>
      </c>
      <c r="I24" s="13"/>
      <c r="J24" s="21">
        <f>IF(H$12=0,0,H24/H$12)</f>
        <v>0.58281907157737511</v>
      </c>
      <c r="K24" s="16"/>
      <c r="L24" s="20">
        <f>+D24-H24</f>
        <v>-27945.68</v>
      </c>
      <c r="M24" s="16"/>
      <c r="N24" s="21">
        <f>IF(H24=0,0,L24/H24)</f>
        <v>-0.94235980441746758</v>
      </c>
      <c r="O24" s="25"/>
      <c r="P24" s="20">
        <f>P12-P19</f>
        <v>4802.9600000000009</v>
      </c>
      <c r="Q24" s="13"/>
      <c r="R24" s="21">
        <f>IF(P$12=0,0,P24/P$12)</f>
        <v>1.8569556190483556</v>
      </c>
      <c r="S24" s="13"/>
      <c r="T24" s="20">
        <f>T12-T19</f>
        <v>32106</v>
      </c>
      <c r="U24" s="13"/>
      <c r="V24" s="21">
        <f>IF(T$12=0,0,T24/T$12)</f>
        <v>0.5765956682590424</v>
      </c>
      <c r="W24" s="16"/>
      <c r="X24" s="20">
        <f>+P24-T24</f>
        <v>-27303.040000000001</v>
      </c>
      <c r="Y24" s="16"/>
      <c r="Z24" s="21">
        <f>IF(T24=0,0,X24/T24)</f>
        <v>-0.85040303993023114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9</v>
      </c>
      <c r="C26" s="10"/>
      <c r="D26" s="19">
        <f>SUM(OSRRefD22x_0)</f>
        <v>32187.000000000004</v>
      </c>
      <c r="E26" s="19"/>
      <c r="F26" s="35">
        <f t="shared" ref="F26:F36" si="12">IF(D$12=0,0,D26/D$12)</f>
        <v>18.262438509591657</v>
      </c>
      <c r="G26" s="19"/>
      <c r="H26" s="19">
        <f>SUM(OSRRefH22x_0)</f>
        <v>58301.191208699995</v>
      </c>
      <c r="I26" s="19"/>
      <c r="J26" s="35">
        <f t="shared" ref="J26:J36" si="13">IF(H$12=0,0,H26/H$12)</f>
        <v>1.145811705685704</v>
      </c>
      <c r="K26" s="4"/>
      <c r="L26" s="19">
        <f t="shared" ref="L26:L36" si="14">+D26-H26</f>
        <v>-26114.191208699991</v>
      </c>
      <c r="M26" s="4"/>
      <c r="N26" s="35">
        <f t="shared" ref="N26:N36" si="15">IF(H26=0,0,L26/H26)</f>
        <v>-0.44791865598799463</v>
      </c>
      <c r="O26" s="10"/>
      <c r="P26" s="19">
        <f>SUM(OSRRefP22x_0)</f>
        <v>97440.74</v>
      </c>
      <c r="Q26" s="19"/>
      <c r="R26" s="35">
        <f t="shared" ref="R26:R36" si="16">IF(P$12=0,0,P26/P$12)</f>
        <v>37.673253507676485</v>
      </c>
      <c r="S26" s="19"/>
      <c r="T26" s="19">
        <f>SUM(OSRRefT22x_0)</f>
        <v>140570.82371580001</v>
      </c>
      <c r="U26" s="19"/>
      <c r="V26" s="35">
        <f t="shared" ref="V26:V36" si="17">IF(T$12=0,0,T26/T$12)</f>
        <v>2.5245289988829427</v>
      </c>
      <c r="W26" s="4"/>
      <c r="X26" s="19">
        <f t="shared" ref="X26:X36" si="18">+P26-T26</f>
        <v>-43130.083715800007</v>
      </c>
      <c r="Y26" s="4"/>
      <c r="Z26" s="35">
        <f t="shared" ref="Z26:Z36" si="19">IF(T26=0,0,X26/T26)</f>
        <v>-0.30682102143043949</v>
      </c>
    </row>
    <row r="27" spans="1:26" s="28" customFormat="1" outlineLevel="1" collapsed="1" x14ac:dyDescent="0.25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6025.29</v>
      </c>
      <c r="E27" s="1"/>
      <c r="F27" s="5">
        <f t="shared" si="12"/>
        <v>3.4186624453182186</v>
      </c>
      <c r="G27" s="1"/>
      <c r="H27" s="1">
        <f>SUM(OSRRefH22_0x_0)</f>
        <v>7452.5132087000002</v>
      </c>
      <c r="I27" s="1"/>
      <c r="J27" s="5">
        <f t="shared" si="13"/>
        <v>0.1464665934652726</v>
      </c>
      <c r="K27" s="1"/>
      <c r="L27" s="1">
        <f t="shared" si="14"/>
        <v>-1427.2232087000002</v>
      </c>
      <c r="M27" s="1"/>
      <c r="N27" s="5">
        <f t="shared" si="15"/>
        <v>-0.19150898076019135</v>
      </c>
      <c r="O27" s="14"/>
      <c r="P27" s="1">
        <f>SUM(OSRRefP22_0x_0)</f>
        <v>20963.57</v>
      </c>
      <c r="Q27" s="1"/>
      <c r="R27" s="5">
        <f t="shared" si="16"/>
        <v>8.1050891755945358</v>
      </c>
      <c r="S27" s="1"/>
      <c r="T27" s="1">
        <f>SUM(OSRRefT22_0x_0)</f>
        <v>21977.706715800003</v>
      </c>
      <c r="U27" s="1"/>
      <c r="V27" s="5">
        <f t="shared" si="17"/>
        <v>0.39470038281311737</v>
      </c>
      <c r="W27" s="1"/>
      <c r="X27" s="1">
        <f t="shared" si="18"/>
        <v>-1014.136715800003</v>
      </c>
      <c r="Y27" s="1"/>
      <c r="Z27" s="5">
        <f t="shared" si="19"/>
        <v>-4.6143882476643007E-2</v>
      </c>
    </row>
    <row r="28" spans="1:26" s="24" customFormat="1" hidden="1" outlineLevel="2" x14ac:dyDescent="0.25">
      <c r="A28" s="29"/>
      <c r="B28" s="11" t="str">
        <f>CONCATENATE("          ", "6111", " - ", "F.I.C.A.")</f>
        <v xml:space="preserve">          6111 - F.I.C.A.</v>
      </c>
      <c r="C28" s="11"/>
      <c r="D28" s="6">
        <v>812.39</v>
      </c>
      <c r="E28" s="2"/>
      <c r="F28" s="7">
        <f t="shared" si="12"/>
        <v>0.46093834221291713</v>
      </c>
      <c r="G28" s="2"/>
      <c r="H28" s="6">
        <v>1011.4579796999999</v>
      </c>
      <c r="I28" s="2"/>
      <c r="J28" s="7">
        <f t="shared" si="13"/>
        <v>1.987850280452812E-2</v>
      </c>
      <c r="K28" s="2"/>
      <c r="L28" s="6">
        <f t="shared" si="14"/>
        <v>-199.06797969999991</v>
      </c>
      <c r="M28" s="2"/>
      <c r="N28" s="7">
        <f t="shared" si="15"/>
        <v>-0.19681290147025565</v>
      </c>
      <c r="O28" s="11"/>
      <c r="P28" s="6">
        <v>2349.4899999999998</v>
      </c>
      <c r="Q28" s="2"/>
      <c r="R28" s="7">
        <f t="shared" si="16"/>
        <v>0.9083770544409947</v>
      </c>
      <c r="S28" s="2"/>
      <c r="T28" s="6">
        <v>2981.9654298</v>
      </c>
      <c r="U28" s="2"/>
      <c r="V28" s="7">
        <f t="shared" si="17"/>
        <v>5.3553489993175531E-2</v>
      </c>
      <c r="W28" s="2"/>
      <c r="X28" s="6">
        <f t="shared" si="18"/>
        <v>-632.47542980000026</v>
      </c>
      <c r="Y28" s="2"/>
      <c r="Z28" s="7">
        <f t="shared" si="19"/>
        <v>-0.2121001885130574</v>
      </c>
    </row>
    <row r="29" spans="1:26" s="24" customFormat="1" hidden="1" outlineLevel="2" x14ac:dyDescent="0.25">
      <c r="A29" s="29"/>
      <c r="B29" s="11" t="str">
        <f>CONCATENATE("          ", "6112", " - ", "COMPENSATION INSURANCE")</f>
        <v xml:space="preserve">          6112 - COMPENSATION INSURANCE</v>
      </c>
      <c r="C29" s="11"/>
      <c r="D29" s="6">
        <v>163.46</v>
      </c>
      <c r="E29" s="2"/>
      <c r="F29" s="7">
        <f t="shared" si="12"/>
        <v>9.2744841046939822E-2</v>
      </c>
      <c r="G29" s="2"/>
      <c r="H29" s="6">
        <v>422.97271499999999</v>
      </c>
      <c r="I29" s="2"/>
      <c r="J29" s="7">
        <f t="shared" si="13"/>
        <v>8.3128162218466251E-3</v>
      </c>
      <c r="K29" s="2"/>
      <c r="L29" s="6">
        <f t="shared" si="14"/>
        <v>-259.51271499999996</v>
      </c>
      <c r="M29" s="2"/>
      <c r="N29" s="7">
        <f t="shared" si="15"/>
        <v>-0.61354481222269852</v>
      </c>
      <c r="O29" s="11"/>
      <c r="P29" s="6">
        <v>496.7</v>
      </c>
      <c r="Q29" s="2"/>
      <c r="R29" s="7">
        <f t="shared" si="16"/>
        <v>0.19203779668815024</v>
      </c>
      <c r="S29" s="2"/>
      <c r="T29" s="6">
        <v>997.33981000000006</v>
      </c>
      <c r="U29" s="2"/>
      <c r="V29" s="7">
        <f t="shared" si="17"/>
        <v>1.7911350346611114E-2</v>
      </c>
      <c r="W29" s="2"/>
      <c r="X29" s="6">
        <f t="shared" si="18"/>
        <v>-500.63981000000007</v>
      </c>
      <c r="Y29" s="2"/>
      <c r="Z29" s="7">
        <f t="shared" si="19"/>
        <v>-0.50197515929901571</v>
      </c>
    </row>
    <row r="30" spans="1:26" s="24" customFormat="1" hidden="1" outlineLevel="2" x14ac:dyDescent="0.25">
      <c r="A30" s="29"/>
      <c r="B30" s="11" t="str">
        <f>CONCATENATE("          ", "6113", " - ", "GROUP INSURANCE")</f>
        <v xml:space="preserve">          6113 - GROUP INSURANCE</v>
      </c>
      <c r="C30" s="11"/>
      <c r="D30" s="6">
        <v>2704.94</v>
      </c>
      <c r="E30" s="2"/>
      <c r="F30" s="7">
        <f t="shared" si="12"/>
        <v>1.5347438537960931</v>
      </c>
      <c r="G30" s="2"/>
      <c r="H30" s="6">
        <v>3960</v>
      </c>
      <c r="I30" s="2"/>
      <c r="J30" s="7">
        <f t="shared" si="13"/>
        <v>7.7827129436735976E-2</v>
      </c>
      <c r="K30" s="2"/>
      <c r="L30" s="6">
        <f t="shared" si="14"/>
        <v>-1255.06</v>
      </c>
      <c r="M30" s="2"/>
      <c r="N30" s="7">
        <f t="shared" si="15"/>
        <v>-0.3169343434343434</v>
      </c>
      <c r="O30" s="11"/>
      <c r="P30" s="6">
        <v>10030.450000000001</v>
      </c>
      <c r="Q30" s="2"/>
      <c r="R30" s="7">
        <f t="shared" si="16"/>
        <v>3.8780461401060129</v>
      </c>
      <c r="S30" s="2"/>
      <c r="T30" s="6">
        <v>11880</v>
      </c>
      <c r="U30" s="2"/>
      <c r="V30" s="7">
        <f t="shared" si="17"/>
        <v>0.21335440537337022</v>
      </c>
      <c r="W30" s="2"/>
      <c r="X30" s="6">
        <f t="shared" si="18"/>
        <v>-1849.5499999999993</v>
      </c>
      <c r="Y30" s="2"/>
      <c r="Z30" s="7">
        <f t="shared" si="19"/>
        <v>-0.15568602693602687</v>
      </c>
    </row>
    <row r="31" spans="1:26" s="24" customFormat="1" hidden="1" outlineLevel="2" x14ac:dyDescent="0.25">
      <c r="A31" s="29"/>
      <c r="B31" s="11" t="str">
        <f>CONCATENATE("          ", "6114", " - ", "STATE UNEMPLOYMENT INSURANCE")</f>
        <v xml:space="preserve">          6114 - STATE UNEMPLOYMENT INSURANCE</v>
      </c>
      <c r="C31" s="11"/>
      <c r="D31" s="6">
        <v>22.98</v>
      </c>
      <c r="E31" s="2"/>
      <c r="F31" s="7">
        <f t="shared" si="12"/>
        <v>1.3038519804592421E-2</v>
      </c>
      <c r="G31" s="2"/>
      <c r="H31" s="6">
        <v>59.444814000000001</v>
      </c>
      <c r="I31" s="2"/>
      <c r="J31" s="7">
        <f t="shared" si="13"/>
        <v>1.1682876852324988E-3</v>
      </c>
      <c r="K31" s="2"/>
      <c r="L31" s="6">
        <f t="shared" si="14"/>
        <v>-36.464814000000004</v>
      </c>
      <c r="M31" s="2"/>
      <c r="N31" s="7">
        <f t="shared" si="15"/>
        <v>-0.61342296402845176</v>
      </c>
      <c r="O31" s="11"/>
      <c r="P31" s="6">
        <v>69.819999999999993</v>
      </c>
      <c r="Q31" s="2"/>
      <c r="R31" s="7">
        <f t="shared" si="16"/>
        <v>2.6994320444466778E-2</v>
      </c>
      <c r="S31" s="2"/>
      <c r="T31" s="6">
        <v>140.166676</v>
      </c>
      <c r="U31" s="2"/>
      <c r="V31" s="7">
        <f t="shared" si="17"/>
        <v>2.5172708595237237E-3</v>
      </c>
      <c r="W31" s="2"/>
      <c r="X31" s="6">
        <f t="shared" si="18"/>
        <v>-70.346676000000002</v>
      </c>
      <c r="Y31" s="2"/>
      <c r="Z31" s="7">
        <f t="shared" si="19"/>
        <v>-0.50187874898310358</v>
      </c>
    </row>
    <row r="32" spans="1:26" s="24" customFormat="1" hidden="1" outlineLevel="2" x14ac:dyDescent="0.25">
      <c r="A32" s="29"/>
      <c r="B32" s="11" t="str">
        <f>CONCATENATE("          ", "6115", " - ", "P.E.R.S.")</f>
        <v xml:space="preserve">          6115 - P.E.R.S.</v>
      </c>
      <c r="C32" s="11"/>
      <c r="D32" s="6">
        <v>935.63</v>
      </c>
      <c r="E32" s="2"/>
      <c r="F32" s="7">
        <f t="shared" si="12"/>
        <v>0.53086293667409945</v>
      </c>
      <c r="G32" s="2"/>
      <c r="H32" s="6">
        <v>836.43600000000004</v>
      </c>
      <c r="I32" s="2"/>
      <c r="J32" s="7">
        <f t="shared" si="13"/>
        <v>1.6438740615541843E-2</v>
      </c>
      <c r="K32" s="2"/>
      <c r="L32" s="6">
        <f t="shared" si="14"/>
        <v>99.19399999999996</v>
      </c>
      <c r="M32" s="2"/>
      <c r="N32" s="7">
        <f t="shared" si="15"/>
        <v>0.11859126101698152</v>
      </c>
      <c r="O32" s="11"/>
      <c r="P32" s="6">
        <v>3733.59</v>
      </c>
      <c r="Q32" s="2"/>
      <c r="R32" s="7">
        <f t="shared" si="16"/>
        <v>1.4435079471248458</v>
      </c>
      <c r="S32" s="2"/>
      <c r="T32" s="6">
        <v>2718.4169999999999</v>
      </c>
      <c r="U32" s="2"/>
      <c r="V32" s="7">
        <f t="shared" si="17"/>
        <v>4.8820390790560685E-2</v>
      </c>
      <c r="W32" s="2"/>
      <c r="X32" s="6">
        <f t="shared" si="18"/>
        <v>1015.1730000000002</v>
      </c>
      <c r="Y32" s="2"/>
      <c r="Z32" s="7">
        <f t="shared" si="19"/>
        <v>0.37344270581003586</v>
      </c>
    </row>
    <row r="33" spans="1:26" s="24" customFormat="1" hidden="1" outlineLevel="2" x14ac:dyDescent="0.25">
      <c r="A33" s="29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2"/>
        <v>0</v>
      </c>
      <c r="G33" s="2"/>
      <c r="H33" s="6">
        <v>0</v>
      </c>
      <c r="I33" s="2"/>
      <c r="J33" s="7">
        <f t="shared" si="13"/>
        <v>0</v>
      </c>
      <c r="K33" s="2"/>
      <c r="L33" s="6">
        <f t="shared" si="14"/>
        <v>0</v>
      </c>
      <c r="M33" s="2"/>
      <c r="N33" s="7">
        <f t="shared" si="15"/>
        <v>0</v>
      </c>
      <c r="O33" s="11"/>
      <c r="P33" s="6"/>
      <c r="Q33" s="2"/>
      <c r="R33" s="7">
        <f t="shared" si="16"/>
        <v>0</v>
      </c>
      <c r="S33" s="2"/>
      <c r="T33" s="6">
        <v>0</v>
      </c>
      <c r="U33" s="2"/>
      <c r="V33" s="7">
        <f t="shared" si="17"/>
        <v>0</v>
      </c>
      <c r="W33" s="2"/>
      <c r="X33" s="6">
        <f t="shared" si="18"/>
        <v>0</v>
      </c>
      <c r="Y33" s="2"/>
      <c r="Z33" s="7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6">
        <v>646.78</v>
      </c>
      <c r="E34" s="2"/>
      <c r="F34" s="7">
        <f t="shared" si="12"/>
        <v>0.36697362224605246</v>
      </c>
      <c r="G34" s="2"/>
      <c r="H34" s="6">
        <v>374.98</v>
      </c>
      <c r="I34" s="2"/>
      <c r="J34" s="7">
        <f t="shared" si="13"/>
        <v>7.3696002515624389E-3</v>
      </c>
      <c r="K34" s="2"/>
      <c r="L34" s="6">
        <f t="shared" si="14"/>
        <v>271.79999999999995</v>
      </c>
      <c r="M34" s="2"/>
      <c r="N34" s="7">
        <f t="shared" si="15"/>
        <v>0.72483865806176317</v>
      </c>
      <c r="O34" s="11"/>
      <c r="P34" s="6">
        <v>2092.44</v>
      </c>
      <c r="Q34" s="2"/>
      <c r="R34" s="7">
        <f t="shared" si="16"/>
        <v>0.80899449829304027</v>
      </c>
      <c r="S34" s="2"/>
      <c r="T34" s="6">
        <v>1218.6849999999999</v>
      </c>
      <c r="U34" s="2"/>
      <c r="V34" s="7">
        <f t="shared" si="17"/>
        <v>2.1886516288926402E-2</v>
      </c>
      <c r="W34" s="2"/>
      <c r="X34" s="6">
        <f t="shared" si="18"/>
        <v>873.75500000000011</v>
      </c>
      <c r="Y34" s="2"/>
      <c r="Z34" s="7">
        <f t="shared" si="19"/>
        <v>0.71696541764278721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6">
        <v>448.64</v>
      </c>
      <c r="E35" s="2"/>
      <c r="F35" s="7">
        <f t="shared" si="12"/>
        <v>0.25455185052795226</v>
      </c>
      <c r="G35" s="2"/>
      <c r="H35" s="6">
        <v>612.22170000000006</v>
      </c>
      <c r="I35" s="2"/>
      <c r="J35" s="7">
        <f t="shared" si="13"/>
        <v>1.2032186234817815E-2</v>
      </c>
      <c r="K35" s="2"/>
      <c r="L35" s="6">
        <f t="shared" si="14"/>
        <v>-163.58170000000007</v>
      </c>
      <c r="M35" s="2"/>
      <c r="N35" s="7">
        <f t="shared" si="15"/>
        <v>-0.2671935672975983</v>
      </c>
      <c r="O35" s="11"/>
      <c r="P35" s="6">
        <v>1549.9</v>
      </c>
      <c r="Q35" s="2"/>
      <c r="R35" s="7">
        <f t="shared" si="16"/>
        <v>0.59923370462444947</v>
      </c>
      <c r="S35" s="2"/>
      <c r="T35" s="6">
        <v>1516.1328000000001</v>
      </c>
      <c r="U35" s="2"/>
      <c r="V35" s="7">
        <f t="shared" si="17"/>
        <v>2.7228418519449734E-2</v>
      </c>
      <c r="W35" s="2"/>
      <c r="X35" s="6">
        <f t="shared" si="18"/>
        <v>33.767200000000003</v>
      </c>
      <c r="Y35" s="2"/>
      <c r="Z35" s="7">
        <f t="shared" si="19"/>
        <v>2.2271927630613888E-2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6">
        <v>290.47000000000003</v>
      </c>
      <c r="E36" s="2"/>
      <c r="F36" s="7">
        <f t="shared" si="12"/>
        <v>0.16480847900957182</v>
      </c>
      <c r="G36" s="2"/>
      <c r="H36" s="6">
        <v>175</v>
      </c>
      <c r="I36" s="2"/>
      <c r="J36" s="7">
        <f t="shared" si="13"/>
        <v>3.4393302150072715E-3</v>
      </c>
      <c r="K36" s="2"/>
      <c r="L36" s="6">
        <f t="shared" si="14"/>
        <v>115.47000000000003</v>
      </c>
      <c r="M36" s="2"/>
      <c r="N36" s="7">
        <f t="shared" si="15"/>
        <v>0.65982857142857154</v>
      </c>
      <c r="O36" s="11"/>
      <c r="P36" s="6">
        <v>641.17999999999995</v>
      </c>
      <c r="Q36" s="2"/>
      <c r="R36" s="7">
        <f t="shared" si="16"/>
        <v>0.24789771387257531</v>
      </c>
      <c r="S36" s="2"/>
      <c r="T36" s="6">
        <v>525</v>
      </c>
      <c r="U36" s="2"/>
      <c r="V36" s="7">
        <f t="shared" si="17"/>
        <v>9.4285406414999461E-3</v>
      </c>
      <c r="W36" s="2"/>
      <c r="X36" s="6">
        <f t="shared" si="18"/>
        <v>116.17999999999995</v>
      </c>
      <c r="Y36" s="2"/>
      <c r="Z36" s="7">
        <f t="shared" si="19"/>
        <v>0.22129523809523799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10821.800000000001</v>
      </c>
      <c r="E37" s="1"/>
      <c r="F37" s="5">
        <f t="shared" ref="F37:F47" si="20">IF(D$12=0,0,D37/D$12)</f>
        <v>6.1401328816944414</v>
      </c>
      <c r="G37" s="1"/>
      <c r="H37" s="1">
        <f>SUM(OSRRefH22_1x_0)</f>
        <v>22016.678</v>
      </c>
      <c r="I37" s="1"/>
      <c r="J37" s="5">
        <f t="shared" ref="J37:J47" si="21">IF(H$12=0,0,H37/H$12)</f>
        <v>0.43270071931134785</v>
      </c>
      <c r="K37" s="1"/>
      <c r="L37" s="1">
        <f t="shared" ref="L37:L47" si="22">+D37-H37</f>
        <v>-11194.877999999999</v>
      </c>
      <c r="M37" s="1"/>
      <c r="N37" s="5">
        <f t="shared" ref="N37:N47" si="23">IF(H37=0,0,L37/H37)</f>
        <v>-0.50847262243650015</v>
      </c>
      <c r="O37" s="14"/>
      <c r="P37" s="1">
        <f>SUM(OSRRefP22_1x_0)</f>
        <v>32472.49</v>
      </c>
      <c r="Q37" s="1"/>
      <c r="R37" s="5">
        <f t="shared" ref="R37:R47" si="24">IF(P$12=0,0,P37/P$12)</f>
        <v>12.554752229873147</v>
      </c>
      <c r="S37" s="1"/>
      <c r="T37" s="1">
        <f>SUM(OSRRefT22_1x_0)</f>
        <v>51427.116999999998</v>
      </c>
      <c r="U37" s="1"/>
      <c r="V37" s="5">
        <f t="shared" ref="V37:V47" si="25">IF(T$12=0,0,T37/T$12)</f>
        <v>0.92358602420890046</v>
      </c>
      <c r="W37" s="1"/>
      <c r="X37" s="1">
        <f t="shared" ref="X37:X47" si="26">+P37-T37</f>
        <v>-18954.626999999997</v>
      </c>
      <c r="Y37" s="1"/>
      <c r="Z37" s="5">
        <f t="shared" ref="Z37:Z47" si="27">IF(T37=0,0,X37/T37)</f>
        <v>-0.36857261510498435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5287.7</v>
      </c>
      <c r="I38" s="2"/>
      <c r="J38" s="7">
        <f t="shared" si="21"/>
        <v>0.10392083644510829</v>
      </c>
      <c r="K38" s="2"/>
      <c r="L38" s="6">
        <f t="shared" si="22"/>
        <v>-5287.7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17185.024999999998</v>
      </c>
      <c r="U38" s="2"/>
      <c r="V38" s="7">
        <f t="shared" si="25"/>
        <v>0.30862801264322398</v>
      </c>
      <c r="W38" s="2"/>
      <c r="X38" s="6">
        <f t="shared" si="26"/>
        <v>-17185.024999999998</v>
      </c>
      <c r="Y38" s="2"/>
      <c r="Z38" s="7">
        <f t="shared" si="27"/>
        <v>-1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6">
        <v>9344.7000000000007</v>
      </c>
      <c r="E39" s="2"/>
      <c r="F39" s="7">
        <f t="shared" si="20"/>
        <v>5.3020476944288424</v>
      </c>
      <c r="G39" s="2"/>
      <c r="H39" s="6">
        <v>3744</v>
      </c>
      <c r="I39" s="2"/>
      <c r="J39" s="7">
        <f t="shared" si="21"/>
        <v>7.358201328564129E-2</v>
      </c>
      <c r="K39" s="2"/>
      <c r="L39" s="6">
        <f t="shared" si="22"/>
        <v>5600.7000000000007</v>
      </c>
      <c r="M39" s="2"/>
      <c r="N39" s="7">
        <f t="shared" si="23"/>
        <v>1.4959134615384617</v>
      </c>
      <c r="O39" s="11"/>
      <c r="P39" s="6">
        <v>30340.390000000003</v>
      </c>
      <c r="Q39" s="2"/>
      <c r="R39" s="7">
        <f t="shared" si="24"/>
        <v>11.730424091522423</v>
      </c>
      <c r="S39" s="2"/>
      <c r="T39" s="6">
        <v>12168</v>
      </c>
      <c r="U39" s="2"/>
      <c r="V39" s="7">
        <f t="shared" si="25"/>
        <v>0.21852663338242162</v>
      </c>
      <c r="W39" s="2"/>
      <c r="X39" s="6">
        <f t="shared" si="26"/>
        <v>18172.390000000003</v>
      </c>
      <c r="Y39" s="2"/>
      <c r="Z39" s="7">
        <f t="shared" si="27"/>
        <v>1.4934574293228142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6"/>
      <c r="E41" s="2"/>
      <c r="F41" s="7">
        <f t="shared" si="20"/>
        <v>0</v>
      </c>
      <c r="G41" s="2"/>
      <c r="H41" s="6">
        <v>3490.49</v>
      </c>
      <c r="I41" s="2"/>
      <c r="J41" s="7">
        <f t="shared" si="21"/>
        <v>6.8599701269604171E-2</v>
      </c>
      <c r="K41" s="2"/>
      <c r="L41" s="6">
        <f t="shared" si="22"/>
        <v>-3490.49</v>
      </c>
      <c r="M41" s="2"/>
      <c r="N41" s="7">
        <f t="shared" si="23"/>
        <v>-1</v>
      </c>
      <c r="O41" s="11"/>
      <c r="P41" s="6"/>
      <c r="Q41" s="2"/>
      <c r="R41" s="7">
        <f t="shared" si="24"/>
        <v>0</v>
      </c>
      <c r="S41" s="2"/>
      <c r="T41" s="6">
        <v>6575.16</v>
      </c>
      <c r="U41" s="2"/>
      <c r="V41" s="7">
        <f t="shared" si="25"/>
        <v>0.11808412054164721</v>
      </c>
      <c r="W41" s="2"/>
      <c r="X41" s="6">
        <f t="shared" si="26"/>
        <v>-6575.16</v>
      </c>
      <c r="Y41" s="2"/>
      <c r="Z41" s="7">
        <f t="shared" si="27"/>
        <v>-1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6">
        <v>1784.1</v>
      </c>
      <c r="E42" s="2"/>
      <c r="F42" s="7">
        <f t="shared" si="20"/>
        <v>1.0122725493199884</v>
      </c>
      <c r="G42" s="2"/>
      <c r="H42" s="6">
        <v>4091.0479999999998</v>
      </c>
      <c r="I42" s="2"/>
      <c r="J42" s="7">
        <f t="shared" si="21"/>
        <v>8.0402657128257532E-2</v>
      </c>
      <c r="K42" s="2"/>
      <c r="L42" s="6">
        <f t="shared" si="22"/>
        <v>-2306.9479999999999</v>
      </c>
      <c r="M42" s="2"/>
      <c r="N42" s="7">
        <f t="shared" si="23"/>
        <v>-0.56390147463437246</v>
      </c>
      <c r="O42" s="11"/>
      <c r="P42" s="6">
        <v>1784.1</v>
      </c>
      <c r="Q42" s="2"/>
      <c r="R42" s="7">
        <f t="shared" si="24"/>
        <v>0.68978182619554829</v>
      </c>
      <c r="S42" s="2"/>
      <c r="T42" s="6">
        <v>6815.5720000000001</v>
      </c>
      <c r="U42" s="2"/>
      <c r="V42" s="7">
        <f t="shared" si="25"/>
        <v>0.122401709708703</v>
      </c>
      <c r="W42" s="2"/>
      <c r="X42" s="6">
        <f t="shared" si="26"/>
        <v>-5031.4719999999998</v>
      </c>
      <c r="Y42" s="2"/>
      <c r="Z42" s="7">
        <f t="shared" si="27"/>
        <v>-0.73823180211433459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6">
        <v>-307</v>
      </c>
      <c r="E44" s="2"/>
      <c r="F44" s="7">
        <f t="shared" si="20"/>
        <v>-0.17418736205438959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-307</v>
      </c>
      <c r="M44" s="2"/>
      <c r="N44" s="7">
        <f t="shared" si="23"/>
        <v>0</v>
      </c>
      <c r="O44" s="11"/>
      <c r="P44" s="6">
        <v>348</v>
      </c>
      <c r="Q44" s="2"/>
      <c r="R44" s="7">
        <f t="shared" si="24"/>
        <v>0.13454631215517673</v>
      </c>
      <c r="S44" s="2"/>
      <c r="T44" s="6">
        <v>756.6</v>
      </c>
      <c r="U44" s="2"/>
      <c r="V44" s="7">
        <f t="shared" si="25"/>
        <v>1.358787399877878E-2</v>
      </c>
      <c r="W44" s="2"/>
      <c r="X44" s="6">
        <f t="shared" si="26"/>
        <v>-408.6</v>
      </c>
      <c r="Y44" s="2"/>
      <c r="Z44" s="7">
        <f t="shared" si="27"/>
        <v>-0.54004758128469466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0"/>
        <v>0</v>
      </c>
      <c r="G45" s="2"/>
      <c r="H45" s="6">
        <v>5403.44</v>
      </c>
      <c r="I45" s="2"/>
      <c r="J45" s="7">
        <f t="shared" si="21"/>
        <v>0.10619551118273653</v>
      </c>
      <c r="K45" s="2"/>
      <c r="L45" s="6">
        <f t="shared" si="22"/>
        <v>-5403.44</v>
      </c>
      <c r="M45" s="2"/>
      <c r="N45" s="7">
        <f t="shared" si="23"/>
        <v>-1</v>
      </c>
      <c r="O45" s="11"/>
      <c r="P45" s="6"/>
      <c r="Q45" s="2"/>
      <c r="R45" s="7">
        <f t="shared" si="24"/>
        <v>0</v>
      </c>
      <c r="S45" s="2"/>
      <c r="T45" s="6">
        <v>7926.76</v>
      </c>
      <c r="U45" s="2"/>
      <c r="V45" s="7">
        <f t="shared" si="25"/>
        <v>0.14235767393412593</v>
      </c>
      <c r="W45" s="2"/>
      <c r="X45" s="6">
        <f t="shared" si="26"/>
        <v>-7926.76</v>
      </c>
      <c r="Y45" s="2"/>
      <c r="Z45" s="7">
        <f t="shared" si="27"/>
        <v>-1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56" si="28">IF(D$12=0,0,D48/D$12)</f>
        <v>0</v>
      </c>
      <c r="G48" s="1"/>
      <c r="H48" s="1">
        <f>SUM(OSRRefH22_2x_0)</f>
        <v>200</v>
      </c>
      <c r="I48" s="1"/>
      <c r="J48" s="5">
        <f t="shared" ref="J48:J56" si="29">IF(H$12=0,0,H48/H$12)</f>
        <v>3.9306631028654532E-3</v>
      </c>
      <c r="K48" s="1"/>
      <c r="L48" s="1">
        <f t="shared" ref="L48:L56" si="30">+D48-H48</f>
        <v>-200</v>
      </c>
      <c r="M48" s="1"/>
      <c r="N48" s="5">
        <f t="shared" ref="N48:N56" si="31">IF(H48=0,0,L48/H48)</f>
        <v>-1</v>
      </c>
      <c r="O48" s="14"/>
      <c r="P48" s="1">
        <f>SUM(OSRRefP22_2x_0)</f>
        <v>0</v>
      </c>
      <c r="Q48" s="1"/>
      <c r="R48" s="5">
        <f t="shared" ref="R48:R56" si="32">IF(P$12=0,0,P48/P$12)</f>
        <v>0</v>
      </c>
      <c r="S48" s="1"/>
      <c r="T48" s="1">
        <f>SUM(OSRRefT22_2x_0)</f>
        <v>580</v>
      </c>
      <c r="U48" s="1"/>
      <c r="V48" s="5">
        <f t="shared" ref="V48:V56" si="33">IF(T$12=0,0,T48/T$12)</f>
        <v>1.0416292518228511E-2</v>
      </c>
      <c r="W48" s="1"/>
      <c r="X48" s="1">
        <f t="shared" ref="X48:X56" si="34">+P48-T48</f>
        <v>-580</v>
      </c>
      <c r="Y48" s="1"/>
      <c r="Z48" s="5">
        <f t="shared" ref="Z48:Z56" si="35">IF(T48=0,0,X48/T48)</f>
        <v>-1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200</v>
      </c>
      <c r="I49" s="2"/>
      <c r="J49" s="7">
        <f t="shared" si="29"/>
        <v>3.9306631028654532E-3</v>
      </c>
      <c r="K49" s="2"/>
      <c r="L49" s="6">
        <f t="shared" si="30"/>
        <v>-200</v>
      </c>
      <c r="M49" s="2"/>
      <c r="N49" s="7">
        <f t="shared" si="31"/>
        <v>-1</v>
      </c>
      <c r="O49" s="11"/>
      <c r="P49" s="6"/>
      <c r="Q49" s="2"/>
      <c r="R49" s="7">
        <f t="shared" si="32"/>
        <v>0</v>
      </c>
      <c r="S49" s="2"/>
      <c r="T49" s="6">
        <v>580</v>
      </c>
      <c r="U49" s="2"/>
      <c r="V49" s="7">
        <f t="shared" si="33"/>
        <v>1.0416292518228511E-2</v>
      </c>
      <c r="W49" s="2"/>
      <c r="X49" s="6">
        <f t="shared" si="34"/>
        <v>-580</v>
      </c>
      <c r="Y49" s="2"/>
      <c r="Z49" s="7">
        <f t="shared" si="35"/>
        <v>-1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-0.44</v>
      </c>
      <c r="E50" s="1"/>
      <c r="F50" s="5">
        <f t="shared" si="28"/>
        <v>-2.496496394264867E-4</v>
      </c>
      <c r="G50" s="1"/>
      <c r="H50" s="1">
        <f>SUM(OSRRefH22_3x_0)</f>
        <v>8</v>
      </c>
      <c r="I50" s="1"/>
      <c r="J50" s="5">
        <f t="shared" si="29"/>
        <v>1.5722652411461814E-4</v>
      </c>
      <c r="K50" s="1"/>
      <c r="L50" s="1">
        <f t="shared" si="30"/>
        <v>-8.44</v>
      </c>
      <c r="M50" s="1"/>
      <c r="N50" s="5">
        <f t="shared" si="31"/>
        <v>-1.0549999999999999</v>
      </c>
      <c r="O50" s="14"/>
      <c r="P50" s="1">
        <f>SUM(OSRRefP22_3x_0)</f>
        <v>3.31</v>
      </c>
      <c r="Q50" s="1"/>
      <c r="R50" s="5">
        <f t="shared" si="32"/>
        <v>1.2797364748092959E-3</v>
      </c>
      <c r="S50" s="1"/>
      <c r="T50" s="1">
        <f>SUM(OSRRefT22_3x_0)</f>
        <v>23</v>
      </c>
      <c r="U50" s="1"/>
      <c r="V50" s="5">
        <f t="shared" si="33"/>
        <v>4.1305987572285476E-4</v>
      </c>
      <c r="W50" s="1"/>
      <c r="X50" s="1">
        <f t="shared" si="34"/>
        <v>-19.690000000000001</v>
      </c>
      <c r="Y50" s="1"/>
      <c r="Z50" s="5">
        <f t="shared" si="35"/>
        <v>-0.85608695652173916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6">
        <v>-0.44</v>
      </c>
      <c r="E51" s="2"/>
      <c r="F51" s="7">
        <f t="shared" si="28"/>
        <v>-2.496496394264867E-4</v>
      </c>
      <c r="G51" s="2"/>
      <c r="H51" s="6">
        <v>8</v>
      </c>
      <c r="I51" s="2"/>
      <c r="J51" s="7">
        <f t="shared" si="29"/>
        <v>1.5722652411461814E-4</v>
      </c>
      <c r="K51" s="2"/>
      <c r="L51" s="6">
        <f t="shared" si="30"/>
        <v>-8.44</v>
      </c>
      <c r="M51" s="2"/>
      <c r="N51" s="7">
        <f t="shared" si="31"/>
        <v>-1.0549999999999999</v>
      </c>
      <c r="O51" s="11"/>
      <c r="P51" s="6">
        <v>3.31</v>
      </c>
      <c r="Q51" s="2"/>
      <c r="R51" s="7">
        <f t="shared" si="32"/>
        <v>1.2797364748092959E-3</v>
      </c>
      <c r="S51" s="2"/>
      <c r="T51" s="6">
        <v>23</v>
      </c>
      <c r="U51" s="2"/>
      <c r="V51" s="7">
        <f t="shared" si="33"/>
        <v>4.1305987572285476E-4</v>
      </c>
      <c r="W51" s="2"/>
      <c r="X51" s="6">
        <f t="shared" si="34"/>
        <v>-19.690000000000001</v>
      </c>
      <c r="Y51" s="2"/>
      <c r="Z51" s="7">
        <f t="shared" si="35"/>
        <v>-0.85608695652173916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110.18</v>
      </c>
      <c r="E52" s="1"/>
      <c r="F52" s="5">
        <f t="shared" si="28"/>
        <v>6.2514539254568888E-2</v>
      </c>
      <c r="G52" s="1"/>
      <c r="H52" s="1">
        <f>SUM(OSRRefH22_4x_0)</f>
        <v>5218</v>
      </c>
      <c r="I52" s="1"/>
      <c r="J52" s="5">
        <f t="shared" si="29"/>
        <v>0.10255100035375968</v>
      </c>
      <c r="K52" s="1"/>
      <c r="L52" s="1">
        <f t="shared" si="30"/>
        <v>-5107.82</v>
      </c>
      <c r="M52" s="1"/>
      <c r="N52" s="5">
        <f t="shared" si="31"/>
        <v>-0.97888463012648519</v>
      </c>
      <c r="O52" s="14"/>
      <c r="P52" s="1">
        <f>SUM(OSRRefP22_4x_0)</f>
        <v>230.18</v>
      </c>
      <c r="Q52" s="1"/>
      <c r="R52" s="5">
        <f t="shared" si="32"/>
        <v>8.8993879689306263E-2</v>
      </c>
      <c r="S52" s="1"/>
      <c r="T52" s="1">
        <f>SUM(OSRRefT22_4x_0)</f>
        <v>6864</v>
      </c>
      <c r="U52" s="1"/>
      <c r="V52" s="5">
        <f t="shared" si="33"/>
        <v>0.12327143421572501</v>
      </c>
      <c r="W52" s="1"/>
      <c r="X52" s="1">
        <f t="shared" si="34"/>
        <v>-6633.82</v>
      </c>
      <c r="Y52" s="1"/>
      <c r="Z52" s="5">
        <f t="shared" si="35"/>
        <v>-0.96646561771561768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6">
        <v>110.18</v>
      </c>
      <c r="E53" s="2"/>
      <c r="F53" s="7">
        <f t="shared" si="28"/>
        <v>6.2514539254568888E-2</v>
      </c>
      <c r="G53" s="2"/>
      <c r="H53" s="6">
        <v>5218</v>
      </c>
      <c r="I53" s="2"/>
      <c r="J53" s="7">
        <f t="shared" si="29"/>
        <v>0.10255100035375968</v>
      </c>
      <c r="K53" s="2"/>
      <c r="L53" s="6">
        <f t="shared" si="30"/>
        <v>-5107.82</v>
      </c>
      <c r="M53" s="2"/>
      <c r="N53" s="7">
        <f t="shared" si="31"/>
        <v>-0.97888463012648519</v>
      </c>
      <c r="O53" s="11"/>
      <c r="P53" s="6">
        <v>230.18</v>
      </c>
      <c r="Q53" s="2"/>
      <c r="R53" s="7">
        <f t="shared" si="32"/>
        <v>8.8993879689306263E-2</v>
      </c>
      <c r="S53" s="2"/>
      <c r="T53" s="6">
        <v>6864</v>
      </c>
      <c r="U53" s="2"/>
      <c r="V53" s="7">
        <f t="shared" si="33"/>
        <v>0.12327143421572501</v>
      </c>
      <c r="W53" s="2"/>
      <c r="X53" s="6">
        <f t="shared" si="34"/>
        <v>-6633.82</v>
      </c>
      <c r="Y53" s="2"/>
      <c r="Z53" s="7">
        <f t="shared" si="35"/>
        <v>-0.96646561771561768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9263.4700000000012</v>
      </c>
      <c r="E54" s="1"/>
      <c r="F54" s="5">
        <f t="shared" si="28"/>
        <v>5.255958966677448</v>
      </c>
      <c r="G54" s="1"/>
      <c r="H54" s="1">
        <f>SUM(OSRRefH22_5x_0)</f>
        <v>8675</v>
      </c>
      <c r="I54" s="1"/>
      <c r="J54" s="5">
        <f t="shared" si="29"/>
        <v>0.17049251208678903</v>
      </c>
      <c r="K54" s="1"/>
      <c r="L54" s="1">
        <f t="shared" si="30"/>
        <v>588.47000000000116</v>
      </c>
      <c r="M54" s="1"/>
      <c r="N54" s="5">
        <f t="shared" si="31"/>
        <v>6.7835158501441062E-2</v>
      </c>
      <c r="O54" s="14"/>
      <c r="P54" s="1">
        <f>SUM(OSRRefP22_5x_0)</f>
        <v>27526.19</v>
      </c>
      <c r="Q54" s="1"/>
      <c r="R54" s="5">
        <f t="shared" si="32"/>
        <v>10.642377448800874</v>
      </c>
      <c r="S54" s="1"/>
      <c r="T54" s="1">
        <f>SUM(OSRRefT22_5x_0)</f>
        <v>26025</v>
      </c>
      <c r="U54" s="1"/>
      <c r="V54" s="5">
        <f t="shared" si="33"/>
        <v>0.46738622894292592</v>
      </c>
      <c r="W54" s="1"/>
      <c r="X54" s="1">
        <f t="shared" si="34"/>
        <v>1501.1899999999987</v>
      </c>
      <c r="Y54" s="1"/>
      <c r="Z54" s="5">
        <f t="shared" si="35"/>
        <v>5.7682612872238179E-2</v>
      </c>
    </row>
    <row r="55" spans="1:26" s="24" customFormat="1" hidden="1" outlineLevel="2" x14ac:dyDescent="0.25">
      <c r="A55" s="29"/>
      <c r="B55" s="11" t="str">
        <f>CONCATENATE("          ", "6321", " - ", "BUILDING DEPRECIATION")</f>
        <v xml:space="preserve">          6321 - BUILDING DEPRECIATION</v>
      </c>
      <c r="C55" s="11"/>
      <c r="D55" s="6">
        <v>5080.51</v>
      </c>
      <c r="E55" s="2"/>
      <c r="F55" s="7">
        <f t="shared" si="28"/>
        <v>2.8826079309151367</v>
      </c>
      <c r="G55" s="2"/>
      <c r="H55" s="6"/>
      <c r="I55" s="2"/>
      <c r="J55" s="7">
        <f t="shared" si="29"/>
        <v>0</v>
      </c>
      <c r="K55" s="2"/>
      <c r="L55" s="6">
        <f t="shared" si="30"/>
        <v>5080.51</v>
      </c>
      <c r="M55" s="2"/>
      <c r="N55" s="7">
        <f t="shared" si="31"/>
        <v>0</v>
      </c>
      <c r="O55" s="11"/>
      <c r="P55" s="6">
        <v>15241.529999999999</v>
      </c>
      <c r="Q55" s="2"/>
      <c r="R55" s="7">
        <f t="shared" si="32"/>
        <v>5.8927921066163522</v>
      </c>
      <c r="S55" s="2"/>
      <c r="T55" s="6"/>
      <c r="U55" s="2"/>
      <c r="V55" s="7">
        <f t="shared" si="33"/>
        <v>0</v>
      </c>
      <c r="W55" s="2"/>
      <c r="X55" s="6">
        <f t="shared" si="34"/>
        <v>15241.529999999999</v>
      </c>
      <c r="Y55" s="2"/>
      <c r="Z55" s="7">
        <f t="shared" si="35"/>
        <v>0</v>
      </c>
    </row>
    <row r="56" spans="1:26" s="24" customFormat="1" hidden="1" outlineLevel="2" x14ac:dyDescent="0.25">
      <c r="A56" s="29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4182.96</v>
      </c>
      <c r="E56" s="2"/>
      <c r="F56" s="7">
        <f t="shared" si="28"/>
        <v>2.3733510357623113</v>
      </c>
      <c r="G56" s="2"/>
      <c r="H56" s="6">
        <v>8675</v>
      </c>
      <c r="I56" s="2"/>
      <c r="J56" s="7">
        <f t="shared" si="29"/>
        <v>0.17049251208678903</v>
      </c>
      <c r="K56" s="2"/>
      <c r="L56" s="6">
        <f t="shared" si="30"/>
        <v>-4492.04</v>
      </c>
      <c r="M56" s="2"/>
      <c r="N56" s="7">
        <f t="shared" si="31"/>
        <v>-0.51781440922190203</v>
      </c>
      <c r="O56" s="11"/>
      <c r="P56" s="6">
        <v>12284.66</v>
      </c>
      <c r="Q56" s="2"/>
      <c r="R56" s="7">
        <f t="shared" si="32"/>
        <v>4.7495853421845213</v>
      </c>
      <c r="S56" s="2"/>
      <c r="T56" s="6">
        <v>26025</v>
      </c>
      <c r="U56" s="2"/>
      <c r="V56" s="7">
        <f t="shared" si="33"/>
        <v>0.46738622894292592</v>
      </c>
      <c r="W56" s="2"/>
      <c r="X56" s="6">
        <f t="shared" si="34"/>
        <v>-13740.34</v>
      </c>
      <c r="Y56" s="2"/>
      <c r="Z56" s="7">
        <f t="shared" si="35"/>
        <v>-0.52796695485110468</v>
      </c>
    </row>
    <row r="57" spans="1:26" s="28" customFormat="1" outlineLevel="1" collapsed="1" x14ac:dyDescent="0.25">
      <c r="A57" s="27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SUM(OSRRefD22_6x_0)</f>
        <v>6.06</v>
      </c>
      <c r="E57" s="1"/>
      <c r="F57" s="5">
        <f t="shared" ref="F57:F71" si="36">IF(D$12=0,0,D57/D$12)</f>
        <v>3.4383563975557033E-3</v>
      </c>
      <c r="G57" s="1"/>
      <c r="H57" s="1">
        <f>SUM(OSRRefH22_6x_0)</f>
        <v>0</v>
      </c>
      <c r="I57" s="1"/>
      <c r="J57" s="5">
        <f t="shared" ref="J57:J71" si="37">IF(H$12=0,0,H57/H$12)</f>
        <v>0</v>
      </c>
      <c r="K57" s="1"/>
      <c r="L57" s="1">
        <f t="shared" ref="L57:L71" si="38">+D57-H57</f>
        <v>6.06</v>
      </c>
      <c r="M57" s="1"/>
      <c r="N57" s="5">
        <f t="shared" ref="N57:N71" si="39">IF(H57=0,0,L57/H57)</f>
        <v>0</v>
      </c>
      <c r="O57" s="14"/>
      <c r="P57" s="1">
        <f>SUM(OSRRefP22_6x_0)</f>
        <v>10</v>
      </c>
      <c r="Q57" s="1"/>
      <c r="R57" s="5">
        <f t="shared" ref="R57:R71" si="40">IF(P$12=0,0,P57/P$12)</f>
        <v>3.866273337792435E-3</v>
      </c>
      <c r="S57" s="1"/>
      <c r="T57" s="1">
        <f>SUM(OSRRefT22_6x_0)</f>
        <v>0</v>
      </c>
      <c r="U57" s="1"/>
      <c r="V57" s="5">
        <f t="shared" ref="V57:V71" si="41">IF(T$12=0,0,T57/T$12)</f>
        <v>0</v>
      </c>
      <c r="W57" s="1"/>
      <c r="X57" s="1">
        <f t="shared" ref="X57:X71" si="42">+P57-T57</f>
        <v>10</v>
      </c>
      <c r="Y57" s="1"/>
      <c r="Z57" s="5">
        <f t="shared" ref="Z57:Z71" si="43">IF(T57=0,0,X57/T57)</f>
        <v>0</v>
      </c>
    </row>
    <row r="58" spans="1:26" s="24" customFormat="1" hidden="1" outlineLevel="2" x14ac:dyDescent="0.25">
      <c r="A58" s="29"/>
      <c r="B58" s="11" t="str">
        <f>CONCATENATE("          ", "6305", " - ", "FREIGHT OUT")</f>
        <v xml:space="preserve">          6305 - FREIGHT OUT</v>
      </c>
      <c r="C58" s="11"/>
      <c r="D58" s="6">
        <v>6.06</v>
      </c>
      <c r="E58" s="2"/>
      <c r="F58" s="7">
        <f t="shared" si="36"/>
        <v>3.4383563975557033E-3</v>
      </c>
      <c r="G58" s="2"/>
      <c r="H58" s="6"/>
      <c r="I58" s="2"/>
      <c r="J58" s="7">
        <f t="shared" si="37"/>
        <v>0</v>
      </c>
      <c r="K58" s="2"/>
      <c r="L58" s="6">
        <f t="shared" si="38"/>
        <v>6.06</v>
      </c>
      <c r="M58" s="2"/>
      <c r="N58" s="7">
        <f t="shared" si="39"/>
        <v>0</v>
      </c>
      <c r="O58" s="11"/>
      <c r="P58" s="6">
        <v>10</v>
      </c>
      <c r="Q58" s="2"/>
      <c r="R58" s="7">
        <f t="shared" si="40"/>
        <v>3.866273337792435E-3</v>
      </c>
      <c r="S58" s="2"/>
      <c r="T58" s="6"/>
      <c r="U58" s="2"/>
      <c r="V58" s="7">
        <f t="shared" si="41"/>
        <v>0</v>
      </c>
      <c r="W58" s="2"/>
      <c r="X58" s="6">
        <f t="shared" si="42"/>
        <v>10</v>
      </c>
      <c r="Y58" s="2"/>
      <c r="Z58" s="7">
        <f t="shared" si="43"/>
        <v>0</v>
      </c>
    </row>
    <row r="59" spans="1:26" s="28" customFormat="1" outlineLevel="1" collapsed="1" x14ac:dyDescent="0.25">
      <c r="A59" s="27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SUM(OSRRefD22_7x_0)</f>
        <v>0</v>
      </c>
      <c r="E59" s="1"/>
      <c r="F59" s="5">
        <f t="shared" si="36"/>
        <v>0</v>
      </c>
      <c r="G59" s="1"/>
      <c r="H59" s="1">
        <f>SUM(OSRRefH22_7x_0)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4"/>
      <c r="P59" s="1">
        <f>SUM(OSRRefP22_7x_0)</f>
        <v>1509.1</v>
      </c>
      <c r="Q59" s="1"/>
      <c r="R59" s="5">
        <f t="shared" si="40"/>
        <v>0.58345930940625634</v>
      </c>
      <c r="S59" s="1"/>
      <c r="T59" s="1">
        <f>SUM(OSRRefT22_7x_0)</f>
        <v>3150</v>
      </c>
      <c r="U59" s="1"/>
      <c r="V59" s="5">
        <f t="shared" si="41"/>
        <v>5.6571243848999676E-2</v>
      </c>
      <c r="W59" s="1"/>
      <c r="X59" s="1">
        <f t="shared" si="42"/>
        <v>-1640.9</v>
      </c>
      <c r="Y59" s="1"/>
      <c r="Z59" s="5">
        <f t="shared" si="43"/>
        <v>-0.5209206349206349</v>
      </c>
    </row>
    <row r="60" spans="1:26" s="24" customFormat="1" hidden="1" outlineLevel="2" x14ac:dyDescent="0.25">
      <c r="A60" s="29"/>
      <c r="B60" s="11" t="str">
        <f>CONCATENATE("          ", "6279", " - ", "GENERAL EXPENSE")</f>
        <v xml:space="preserve">          6279 - GENERAL EXPENSE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>
        <v>1509.1</v>
      </c>
      <c r="Q60" s="2"/>
      <c r="R60" s="7">
        <f t="shared" si="40"/>
        <v>0.58345930940625634</v>
      </c>
      <c r="S60" s="2"/>
      <c r="T60" s="6">
        <v>3150</v>
      </c>
      <c r="U60" s="2"/>
      <c r="V60" s="7">
        <f t="shared" si="41"/>
        <v>5.6571243848999676E-2</v>
      </c>
      <c r="W60" s="2"/>
      <c r="X60" s="6">
        <f t="shared" si="42"/>
        <v>-1640.9</v>
      </c>
      <c r="Y60" s="2"/>
      <c r="Z60" s="7">
        <f t="shared" si="43"/>
        <v>-0.5209206349206349</v>
      </c>
    </row>
    <row r="61" spans="1:26" s="28" customFormat="1" outlineLevel="1" collapsed="1" x14ac:dyDescent="0.25">
      <c r="A61" s="27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SUM(OSRRefD22_8x_0)</f>
        <v>243.54</v>
      </c>
      <c r="E61" s="1"/>
      <c r="F61" s="5">
        <f t="shared" si="36"/>
        <v>0.13818107542256039</v>
      </c>
      <c r="G61" s="1"/>
      <c r="H61" s="1">
        <f>SUM(OSRRefH22_8x_0)</f>
        <v>270</v>
      </c>
      <c r="I61" s="1"/>
      <c r="J61" s="5">
        <f t="shared" si="37"/>
        <v>5.3063951888683621E-3</v>
      </c>
      <c r="K61" s="1"/>
      <c r="L61" s="1">
        <f t="shared" si="38"/>
        <v>-26.460000000000008</v>
      </c>
      <c r="M61" s="1"/>
      <c r="N61" s="5">
        <f t="shared" si="39"/>
        <v>-9.8000000000000032E-2</v>
      </c>
      <c r="O61" s="14"/>
      <c r="P61" s="1">
        <f>SUM(OSRRefP22_8x_0)</f>
        <v>730.62</v>
      </c>
      <c r="Q61" s="1"/>
      <c r="R61" s="5">
        <f t="shared" si="40"/>
        <v>0.28247766260579088</v>
      </c>
      <c r="S61" s="1"/>
      <c r="T61" s="1">
        <f>SUM(OSRRefT22_8x_0)</f>
        <v>810</v>
      </c>
      <c r="U61" s="1"/>
      <c r="V61" s="5">
        <f t="shared" si="41"/>
        <v>1.4546891275457059E-2</v>
      </c>
      <c r="W61" s="1"/>
      <c r="X61" s="1">
        <f t="shared" si="42"/>
        <v>-79.38</v>
      </c>
      <c r="Y61" s="1"/>
      <c r="Z61" s="5">
        <f t="shared" si="43"/>
        <v>-9.799999999999999E-2</v>
      </c>
    </row>
    <row r="62" spans="1:26" s="24" customFormat="1" hidden="1" outlineLevel="2" x14ac:dyDescent="0.25">
      <c r="A62" s="29"/>
      <c r="B62" s="11" t="str">
        <f>CONCATENATE("          ", "6314", " - ", "LIABILITY INSURANCE")</f>
        <v xml:space="preserve">          6314 - LIABILITY INSURANCE</v>
      </c>
      <c r="C62" s="11"/>
      <c r="D62" s="6">
        <v>243.54</v>
      </c>
      <c r="E62" s="2"/>
      <c r="F62" s="7">
        <f t="shared" si="36"/>
        <v>0.13818107542256039</v>
      </c>
      <c r="G62" s="2"/>
      <c r="H62" s="6">
        <v>270</v>
      </c>
      <c r="I62" s="2"/>
      <c r="J62" s="7">
        <f t="shared" si="37"/>
        <v>5.3063951888683621E-3</v>
      </c>
      <c r="K62" s="2"/>
      <c r="L62" s="6">
        <f t="shared" si="38"/>
        <v>-26.460000000000008</v>
      </c>
      <c r="M62" s="2"/>
      <c r="N62" s="7">
        <f t="shared" si="39"/>
        <v>-9.8000000000000032E-2</v>
      </c>
      <c r="O62" s="11"/>
      <c r="P62" s="6">
        <v>730.62</v>
      </c>
      <c r="Q62" s="2"/>
      <c r="R62" s="7">
        <f t="shared" si="40"/>
        <v>0.28247766260579088</v>
      </c>
      <c r="S62" s="2"/>
      <c r="T62" s="6">
        <v>810</v>
      </c>
      <c r="U62" s="2"/>
      <c r="V62" s="7">
        <f t="shared" si="41"/>
        <v>1.4546891275457059E-2</v>
      </c>
      <c r="W62" s="2"/>
      <c r="X62" s="6">
        <f t="shared" si="42"/>
        <v>-79.38</v>
      </c>
      <c r="Y62" s="2"/>
      <c r="Z62" s="7">
        <f t="shared" si="43"/>
        <v>-9.799999999999999E-2</v>
      </c>
    </row>
    <row r="63" spans="1:26" s="28" customFormat="1" outlineLevel="1" collapsed="1" x14ac:dyDescent="0.25">
      <c r="A63" s="27"/>
      <c r="B63" s="14" t="str">
        <f>CONCATENATE("     ","Interest                                          ")</f>
        <v xml:space="preserve">     Interest                                          </v>
      </c>
      <c r="C63" s="14"/>
      <c r="D63" s="1">
        <f>SUM(OSRRefD22_9x_0)</f>
        <v>4044</v>
      </c>
      <c r="E63" s="1"/>
      <c r="F63" s="5">
        <f t="shared" si="36"/>
        <v>2.2945071405470734</v>
      </c>
      <c r="G63" s="1"/>
      <c r="H63" s="1">
        <f>SUM(OSRRefH22_9x_0)</f>
        <v>4044</v>
      </c>
      <c r="I63" s="1"/>
      <c r="J63" s="5">
        <f t="shared" si="37"/>
        <v>7.9478007939939463E-2</v>
      </c>
      <c r="K63" s="1"/>
      <c r="L63" s="1">
        <f t="shared" si="38"/>
        <v>0</v>
      </c>
      <c r="M63" s="1"/>
      <c r="N63" s="5">
        <f t="shared" si="39"/>
        <v>0</v>
      </c>
      <c r="O63" s="14"/>
      <c r="P63" s="1">
        <f>SUM(OSRRefP22_9x_0)</f>
        <v>12132</v>
      </c>
      <c r="Q63" s="1"/>
      <c r="R63" s="5">
        <f t="shared" si="40"/>
        <v>4.6905628134097821</v>
      </c>
      <c r="S63" s="1"/>
      <c r="T63" s="1">
        <f>SUM(OSRRefT22_9x_0)</f>
        <v>12132</v>
      </c>
      <c r="U63" s="1"/>
      <c r="V63" s="5">
        <f t="shared" si="41"/>
        <v>0.21788010488129017</v>
      </c>
      <c r="W63" s="1"/>
      <c r="X63" s="1">
        <f t="shared" si="42"/>
        <v>0</v>
      </c>
      <c r="Y63" s="1"/>
      <c r="Z63" s="5">
        <f t="shared" si="43"/>
        <v>0</v>
      </c>
    </row>
    <row r="64" spans="1:26" s="24" customFormat="1" hidden="1" outlineLevel="2" x14ac:dyDescent="0.25">
      <c r="A64" s="29"/>
      <c r="B64" s="11" t="str">
        <f>CONCATENATE("          ", "6401", " - ", "INTEREST EXPENSE")</f>
        <v xml:space="preserve">          6401 - INTEREST EXPENSE</v>
      </c>
      <c r="C64" s="11"/>
      <c r="D64" s="6">
        <v>4044</v>
      </c>
      <c r="E64" s="2"/>
      <c r="F64" s="7">
        <f t="shared" si="36"/>
        <v>2.2945071405470734</v>
      </c>
      <c r="G64" s="2"/>
      <c r="H64" s="6">
        <v>4044</v>
      </c>
      <c r="I64" s="2"/>
      <c r="J64" s="7">
        <f t="shared" si="37"/>
        <v>7.9478007939939463E-2</v>
      </c>
      <c r="K64" s="2"/>
      <c r="L64" s="6">
        <f t="shared" si="38"/>
        <v>0</v>
      </c>
      <c r="M64" s="2"/>
      <c r="N64" s="7">
        <f t="shared" si="39"/>
        <v>0</v>
      </c>
      <c r="O64" s="11"/>
      <c r="P64" s="6">
        <v>12132</v>
      </c>
      <c r="Q64" s="2"/>
      <c r="R64" s="7">
        <f t="shared" si="40"/>
        <v>4.6905628134097821</v>
      </c>
      <c r="S64" s="2"/>
      <c r="T64" s="6">
        <v>12132</v>
      </c>
      <c r="U64" s="2"/>
      <c r="V64" s="7">
        <f t="shared" si="41"/>
        <v>0.21788010488129017</v>
      </c>
      <c r="W64" s="2"/>
      <c r="X64" s="6">
        <f t="shared" si="42"/>
        <v>0</v>
      </c>
      <c r="Y64" s="2"/>
      <c r="Z64" s="7">
        <f t="shared" si="43"/>
        <v>0</v>
      </c>
    </row>
    <row r="65" spans="1:26" s="28" customFormat="1" outlineLevel="1" collapsed="1" x14ac:dyDescent="0.25">
      <c r="A65" s="27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SUM(OSRRefD22_10x_0)</f>
        <v>0</v>
      </c>
      <c r="E65" s="1"/>
      <c r="F65" s="5">
        <f t="shared" si="36"/>
        <v>0</v>
      </c>
      <c r="G65" s="1"/>
      <c r="H65" s="1">
        <f>SUM(OSRRefH22_10x_0)</f>
        <v>0</v>
      </c>
      <c r="I65" s="1"/>
      <c r="J65" s="5">
        <f t="shared" si="37"/>
        <v>0</v>
      </c>
      <c r="K65" s="1"/>
      <c r="L65" s="1">
        <f t="shared" si="38"/>
        <v>0</v>
      </c>
      <c r="M65" s="1"/>
      <c r="N65" s="5">
        <f t="shared" si="39"/>
        <v>0</v>
      </c>
      <c r="O65" s="14"/>
      <c r="P65" s="1">
        <f>SUM(OSRRefP22_10x_0)</f>
        <v>0</v>
      </c>
      <c r="Q65" s="1"/>
      <c r="R65" s="5">
        <f t="shared" si="40"/>
        <v>0</v>
      </c>
      <c r="S65" s="1"/>
      <c r="T65" s="1">
        <f>SUM(OSRRefT22_10x_0)</f>
        <v>0</v>
      </c>
      <c r="U65" s="1"/>
      <c r="V65" s="5">
        <f t="shared" si="41"/>
        <v>0</v>
      </c>
      <c r="W65" s="1"/>
      <c r="X65" s="1">
        <f t="shared" si="42"/>
        <v>0</v>
      </c>
      <c r="Y65" s="1"/>
      <c r="Z65" s="5">
        <f t="shared" si="43"/>
        <v>0</v>
      </c>
    </row>
    <row r="66" spans="1:26" s="24" customFormat="1" hidden="1" outlineLevel="2" x14ac:dyDescent="0.25">
      <c r="A66" s="29"/>
      <c r="B66" s="11" t="str">
        <f>CONCATENATE("          ", "6273", " - ", "RENT")</f>
        <v xml:space="preserve">          6273 - RENT</v>
      </c>
      <c r="C66" s="11"/>
      <c r="D66" s="6"/>
      <c r="E66" s="2"/>
      <c r="F66" s="7">
        <f t="shared" si="36"/>
        <v>0</v>
      </c>
      <c r="G66" s="2"/>
      <c r="H66" s="6">
        <v>0</v>
      </c>
      <c r="I66" s="2"/>
      <c r="J66" s="7">
        <f t="shared" si="37"/>
        <v>0</v>
      </c>
      <c r="K66" s="2"/>
      <c r="L66" s="6">
        <f t="shared" si="38"/>
        <v>0</v>
      </c>
      <c r="M66" s="2"/>
      <c r="N66" s="7">
        <f t="shared" si="39"/>
        <v>0</v>
      </c>
      <c r="O66" s="11"/>
      <c r="P66" s="6"/>
      <c r="Q66" s="2"/>
      <c r="R66" s="7">
        <f t="shared" si="40"/>
        <v>0</v>
      </c>
      <c r="S66" s="2"/>
      <c r="T66" s="6">
        <v>0</v>
      </c>
      <c r="U66" s="2"/>
      <c r="V66" s="7">
        <f t="shared" si="41"/>
        <v>0</v>
      </c>
      <c r="W66" s="2"/>
      <c r="X66" s="6">
        <f t="shared" si="42"/>
        <v>0</v>
      </c>
      <c r="Y66" s="2"/>
      <c r="Z66" s="7">
        <f t="shared" si="43"/>
        <v>0</v>
      </c>
    </row>
    <row r="67" spans="1:26" s="28" customFormat="1" outlineLevel="1" collapsed="1" x14ac:dyDescent="0.25">
      <c r="A67" s="27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SUM(OSRRefD22_11x_0)</f>
        <v>529.01</v>
      </c>
      <c r="E67" s="1"/>
      <c r="F67" s="5">
        <f t="shared" si="36"/>
        <v>0.30015262671137666</v>
      </c>
      <c r="G67" s="1"/>
      <c r="H67" s="1">
        <f>SUM(OSRRefH22_11x_0)</f>
        <v>774</v>
      </c>
      <c r="I67" s="1"/>
      <c r="J67" s="5">
        <f t="shared" si="37"/>
        <v>1.5211666208089305E-2</v>
      </c>
      <c r="K67" s="1"/>
      <c r="L67" s="1">
        <f t="shared" si="38"/>
        <v>-244.99</v>
      </c>
      <c r="M67" s="1"/>
      <c r="N67" s="5">
        <f t="shared" si="39"/>
        <v>-0.31652454780361761</v>
      </c>
      <c r="O67" s="14"/>
      <c r="P67" s="1">
        <f>SUM(OSRRefP22_11x_0)</f>
        <v>1086.71</v>
      </c>
      <c r="Q67" s="1"/>
      <c r="R67" s="5">
        <f t="shared" si="40"/>
        <v>0.42015178989124169</v>
      </c>
      <c r="S67" s="1"/>
      <c r="T67" s="1">
        <f>SUM(OSRRefT22_11x_0)</f>
        <v>1209</v>
      </c>
      <c r="U67" s="1"/>
      <c r="V67" s="5">
        <f t="shared" si="41"/>
        <v>2.171258216299702E-2</v>
      </c>
      <c r="W67" s="1"/>
      <c r="X67" s="1">
        <f t="shared" si="42"/>
        <v>-122.28999999999996</v>
      </c>
      <c r="Y67" s="1"/>
      <c r="Z67" s="5">
        <f t="shared" si="43"/>
        <v>-0.10114971050454918</v>
      </c>
    </row>
    <row r="68" spans="1:26" s="24" customFormat="1" hidden="1" outlineLevel="2" x14ac:dyDescent="0.25">
      <c r="A68" s="29"/>
      <c r="B68" s="11" t="str">
        <f>CONCATENATE("          ", "6371", " - ", "COMPUTER SOFTWARE MAINTENANCE")</f>
        <v xml:space="preserve">          6371 - COMPUTER SOFTWARE MAINTENANCE</v>
      </c>
      <c r="C68" s="11"/>
      <c r="D68" s="6"/>
      <c r="E68" s="2"/>
      <c r="F68" s="7">
        <f t="shared" si="36"/>
        <v>0</v>
      </c>
      <c r="G68" s="2"/>
      <c r="H68" s="6">
        <v>43</v>
      </c>
      <c r="I68" s="2"/>
      <c r="J68" s="7">
        <f t="shared" si="37"/>
        <v>8.4509256711607251E-4</v>
      </c>
      <c r="K68" s="2"/>
      <c r="L68" s="6">
        <f t="shared" si="38"/>
        <v>-43</v>
      </c>
      <c r="M68" s="2"/>
      <c r="N68" s="7">
        <f t="shared" si="39"/>
        <v>-1</v>
      </c>
      <c r="O68" s="11"/>
      <c r="P68" s="6"/>
      <c r="Q68" s="2"/>
      <c r="R68" s="7">
        <f t="shared" si="40"/>
        <v>0</v>
      </c>
      <c r="S68" s="2"/>
      <c r="T68" s="6">
        <v>43</v>
      </c>
      <c r="U68" s="2"/>
      <c r="V68" s="7">
        <f t="shared" si="41"/>
        <v>7.7224237635142412E-4</v>
      </c>
      <c r="W68" s="2"/>
      <c r="X68" s="6">
        <f t="shared" si="42"/>
        <v>-43</v>
      </c>
      <c r="Y68" s="2"/>
      <c r="Z68" s="7">
        <f t="shared" si="43"/>
        <v>-1</v>
      </c>
    </row>
    <row r="69" spans="1:26" s="24" customFormat="1" hidden="1" outlineLevel="2" x14ac:dyDescent="0.25">
      <c r="A69" s="29"/>
      <c r="B69" s="11" t="str">
        <f>CONCATENATE("          ", "6372", " - ", "COMPUTER HARDWARE MAINTENANCE")</f>
        <v xml:space="preserve">          6372 - COMPUTER HARDWARE MAINTENANCE</v>
      </c>
      <c r="C69" s="11"/>
      <c r="D69" s="6"/>
      <c r="E69" s="2"/>
      <c r="F69" s="7">
        <f t="shared" si="36"/>
        <v>0</v>
      </c>
      <c r="G69" s="2"/>
      <c r="H69" s="6">
        <v>437</v>
      </c>
      <c r="I69" s="2"/>
      <c r="J69" s="7">
        <f t="shared" si="37"/>
        <v>8.5884988797610157E-3</v>
      </c>
      <c r="K69" s="2"/>
      <c r="L69" s="6">
        <f t="shared" si="38"/>
        <v>-437</v>
      </c>
      <c r="M69" s="2"/>
      <c r="N69" s="7">
        <f t="shared" si="39"/>
        <v>-1</v>
      </c>
      <c r="O69" s="11"/>
      <c r="P69" s="6"/>
      <c r="Q69" s="2"/>
      <c r="R69" s="7">
        <f t="shared" si="40"/>
        <v>0</v>
      </c>
      <c r="S69" s="2"/>
      <c r="T69" s="6">
        <v>437</v>
      </c>
      <c r="U69" s="2"/>
      <c r="V69" s="7">
        <f t="shared" si="41"/>
        <v>7.8481376387342407E-3</v>
      </c>
      <c r="W69" s="2"/>
      <c r="X69" s="6">
        <f t="shared" si="42"/>
        <v>-437</v>
      </c>
      <c r="Y69" s="2"/>
      <c r="Z69" s="7">
        <f t="shared" si="43"/>
        <v>-1</v>
      </c>
    </row>
    <row r="70" spans="1:26" s="24" customFormat="1" hidden="1" outlineLevel="2" x14ac:dyDescent="0.25">
      <c r="A70" s="29"/>
      <c r="B70" s="11" t="str">
        <f>CONCATENATE("          ", "6373", " - ", "MAINTENANCE CONTRACTS")</f>
        <v xml:space="preserve">          6373 - MAINTENANCE CONTRACTS</v>
      </c>
      <c r="C70" s="11"/>
      <c r="D70" s="6">
        <v>301.45</v>
      </c>
      <c r="E70" s="2"/>
      <c r="F70" s="7">
        <f t="shared" si="36"/>
        <v>0.17103837228435095</v>
      </c>
      <c r="G70" s="2"/>
      <c r="H70" s="6"/>
      <c r="I70" s="2"/>
      <c r="J70" s="7">
        <f t="shared" si="37"/>
        <v>0</v>
      </c>
      <c r="K70" s="2"/>
      <c r="L70" s="6">
        <f t="shared" si="38"/>
        <v>301.45</v>
      </c>
      <c r="M70" s="2"/>
      <c r="N70" s="7">
        <f t="shared" si="39"/>
        <v>0</v>
      </c>
      <c r="O70" s="11"/>
      <c r="P70" s="6">
        <v>655.15</v>
      </c>
      <c r="Q70" s="2"/>
      <c r="R70" s="7">
        <f t="shared" si="40"/>
        <v>0.25329889772547137</v>
      </c>
      <c r="S70" s="2"/>
      <c r="T70" s="6"/>
      <c r="U70" s="2"/>
      <c r="V70" s="7">
        <f t="shared" si="41"/>
        <v>0</v>
      </c>
      <c r="W70" s="2"/>
      <c r="X70" s="6">
        <f t="shared" si="42"/>
        <v>655.15</v>
      </c>
      <c r="Y70" s="2"/>
      <c r="Z70" s="7">
        <f t="shared" si="43"/>
        <v>0</v>
      </c>
    </row>
    <row r="71" spans="1:26" s="24" customFormat="1" hidden="1" outlineLevel="2" x14ac:dyDescent="0.25">
      <c r="A71" s="29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227.56</v>
      </c>
      <c r="E71" s="2"/>
      <c r="F71" s="7">
        <f t="shared" si="36"/>
        <v>0.12911425442702573</v>
      </c>
      <c r="G71" s="2"/>
      <c r="H71" s="6">
        <v>294</v>
      </c>
      <c r="I71" s="2"/>
      <c r="J71" s="7">
        <f t="shared" si="37"/>
        <v>5.7780747612122168E-3</v>
      </c>
      <c r="K71" s="2"/>
      <c r="L71" s="6">
        <f t="shared" si="38"/>
        <v>-66.44</v>
      </c>
      <c r="M71" s="2"/>
      <c r="N71" s="7">
        <f t="shared" si="39"/>
        <v>-0.22598639455782313</v>
      </c>
      <c r="O71" s="11"/>
      <c r="P71" s="6">
        <v>431.56</v>
      </c>
      <c r="Q71" s="2"/>
      <c r="R71" s="7">
        <f t="shared" si="40"/>
        <v>0.16685289216577032</v>
      </c>
      <c r="S71" s="2"/>
      <c r="T71" s="6">
        <v>729</v>
      </c>
      <c r="U71" s="2"/>
      <c r="V71" s="7">
        <f t="shared" si="41"/>
        <v>1.3092202147911354E-2</v>
      </c>
      <c r="W71" s="2"/>
      <c r="X71" s="6">
        <f t="shared" si="42"/>
        <v>-297.44</v>
      </c>
      <c r="Y71" s="2"/>
      <c r="Z71" s="7">
        <f t="shared" si="43"/>
        <v>-0.40801097393689983</v>
      </c>
    </row>
    <row r="72" spans="1:26" s="28" customFormat="1" outlineLevel="1" collapsed="1" x14ac:dyDescent="0.25">
      <c r="A72" s="27"/>
      <c r="B72" s="14" t="str">
        <f>CONCATENATE("     ","Royalty &amp; Commissions                             ")</f>
        <v xml:space="preserve">     Royalty &amp; Commissions                             </v>
      </c>
      <c r="C72" s="14"/>
      <c r="D72" s="1">
        <f>SUM(OSRRefD22_12x_0)</f>
        <v>0</v>
      </c>
      <c r="E72" s="1"/>
      <c r="F72" s="5">
        <f t="shared" ref="F72:F78" si="44">IF(D$12=0,0,D72/D$12)</f>
        <v>0</v>
      </c>
      <c r="G72" s="1"/>
      <c r="H72" s="1">
        <f>SUM(OSRRefH22_12x_0)</f>
        <v>857</v>
      </c>
      <c r="I72" s="1"/>
      <c r="J72" s="5">
        <f t="shared" ref="J72:J78" si="45">IF(H$12=0,0,H72/H$12)</f>
        <v>1.6842891395778468E-2</v>
      </c>
      <c r="K72" s="1"/>
      <c r="L72" s="1">
        <f t="shared" ref="L72:L78" si="46">+D72-H72</f>
        <v>-857</v>
      </c>
      <c r="M72" s="1"/>
      <c r="N72" s="5">
        <f t="shared" ref="N72:N78" si="47">IF(H72=0,0,L72/H72)</f>
        <v>-1</v>
      </c>
      <c r="O72" s="14"/>
      <c r="P72" s="1">
        <f>SUM(OSRRefP22_12x_0)</f>
        <v>0</v>
      </c>
      <c r="Q72" s="1"/>
      <c r="R72" s="5">
        <f t="shared" ref="R72:R78" si="48">IF(P$12=0,0,P72/P$12)</f>
        <v>0</v>
      </c>
      <c r="S72" s="1"/>
      <c r="T72" s="1">
        <f>SUM(OSRRefT22_12x_0)</f>
        <v>987</v>
      </c>
      <c r="U72" s="1"/>
      <c r="V72" s="5">
        <f t="shared" ref="V72:V78" si="49">IF(T$12=0,0,T72/T$12)</f>
        <v>1.7725656406019898E-2</v>
      </c>
      <c r="W72" s="1"/>
      <c r="X72" s="1">
        <f t="shared" ref="X72:X78" si="50">+P72-T72</f>
        <v>-987</v>
      </c>
      <c r="Y72" s="1"/>
      <c r="Z72" s="5">
        <f t="shared" ref="Z72:Z78" si="51">IF(T72=0,0,X72/T72)</f>
        <v>-1</v>
      </c>
    </row>
    <row r="73" spans="1:26" s="24" customFormat="1" hidden="1" outlineLevel="2" x14ac:dyDescent="0.25">
      <c r="A73" s="29"/>
      <c r="B73" s="11" t="str">
        <f>CONCATENATE("          ", "6259", " - ", "ROYALTY &amp; COMMISSIONS")</f>
        <v xml:space="preserve">          6259 - ROYALTY &amp; COMMISSIONS</v>
      </c>
      <c r="C73" s="11"/>
      <c r="D73" s="6"/>
      <c r="E73" s="2"/>
      <c r="F73" s="7">
        <f t="shared" si="44"/>
        <v>0</v>
      </c>
      <c r="G73" s="2"/>
      <c r="H73" s="6">
        <v>857</v>
      </c>
      <c r="I73" s="2"/>
      <c r="J73" s="7">
        <f t="shared" si="45"/>
        <v>1.6842891395778468E-2</v>
      </c>
      <c r="K73" s="2"/>
      <c r="L73" s="6">
        <f t="shared" si="46"/>
        <v>-857</v>
      </c>
      <c r="M73" s="2"/>
      <c r="N73" s="7">
        <f t="shared" si="47"/>
        <v>-1</v>
      </c>
      <c r="O73" s="11"/>
      <c r="P73" s="6"/>
      <c r="Q73" s="2"/>
      <c r="R73" s="7">
        <f t="shared" si="48"/>
        <v>0</v>
      </c>
      <c r="S73" s="2"/>
      <c r="T73" s="6">
        <v>987</v>
      </c>
      <c r="U73" s="2"/>
      <c r="V73" s="7">
        <f t="shared" si="49"/>
        <v>1.7725656406019898E-2</v>
      </c>
      <c r="W73" s="2"/>
      <c r="X73" s="6">
        <f t="shared" si="50"/>
        <v>-987</v>
      </c>
      <c r="Y73" s="2"/>
      <c r="Z73" s="7">
        <f t="shared" si="51"/>
        <v>-1</v>
      </c>
    </row>
    <row r="74" spans="1:26" s="28" customFormat="1" outlineLevel="1" collapsed="1" x14ac:dyDescent="0.25">
      <c r="A74" s="27"/>
      <c r="B74" s="14" t="str">
        <f>CONCATENATE("     ","Services                                          ")</f>
        <v xml:space="preserve">     Services                                          </v>
      </c>
      <c r="C74" s="14"/>
      <c r="D74" s="1">
        <f>SUM(OSRRefD22_13x_0)</f>
        <v>41</v>
      </c>
      <c r="E74" s="1"/>
      <c r="F74" s="5">
        <f t="shared" si="44"/>
        <v>2.3262807310195352E-2</v>
      </c>
      <c r="G74" s="1"/>
      <c r="H74" s="1">
        <f>SUM(OSRRefH22_13x_0)</f>
        <v>791</v>
      </c>
      <c r="I74" s="1"/>
      <c r="J74" s="5">
        <f t="shared" si="45"/>
        <v>1.5545772571832869E-2</v>
      </c>
      <c r="K74" s="1"/>
      <c r="L74" s="1">
        <f t="shared" si="46"/>
        <v>-750</v>
      </c>
      <c r="M74" s="1"/>
      <c r="N74" s="5">
        <f t="shared" si="47"/>
        <v>-0.94816687737041716</v>
      </c>
      <c r="O74" s="14"/>
      <c r="P74" s="1">
        <f>SUM(OSRRefP22_13x_0)</f>
        <v>-1532.76</v>
      </c>
      <c r="Q74" s="1"/>
      <c r="R74" s="5">
        <f t="shared" si="48"/>
        <v>-0.59260691212347327</v>
      </c>
      <c r="S74" s="1"/>
      <c r="T74" s="1">
        <f>SUM(OSRRefT22_13x_0)</f>
        <v>2139</v>
      </c>
      <c r="U74" s="1"/>
      <c r="V74" s="5">
        <f t="shared" si="49"/>
        <v>3.8414568442225495E-2</v>
      </c>
      <c r="W74" s="1"/>
      <c r="X74" s="1">
        <f t="shared" si="50"/>
        <v>-3671.76</v>
      </c>
      <c r="Y74" s="1"/>
      <c r="Z74" s="5">
        <f t="shared" si="51"/>
        <v>-1.716577840112202</v>
      </c>
    </row>
    <row r="75" spans="1:26" s="24" customFormat="1" hidden="1" outlineLevel="2" x14ac:dyDescent="0.25">
      <c r="A75" s="29"/>
      <c r="B75" s="11" t="str">
        <f>CONCATENATE("          ", "6282", " - ", "JANITORIAL/EXTERMINATOR EXPENS")</f>
        <v xml:space="preserve">          6282 - JANITORIAL/EXTERMINATOR EXPENS</v>
      </c>
      <c r="C75" s="11"/>
      <c r="D75" s="6">
        <v>41</v>
      </c>
      <c r="E75" s="2"/>
      <c r="F75" s="7">
        <f t="shared" si="44"/>
        <v>2.3262807310195352E-2</v>
      </c>
      <c r="G75" s="2"/>
      <c r="H75" s="6"/>
      <c r="I75" s="2"/>
      <c r="J75" s="7">
        <f t="shared" si="45"/>
        <v>0</v>
      </c>
      <c r="K75" s="2"/>
      <c r="L75" s="6">
        <f t="shared" si="46"/>
        <v>41</v>
      </c>
      <c r="M75" s="2"/>
      <c r="N75" s="7">
        <f t="shared" si="47"/>
        <v>0</v>
      </c>
      <c r="O75" s="11"/>
      <c r="P75" s="6">
        <v>-728.16</v>
      </c>
      <c r="Q75" s="2"/>
      <c r="R75" s="7">
        <f t="shared" si="48"/>
        <v>-0.28152655936469395</v>
      </c>
      <c r="S75" s="2"/>
      <c r="T75" s="6">
        <v>314</v>
      </c>
      <c r="U75" s="2"/>
      <c r="V75" s="7">
        <f t="shared" si="49"/>
        <v>5.6391652598685388E-3</v>
      </c>
      <c r="W75" s="2"/>
      <c r="X75" s="6">
        <f t="shared" si="50"/>
        <v>-1042.1599999999999</v>
      </c>
      <c r="Y75" s="2"/>
      <c r="Z75" s="7">
        <f t="shared" si="51"/>
        <v>-3.318980891719745</v>
      </c>
    </row>
    <row r="76" spans="1:26" s="24" customFormat="1" hidden="1" outlineLevel="2" x14ac:dyDescent="0.25">
      <c r="A76" s="29"/>
      <c r="B76" s="11" t="str">
        <f>CONCATENATE("          ", "6284", " - ", "TRASH REMOVAL EXPENSE")</f>
        <v xml:space="preserve">          6284 - TRASH REMOVAL EXPENSE</v>
      </c>
      <c r="C76" s="11"/>
      <c r="D76" s="6"/>
      <c r="E76" s="2"/>
      <c r="F76" s="7">
        <f t="shared" si="44"/>
        <v>0</v>
      </c>
      <c r="G76" s="2"/>
      <c r="H76" s="6">
        <v>237</v>
      </c>
      <c r="I76" s="2"/>
      <c r="J76" s="7">
        <f t="shared" si="45"/>
        <v>4.6578357768955626E-3</v>
      </c>
      <c r="K76" s="2"/>
      <c r="L76" s="6">
        <f t="shared" si="46"/>
        <v>-237</v>
      </c>
      <c r="M76" s="2"/>
      <c r="N76" s="7">
        <f t="shared" si="47"/>
        <v>-1</v>
      </c>
      <c r="O76" s="11"/>
      <c r="P76" s="6"/>
      <c r="Q76" s="2"/>
      <c r="R76" s="7">
        <f t="shared" si="48"/>
        <v>0</v>
      </c>
      <c r="S76" s="2"/>
      <c r="T76" s="6">
        <v>474</v>
      </c>
      <c r="U76" s="2"/>
      <c r="V76" s="7">
        <f t="shared" si="49"/>
        <v>8.5126252648970949E-3</v>
      </c>
      <c r="W76" s="2"/>
      <c r="X76" s="6">
        <f t="shared" si="50"/>
        <v>-474</v>
      </c>
      <c r="Y76" s="2"/>
      <c r="Z76" s="7">
        <f t="shared" si="51"/>
        <v>-1</v>
      </c>
    </row>
    <row r="77" spans="1:26" s="24" customFormat="1" hidden="1" outlineLevel="2" x14ac:dyDescent="0.25">
      <c r="A77" s="29"/>
      <c r="B77" s="11" t="str">
        <f>CONCATENATE("          ", "6285", " - ", "JANITORIAL SERVICES")</f>
        <v xml:space="preserve">          6285 - JANITORIAL SERVICES</v>
      </c>
      <c r="C77" s="11"/>
      <c r="D77" s="6"/>
      <c r="E77" s="2"/>
      <c r="F77" s="7">
        <f t="shared" si="44"/>
        <v>0</v>
      </c>
      <c r="G77" s="2"/>
      <c r="H77" s="6">
        <v>450</v>
      </c>
      <c r="I77" s="2"/>
      <c r="J77" s="7">
        <f t="shared" si="45"/>
        <v>8.8439919814472696E-3</v>
      </c>
      <c r="K77" s="2"/>
      <c r="L77" s="6">
        <f t="shared" si="46"/>
        <v>-450</v>
      </c>
      <c r="M77" s="2"/>
      <c r="N77" s="7">
        <f t="shared" si="47"/>
        <v>-1</v>
      </c>
      <c r="O77" s="11"/>
      <c r="P77" s="6">
        <v>-804.6</v>
      </c>
      <c r="Q77" s="2"/>
      <c r="R77" s="7">
        <f t="shared" si="48"/>
        <v>-0.31108035275877932</v>
      </c>
      <c r="S77" s="2"/>
      <c r="T77" s="6">
        <v>1063</v>
      </c>
      <c r="U77" s="2"/>
      <c r="V77" s="7">
        <f t="shared" si="49"/>
        <v>1.9090549908408461E-2</v>
      </c>
      <c r="W77" s="2"/>
      <c r="X77" s="6">
        <f t="shared" si="50"/>
        <v>-1867.6</v>
      </c>
      <c r="Y77" s="2"/>
      <c r="Z77" s="7">
        <f t="shared" si="51"/>
        <v>-1.7569143932267168</v>
      </c>
    </row>
    <row r="78" spans="1:26" s="24" customFormat="1" hidden="1" outlineLevel="2" x14ac:dyDescent="0.25">
      <c r="A78" s="29"/>
      <c r="B78" s="11" t="str">
        <f>CONCATENATE("          ", "6286", " - ", "LAUNDRY EXPENSE")</f>
        <v xml:space="preserve">          6286 - LAUNDRY EXPENSE</v>
      </c>
      <c r="C78" s="11"/>
      <c r="D78" s="6"/>
      <c r="E78" s="2"/>
      <c r="F78" s="7">
        <f t="shared" si="44"/>
        <v>0</v>
      </c>
      <c r="G78" s="2"/>
      <c r="H78" s="6">
        <v>104</v>
      </c>
      <c r="I78" s="2"/>
      <c r="J78" s="7">
        <f t="shared" si="45"/>
        <v>2.043944813490036E-3</v>
      </c>
      <c r="K78" s="2"/>
      <c r="L78" s="6">
        <f t="shared" si="46"/>
        <v>-104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288</v>
      </c>
      <c r="U78" s="2"/>
      <c r="V78" s="7">
        <f t="shared" si="49"/>
        <v>5.1722280090513986E-3</v>
      </c>
      <c r="W78" s="2"/>
      <c r="X78" s="6">
        <f t="shared" si="50"/>
        <v>-288</v>
      </c>
      <c r="Y78" s="2"/>
      <c r="Z78" s="7">
        <f t="shared" si="51"/>
        <v>-1</v>
      </c>
    </row>
    <row r="79" spans="1:26" s="28" customFormat="1" outlineLevel="1" collapsed="1" x14ac:dyDescent="0.25">
      <c r="A79" s="27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1">
        <f>SUM(OSRRefD22_14x_0)</f>
        <v>0</v>
      </c>
      <c r="E79" s="1"/>
      <c r="F79" s="5">
        <f t="shared" ref="F79:F88" si="52">IF(D$12=0,0,D79/D$12)</f>
        <v>0</v>
      </c>
      <c r="G79" s="1"/>
      <c r="H79" s="1">
        <f>SUM(OSRRefH22_14x_0)</f>
        <v>176</v>
      </c>
      <c r="I79" s="1"/>
      <c r="J79" s="5">
        <f t="shared" ref="J79:J88" si="53">IF(H$12=0,0,H79/H$12)</f>
        <v>3.458983530521599E-3</v>
      </c>
      <c r="K79" s="1"/>
      <c r="L79" s="1">
        <f t="shared" ref="L79:L88" si="54">+D79-H79</f>
        <v>-176</v>
      </c>
      <c r="M79" s="1"/>
      <c r="N79" s="5">
        <f t="shared" ref="N79:N88" si="55">IF(H79=0,0,L79/H79)</f>
        <v>-1</v>
      </c>
      <c r="O79" s="14"/>
      <c r="P79" s="1">
        <f>SUM(OSRRefP22_14x_0)</f>
        <v>0</v>
      </c>
      <c r="Q79" s="1"/>
      <c r="R79" s="5">
        <f t="shared" ref="R79:R88" si="56">IF(P$12=0,0,P79/P$12)</f>
        <v>0</v>
      </c>
      <c r="S79" s="1"/>
      <c r="T79" s="1">
        <f>SUM(OSRRefT22_14x_0)</f>
        <v>528</v>
      </c>
      <c r="U79" s="1"/>
      <c r="V79" s="5">
        <f t="shared" ref="V79:V88" si="57">IF(T$12=0,0,T79/T$12)</f>
        <v>9.4824180165942323E-3</v>
      </c>
      <c r="W79" s="1"/>
      <c r="X79" s="1">
        <f t="shared" ref="X79:X88" si="58">+P79-T79</f>
        <v>-528</v>
      </c>
      <c r="Y79" s="1"/>
      <c r="Z79" s="5">
        <f t="shared" ref="Z79:Z88" si="59">IF(T79=0,0,X79/T79)</f>
        <v>-1</v>
      </c>
    </row>
    <row r="80" spans="1:26" s="24" customFormat="1" hidden="1" outlineLevel="2" x14ac:dyDescent="0.25">
      <c r="A80" s="29"/>
      <c r="B80" s="11" t="str">
        <f>CONCATENATE("          ", "6275", " - ", "SUBSCRIPTIONS")</f>
        <v xml:space="preserve">          6275 - SUBSCRIPTIONS</v>
      </c>
      <c r="C80" s="11"/>
      <c r="D80" s="6"/>
      <c r="E80" s="2"/>
      <c r="F80" s="7">
        <f t="shared" si="52"/>
        <v>0</v>
      </c>
      <c r="G80" s="2"/>
      <c r="H80" s="6">
        <v>176</v>
      </c>
      <c r="I80" s="2"/>
      <c r="J80" s="7">
        <f t="shared" si="53"/>
        <v>3.458983530521599E-3</v>
      </c>
      <c r="K80" s="2"/>
      <c r="L80" s="6">
        <f t="shared" si="54"/>
        <v>-176</v>
      </c>
      <c r="M80" s="2"/>
      <c r="N80" s="7">
        <f t="shared" si="55"/>
        <v>-1</v>
      </c>
      <c r="O80" s="11"/>
      <c r="P80" s="6"/>
      <c r="Q80" s="2"/>
      <c r="R80" s="7">
        <f t="shared" si="56"/>
        <v>0</v>
      </c>
      <c r="S80" s="2"/>
      <c r="T80" s="6">
        <v>528</v>
      </c>
      <c r="U80" s="2"/>
      <c r="V80" s="7">
        <f t="shared" si="57"/>
        <v>9.4824180165942323E-3</v>
      </c>
      <c r="W80" s="2"/>
      <c r="X80" s="6">
        <f t="shared" si="58"/>
        <v>-528</v>
      </c>
      <c r="Y80" s="2"/>
      <c r="Z80" s="7">
        <f t="shared" si="59"/>
        <v>-1</v>
      </c>
    </row>
    <row r="81" spans="1:26" s="28" customFormat="1" outlineLevel="1" collapsed="1" x14ac:dyDescent="0.25">
      <c r="A81" s="27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SUM(OSRRefD22_15x_0)</f>
        <v>724.22</v>
      </c>
      <c r="E81" s="1"/>
      <c r="F81" s="5">
        <f t="shared" si="52"/>
        <v>0.41091195878511416</v>
      </c>
      <c r="G81" s="1"/>
      <c r="H81" s="1">
        <f>SUM(OSRRefH22_15x_0)</f>
        <v>6763</v>
      </c>
      <c r="I81" s="1"/>
      <c r="J81" s="5">
        <f t="shared" si="53"/>
        <v>0.1329153728233953</v>
      </c>
      <c r="K81" s="1"/>
      <c r="L81" s="1">
        <f t="shared" si="54"/>
        <v>-6038.78</v>
      </c>
      <c r="M81" s="1"/>
      <c r="N81" s="5">
        <f t="shared" si="55"/>
        <v>-0.89291438710631377</v>
      </c>
      <c r="O81" s="14"/>
      <c r="P81" s="1">
        <f>SUM(OSRRefP22_15x_0)</f>
        <v>1053.0899999999999</v>
      </c>
      <c r="Q81" s="1"/>
      <c r="R81" s="5">
        <f t="shared" si="56"/>
        <v>0.40715337892958348</v>
      </c>
      <c r="S81" s="1"/>
      <c r="T81" s="1">
        <f>SUM(OSRRefT22_15x_0)</f>
        <v>10055</v>
      </c>
      <c r="U81" s="1"/>
      <c r="V81" s="5">
        <f t="shared" si="57"/>
        <v>0.18057900219101325</v>
      </c>
      <c r="W81" s="1"/>
      <c r="X81" s="1">
        <f t="shared" si="58"/>
        <v>-9001.91</v>
      </c>
      <c r="Y81" s="1"/>
      <c r="Z81" s="5">
        <f t="shared" si="59"/>
        <v>-0.89526703132769769</v>
      </c>
    </row>
    <row r="82" spans="1:26" s="24" customFormat="1" hidden="1" outlineLevel="2" x14ac:dyDescent="0.25">
      <c r="A82" s="29"/>
      <c r="B82" s="11" t="str">
        <f>CONCATENATE("          ", "6234", " - ", "EXPENDABLE SUPPLIES &amp; EQUIPMEN")</f>
        <v xml:space="preserve">          6234 - EXPENDABLE SUPPLIES &amp; EQUIPMEN</v>
      </c>
      <c r="C82" s="11"/>
      <c r="D82" s="6">
        <v>316.67</v>
      </c>
      <c r="E82" s="2"/>
      <c r="F82" s="7">
        <f t="shared" si="52"/>
        <v>0.1796739802663308</v>
      </c>
      <c r="G82" s="2"/>
      <c r="H82" s="6"/>
      <c r="I82" s="2"/>
      <c r="J82" s="7">
        <f t="shared" si="53"/>
        <v>0</v>
      </c>
      <c r="K82" s="2"/>
      <c r="L82" s="6">
        <f t="shared" si="54"/>
        <v>316.67</v>
      </c>
      <c r="M82" s="2"/>
      <c r="N82" s="7">
        <f t="shared" si="55"/>
        <v>0</v>
      </c>
      <c r="O82" s="11"/>
      <c r="P82" s="6">
        <v>316.67</v>
      </c>
      <c r="Q82" s="2"/>
      <c r="R82" s="7">
        <f t="shared" si="56"/>
        <v>0.12243327778787304</v>
      </c>
      <c r="S82" s="2"/>
      <c r="T82" s="6"/>
      <c r="U82" s="2"/>
      <c r="V82" s="7">
        <f t="shared" si="57"/>
        <v>0</v>
      </c>
      <c r="W82" s="2"/>
      <c r="X82" s="6">
        <f t="shared" si="58"/>
        <v>316.67</v>
      </c>
      <c r="Y82" s="2"/>
      <c r="Z82" s="7">
        <f t="shared" si="59"/>
        <v>0</v>
      </c>
    </row>
    <row r="83" spans="1:26" s="24" customFormat="1" hidden="1" outlineLevel="2" x14ac:dyDescent="0.25">
      <c r="A83" s="29"/>
      <c r="B83" s="11" t="str">
        <f>CONCATENATE("          ", "6235", " - ", "COVID-19 EXPENSES")</f>
        <v xml:space="preserve">          6235 - COVID-19 EXPENSES</v>
      </c>
      <c r="C83" s="11"/>
      <c r="D83" s="6"/>
      <c r="E83" s="2"/>
      <c r="F83" s="7">
        <f t="shared" si="52"/>
        <v>0</v>
      </c>
      <c r="G83" s="2"/>
      <c r="H83" s="6">
        <v>500</v>
      </c>
      <c r="I83" s="2"/>
      <c r="J83" s="7">
        <f t="shared" si="53"/>
        <v>9.8266577571636329E-3</v>
      </c>
      <c r="K83" s="2"/>
      <c r="L83" s="6">
        <f t="shared" si="54"/>
        <v>-500</v>
      </c>
      <c r="M83" s="2"/>
      <c r="N83" s="7">
        <f t="shared" si="55"/>
        <v>-1</v>
      </c>
      <c r="O83" s="11"/>
      <c r="P83" s="6">
        <v>207.27</v>
      </c>
      <c r="Q83" s="2"/>
      <c r="R83" s="7">
        <f t="shared" si="56"/>
        <v>8.0136247472423802E-2</v>
      </c>
      <c r="S83" s="2"/>
      <c r="T83" s="6">
        <v>1700</v>
      </c>
      <c r="U83" s="2"/>
      <c r="V83" s="7">
        <f t="shared" si="57"/>
        <v>3.0530512553428396E-2</v>
      </c>
      <c r="W83" s="2"/>
      <c r="X83" s="6">
        <f t="shared" si="58"/>
        <v>-1492.73</v>
      </c>
      <c r="Y83" s="2"/>
      <c r="Z83" s="7">
        <f t="shared" si="59"/>
        <v>-0.87807647058823535</v>
      </c>
    </row>
    <row r="84" spans="1:26" s="24" customFormat="1" hidden="1" outlineLevel="2" x14ac:dyDescent="0.25">
      <c r="A84" s="29"/>
      <c r="B84" s="11" t="str">
        <f>CONCATENATE("          ", "6237", " - ", "JANITORIAL SUPPLIES")</f>
        <v xml:space="preserve">          6237 - JANITORIAL SUPPLIES</v>
      </c>
      <c r="C84" s="11"/>
      <c r="D84" s="6">
        <v>317.57</v>
      </c>
      <c r="E84" s="2"/>
      <c r="F84" s="7">
        <f t="shared" si="52"/>
        <v>0.18018462725606679</v>
      </c>
      <c r="G84" s="2"/>
      <c r="H84" s="6"/>
      <c r="I84" s="2"/>
      <c r="J84" s="7">
        <f t="shared" si="53"/>
        <v>0</v>
      </c>
      <c r="K84" s="2"/>
      <c r="L84" s="6">
        <f t="shared" si="54"/>
        <v>317.57</v>
      </c>
      <c r="M84" s="2"/>
      <c r="N84" s="7">
        <f t="shared" si="55"/>
        <v>0</v>
      </c>
      <c r="O84" s="11"/>
      <c r="P84" s="6">
        <v>317.57</v>
      </c>
      <c r="Q84" s="2"/>
      <c r="R84" s="7">
        <f t="shared" si="56"/>
        <v>0.12278124238827436</v>
      </c>
      <c r="S84" s="2"/>
      <c r="T84" s="6"/>
      <c r="U84" s="2"/>
      <c r="V84" s="7">
        <f t="shared" si="57"/>
        <v>0</v>
      </c>
      <c r="W84" s="2"/>
      <c r="X84" s="6">
        <f t="shared" si="58"/>
        <v>317.57</v>
      </c>
      <c r="Y84" s="2"/>
      <c r="Z84" s="7">
        <f t="shared" si="59"/>
        <v>0</v>
      </c>
    </row>
    <row r="85" spans="1:26" s="24" customFormat="1" hidden="1" outlineLevel="2" x14ac:dyDescent="0.25">
      <c r="A85" s="29"/>
      <c r="B85" s="11" t="str">
        <f>CONCATENATE("          ", "6241", " - ", "OFFICE EXPENSE")</f>
        <v xml:space="preserve">          6241 - OFFICE EXPENSE</v>
      </c>
      <c r="C85" s="11"/>
      <c r="D85" s="6">
        <v>89.98</v>
      </c>
      <c r="E85" s="2"/>
      <c r="F85" s="7">
        <f t="shared" si="52"/>
        <v>5.105335126271654E-2</v>
      </c>
      <c r="G85" s="2"/>
      <c r="H85" s="6"/>
      <c r="I85" s="2"/>
      <c r="J85" s="7">
        <f t="shared" si="53"/>
        <v>0</v>
      </c>
      <c r="K85" s="2"/>
      <c r="L85" s="6">
        <f t="shared" si="54"/>
        <v>89.98</v>
      </c>
      <c r="M85" s="2"/>
      <c r="N85" s="7">
        <f t="shared" si="55"/>
        <v>0</v>
      </c>
      <c r="O85" s="11"/>
      <c r="P85" s="6">
        <v>131.30000000000001</v>
      </c>
      <c r="Q85" s="2"/>
      <c r="R85" s="7">
        <f t="shared" si="56"/>
        <v>5.0764168925214674E-2</v>
      </c>
      <c r="S85" s="2"/>
      <c r="T85" s="6"/>
      <c r="U85" s="2"/>
      <c r="V85" s="7">
        <f t="shared" si="57"/>
        <v>0</v>
      </c>
      <c r="W85" s="2"/>
      <c r="X85" s="6">
        <f t="shared" si="58"/>
        <v>131.30000000000001</v>
      </c>
      <c r="Y85" s="2"/>
      <c r="Z85" s="7">
        <f t="shared" si="59"/>
        <v>0</v>
      </c>
    </row>
    <row r="86" spans="1:26" s="24" customFormat="1" hidden="1" outlineLevel="2" x14ac:dyDescent="0.25">
      <c r="A86" s="29"/>
      <c r="B86" s="11" t="str">
        <f>CONCATENATE("          ", "6243", " - ", "PAPER SUPPLIES")</f>
        <v xml:space="preserve">          6243 - PAPER SUPPLIES</v>
      </c>
      <c r="C86" s="11"/>
      <c r="D86" s="6"/>
      <c r="E86" s="2"/>
      <c r="F86" s="7">
        <f t="shared" si="52"/>
        <v>0</v>
      </c>
      <c r="G86" s="2"/>
      <c r="H86" s="6">
        <v>152</v>
      </c>
      <c r="I86" s="2"/>
      <c r="J86" s="7">
        <f t="shared" si="53"/>
        <v>2.9873039581777448E-3</v>
      </c>
      <c r="K86" s="2"/>
      <c r="L86" s="6">
        <f t="shared" si="54"/>
        <v>-152</v>
      </c>
      <c r="M86" s="2"/>
      <c r="N86" s="7">
        <f t="shared" si="55"/>
        <v>-1</v>
      </c>
      <c r="O86" s="11"/>
      <c r="P86" s="6"/>
      <c r="Q86" s="2"/>
      <c r="R86" s="7">
        <f t="shared" si="56"/>
        <v>0</v>
      </c>
      <c r="S86" s="2"/>
      <c r="T86" s="6">
        <v>345</v>
      </c>
      <c r="U86" s="2"/>
      <c r="V86" s="7">
        <f t="shared" si="57"/>
        <v>6.1958981358428214E-3</v>
      </c>
      <c r="W86" s="2"/>
      <c r="X86" s="6">
        <f t="shared" si="58"/>
        <v>-345</v>
      </c>
      <c r="Y86" s="2"/>
      <c r="Z86" s="7">
        <f t="shared" si="59"/>
        <v>-1</v>
      </c>
    </row>
    <row r="87" spans="1:26" s="24" customFormat="1" hidden="1" outlineLevel="2" x14ac:dyDescent="0.25">
      <c r="A87" s="29"/>
      <c r="B87" s="11" t="str">
        <f>CONCATENATE("          ", "6247", " - ", "STORE SUPPLIES")</f>
        <v xml:space="preserve">          6247 - STORE SUPPLIES</v>
      </c>
      <c r="C87" s="11"/>
      <c r="D87" s="6"/>
      <c r="E87" s="2"/>
      <c r="F87" s="7">
        <f t="shared" si="52"/>
        <v>0</v>
      </c>
      <c r="G87" s="2"/>
      <c r="H87" s="6">
        <v>6111</v>
      </c>
      <c r="I87" s="2"/>
      <c r="J87" s="7">
        <f t="shared" si="53"/>
        <v>0.12010141110805393</v>
      </c>
      <c r="K87" s="2"/>
      <c r="L87" s="6">
        <f t="shared" si="54"/>
        <v>-6111</v>
      </c>
      <c r="M87" s="2"/>
      <c r="N87" s="7">
        <f t="shared" si="55"/>
        <v>-1</v>
      </c>
      <c r="O87" s="11"/>
      <c r="P87" s="6">
        <v>80.28</v>
      </c>
      <c r="Q87" s="2"/>
      <c r="R87" s="7">
        <f t="shared" si="56"/>
        <v>3.1038442355797669E-2</v>
      </c>
      <c r="S87" s="2"/>
      <c r="T87" s="6">
        <v>7910</v>
      </c>
      <c r="U87" s="2"/>
      <c r="V87" s="7">
        <f t="shared" si="57"/>
        <v>0.1420566789985992</v>
      </c>
      <c r="W87" s="2"/>
      <c r="X87" s="6">
        <f t="shared" si="58"/>
        <v>-7829.72</v>
      </c>
      <c r="Y87" s="2"/>
      <c r="Z87" s="7">
        <f t="shared" si="59"/>
        <v>-0.98985082174462713</v>
      </c>
    </row>
    <row r="88" spans="1:26" s="24" customFormat="1" hidden="1" outlineLevel="2" x14ac:dyDescent="0.25">
      <c r="A88" s="29"/>
      <c r="B88" s="11" t="str">
        <f>CONCATENATE("          ", "6248", " - ", "UNIFORMS")</f>
        <v xml:space="preserve">          6248 - UNIFORMS</v>
      </c>
      <c r="C88" s="11"/>
      <c r="D88" s="6"/>
      <c r="E88" s="2"/>
      <c r="F88" s="7">
        <f t="shared" si="52"/>
        <v>0</v>
      </c>
      <c r="G88" s="2"/>
      <c r="H88" s="6"/>
      <c r="I88" s="2"/>
      <c r="J88" s="7">
        <f t="shared" si="53"/>
        <v>0</v>
      </c>
      <c r="K88" s="2"/>
      <c r="L88" s="6">
        <f t="shared" si="54"/>
        <v>0</v>
      </c>
      <c r="M88" s="2"/>
      <c r="N88" s="7">
        <f t="shared" si="55"/>
        <v>0</v>
      </c>
      <c r="O88" s="11"/>
      <c r="P88" s="6"/>
      <c r="Q88" s="2"/>
      <c r="R88" s="7">
        <f t="shared" si="56"/>
        <v>0</v>
      </c>
      <c r="S88" s="2"/>
      <c r="T88" s="6">
        <v>100</v>
      </c>
      <c r="U88" s="2"/>
      <c r="V88" s="7">
        <f t="shared" si="57"/>
        <v>1.7959125031428468E-3</v>
      </c>
      <c r="W88" s="2"/>
      <c r="X88" s="6">
        <f t="shared" si="58"/>
        <v>-100</v>
      </c>
      <c r="Y88" s="2"/>
      <c r="Z88" s="7">
        <f t="shared" si="59"/>
        <v>-1</v>
      </c>
    </row>
    <row r="89" spans="1:26" s="28" customFormat="1" outlineLevel="1" collapsed="1" x14ac:dyDescent="0.25">
      <c r="A89" s="27"/>
      <c r="B89" s="14" t="str">
        <f>CONCATENATE("     ","Telephone/Data Lines                              ")</f>
        <v xml:space="preserve">     Telephone/Data Lines                              </v>
      </c>
      <c r="C89" s="14"/>
      <c r="D89" s="1">
        <f>SUM(OSRRefD22_16x_0)</f>
        <v>328.87</v>
      </c>
      <c r="E89" s="1"/>
      <c r="F89" s="5">
        <f t="shared" ref="F89:F91" si="60">IF(D$12=0,0,D89/D$12)</f>
        <v>0.18659608390497429</v>
      </c>
      <c r="G89" s="1"/>
      <c r="H89" s="1">
        <f>SUM(OSRRefH22_16x_0)</f>
        <v>235</v>
      </c>
      <c r="I89" s="1"/>
      <c r="J89" s="5">
        <f t="shared" ref="J89:J91" si="61">IF(H$12=0,0,H89/H$12)</f>
        <v>4.6185291458669077E-3</v>
      </c>
      <c r="K89" s="1"/>
      <c r="L89" s="1">
        <f t="shared" ref="L89:L91" si="62">+D89-H89</f>
        <v>93.87</v>
      </c>
      <c r="M89" s="1"/>
      <c r="N89" s="5">
        <f t="shared" ref="N89:N91" si="63">IF(H89=0,0,L89/H89)</f>
        <v>0.3994468085106383</v>
      </c>
      <c r="O89" s="14"/>
      <c r="P89" s="1">
        <f>SUM(OSRRefP22_16x_0)</f>
        <v>1106.24</v>
      </c>
      <c r="Q89" s="1"/>
      <c r="R89" s="5">
        <f t="shared" ref="R89:R91" si="64">IF(P$12=0,0,P89/P$12)</f>
        <v>0.42770262171995033</v>
      </c>
      <c r="S89" s="1"/>
      <c r="T89" s="1">
        <f>SUM(OSRRefT22_16x_0)</f>
        <v>852</v>
      </c>
      <c r="U89" s="1"/>
      <c r="V89" s="5">
        <f t="shared" ref="V89:V91" si="65">IF(T$12=0,0,T89/T$12)</f>
        <v>1.5301174526777055E-2</v>
      </c>
      <c r="W89" s="1"/>
      <c r="X89" s="1">
        <f t="shared" ref="X89:X91" si="66">+P89-T89</f>
        <v>254.24</v>
      </c>
      <c r="Y89" s="1"/>
      <c r="Z89" s="5">
        <f t="shared" ref="Z89:Z91" si="67">IF(T89=0,0,X89/T89)</f>
        <v>0.29840375586854462</v>
      </c>
    </row>
    <row r="90" spans="1:26" s="24" customFormat="1" hidden="1" outlineLevel="2" x14ac:dyDescent="0.25">
      <c r="A90" s="29"/>
      <c r="B90" s="11" t="str">
        <f>CONCATENATE("          ", "6303", " - ", "DATA PHONE LINES")</f>
        <v xml:space="preserve">          6303 - DATA PHONE LINES</v>
      </c>
      <c r="C90" s="11"/>
      <c r="D90" s="6"/>
      <c r="E90" s="2"/>
      <c r="F90" s="7">
        <f t="shared" si="60"/>
        <v>0</v>
      </c>
      <c r="G90" s="2"/>
      <c r="H90" s="6">
        <v>235</v>
      </c>
      <c r="I90" s="2"/>
      <c r="J90" s="7">
        <f t="shared" si="61"/>
        <v>4.6185291458669077E-3</v>
      </c>
      <c r="K90" s="2"/>
      <c r="L90" s="6">
        <f t="shared" si="62"/>
        <v>-235</v>
      </c>
      <c r="M90" s="2"/>
      <c r="N90" s="7">
        <f t="shared" si="63"/>
        <v>-1</v>
      </c>
      <c r="O90" s="11"/>
      <c r="P90" s="6"/>
      <c r="Q90" s="2"/>
      <c r="R90" s="7">
        <f t="shared" si="64"/>
        <v>0</v>
      </c>
      <c r="S90" s="2"/>
      <c r="T90" s="6">
        <v>702</v>
      </c>
      <c r="U90" s="2"/>
      <c r="V90" s="7">
        <f t="shared" si="65"/>
        <v>1.2607305772062784E-2</v>
      </c>
      <c r="W90" s="2"/>
      <c r="X90" s="6">
        <f t="shared" si="66"/>
        <v>-702</v>
      </c>
      <c r="Y90" s="2"/>
      <c r="Z90" s="7">
        <f t="shared" si="67"/>
        <v>-1</v>
      </c>
    </row>
    <row r="91" spans="1:26" s="24" customFormat="1" hidden="1" outlineLevel="2" x14ac:dyDescent="0.25">
      <c r="A91" s="29"/>
      <c r="B91" s="11" t="str">
        <f>CONCATENATE("          ", "6309", " - ", "TELEPHONE")</f>
        <v xml:space="preserve">          6309 - TELEPHONE</v>
      </c>
      <c r="C91" s="11"/>
      <c r="D91" s="6">
        <v>328.87</v>
      </c>
      <c r="E91" s="2"/>
      <c r="F91" s="7">
        <f t="shared" si="60"/>
        <v>0.18659608390497429</v>
      </c>
      <c r="G91" s="2"/>
      <c r="H91" s="6"/>
      <c r="I91" s="2"/>
      <c r="J91" s="7">
        <f t="shared" si="61"/>
        <v>0</v>
      </c>
      <c r="K91" s="2"/>
      <c r="L91" s="6">
        <f t="shared" si="62"/>
        <v>328.87</v>
      </c>
      <c r="M91" s="2"/>
      <c r="N91" s="7">
        <f t="shared" si="63"/>
        <v>0</v>
      </c>
      <c r="O91" s="11"/>
      <c r="P91" s="6">
        <v>1106.24</v>
      </c>
      <c r="Q91" s="2"/>
      <c r="R91" s="7">
        <f t="shared" si="64"/>
        <v>0.42770262171995033</v>
      </c>
      <c r="S91" s="2"/>
      <c r="T91" s="6">
        <v>150</v>
      </c>
      <c r="U91" s="2"/>
      <c r="V91" s="7">
        <f t="shared" si="65"/>
        <v>2.6938687547142701E-3</v>
      </c>
      <c r="W91" s="2"/>
      <c r="X91" s="6">
        <f t="shared" si="66"/>
        <v>956.24</v>
      </c>
      <c r="Y91" s="2"/>
      <c r="Z91" s="7">
        <f t="shared" si="67"/>
        <v>6.3749333333333338</v>
      </c>
    </row>
    <row r="92" spans="1:26" s="28" customFormat="1" outlineLevel="1" collapsed="1" x14ac:dyDescent="0.25">
      <c r="A92" s="27"/>
      <c r="B92" s="14" t="str">
        <f>CONCATENATE("     ","Training                                          ")</f>
        <v xml:space="preserve">     Training                                          </v>
      </c>
      <c r="C92" s="14"/>
      <c r="D92" s="1">
        <f>SUM(OSRRefD22_17x_0)</f>
        <v>0</v>
      </c>
      <c r="E92" s="1"/>
      <c r="F92" s="5">
        <f t="shared" ref="F92:F95" si="68">IF(D$12=0,0,D92/D$12)</f>
        <v>0</v>
      </c>
      <c r="G92" s="1"/>
      <c r="H92" s="1">
        <f>SUM(OSRRefH22_17x_0)</f>
        <v>0</v>
      </c>
      <c r="I92" s="1"/>
      <c r="J92" s="5">
        <f t="shared" ref="J92:J95" si="69">IF(H$12=0,0,H92/H$12)</f>
        <v>0</v>
      </c>
      <c r="K92" s="1"/>
      <c r="L92" s="1">
        <f t="shared" ref="L92:L95" si="70">+D92-H92</f>
        <v>0</v>
      </c>
      <c r="M92" s="1"/>
      <c r="N92" s="5">
        <f t="shared" ref="N92:N95" si="71">IF(H92=0,0,L92/H92)</f>
        <v>0</v>
      </c>
      <c r="O92" s="14"/>
      <c r="P92" s="1">
        <f>SUM(OSRRefP22_17x_0)</f>
        <v>0</v>
      </c>
      <c r="Q92" s="1"/>
      <c r="R92" s="5">
        <f t="shared" ref="R92:R95" si="72">IF(P$12=0,0,P92/P$12)</f>
        <v>0</v>
      </c>
      <c r="S92" s="1"/>
      <c r="T92" s="1">
        <f>SUM(OSRRefT22_17x_0)</f>
        <v>120</v>
      </c>
      <c r="U92" s="1"/>
      <c r="V92" s="5">
        <f t="shared" ref="V92:V95" si="73">IF(T$12=0,0,T92/T$12)</f>
        <v>2.1550950037714164E-3</v>
      </c>
      <c r="W92" s="1"/>
      <c r="X92" s="1">
        <f t="shared" ref="X92:X95" si="74">+P92-T92</f>
        <v>-120</v>
      </c>
      <c r="Y92" s="1"/>
      <c r="Z92" s="5">
        <f t="shared" ref="Z92:Z95" si="75">IF(T92=0,0,X92/T92)</f>
        <v>-1</v>
      </c>
    </row>
    <row r="93" spans="1:26" s="24" customFormat="1" hidden="1" outlineLevel="2" x14ac:dyDescent="0.25">
      <c r="A93" s="29"/>
      <c r="B93" s="11" t="str">
        <f>CONCATENATE("          ", "6376", " - ", "TRAINING")</f>
        <v xml:space="preserve">          6376 - TRAINING</v>
      </c>
      <c r="C93" s="11"/>
      <c r="D93" s="6"/>
      <c r="E93" s="2"/>
      <c r="F93" s="7">
        <f t="shared" si="68"/>
        <v>0</v>
      </c>
      <c r="G93" s="2"/>
      <c r="H93" s="6"/>
      <c r="I93" s="2"/>
      <c r="J93" s="7">
        <f t="shared" si="69"/>
        <v>0</v>
      </c>
      <c r="K93" s="2"/>
      <c r="L93" s="6">
        <f t="shared" si="70"/>
        <v>0</v>
      </c>
      <c r="M93" s="2"/>
      <c r="N93" s="7">
        <f t="shared" si="71"/>
        <v>0</v>
      </c>
      <c r="O93" s="11"/>
      <c r="P93" s="6"/>
      <c r="Q93" s="2"/>
      <c r="R93" s="7">
        <f t="shared" si="72"/>
        <v>0</v>
      </c>
      <c r="S93" s="2"/>
      <c r="T93" s="6">
        <v>120</v>
      </c>
      <c r="U93" s="2"/>
      <c r="V93" s="7">
        <f t="shared" si="73"/>
        <v>2.1550950037714164E-3</v>
      </c>
      <c r="W93" s="2"/>
      <c r="X93" s="6">
        <f t="shared" si="74"/>
        <v>-120</v>
      </c>
      <c r="Y93" s="2"/>
      <c r="Z93" s="7">
        <f t="shared" si="75"/>
        <v>-1</v>
      </c>
    </row>
    <row r="94" spans="1:26" s="28" customFormat="1" outlineLevel="1" collapsed="1" x14ac:dyDescent="0.25">
      <c r="A94" s="27"/>
      <c r="B94" s="14" t="str">
        <f>CONCATENATE("     ","Utilities                                         ")</f>
        <v xml:space="preserve">     Utilities                                         </v>
      </c>
      <c r="C94" s="14"/>
      <c r="D94" s="1">
        <f>SUM(OSRRefD22_18x_0)</f>
        <v>50</v>
      </c>
      <c r="E94" s="1"/>
      <c r="F94" s="5">
        <f t="shared" si="68"/>
        <v>2.8369277207555308E-2</v>
      </c>
      <c r="G94" s="1"/>
      <c r="H94" s="1">
        <f>SUM(OSRRefH22_18x_0)</f>
        <v>821</v>
      </c>
      <c r="I94" s="1"/>
      <c r="J94" s="5">
        <f t="shared" si="69"/>
        <v>1.6135372037262685E-2</v>
      </c>
      <c r="K94" s="1"/>
      <c r="L94" s="1">
        <f t="shared" si="70"/>
        <v>-771</v>
      </c>
      <c r="M94" s="1"/>
      <c r="N94" s="5">
        <f t="shared" si="71"/>
        <v>-0.93909866017052379</v>
      </c>
      <c r="O94" s="14"/>
      <c r="P94" s="1">
        <f>SUM(OSRRefP22_18x_0)</f>
        <v>150</v>
      </c>
      <c r="Q94" s="1"/>
      <c r="R94" s="5">
        <f t="shared" si="72"/>
        <v>5.7994100066886524E-2</v>
      </c>
      <c r="S94" s="1"/>
      <c r="T94" s="1">
        <f>SUM(OSRRefT22_18x_0)</f>
        <v>1692</v>
      </c>
      <c r="U94" s="1"/>
      <c r="V94" s="5">
        <f t="shared" si="73"/>
        <v>3.0386839553176968E-2</v>
      </c>
      <c r="W94" s="1"/>
      <c r="X94" s="1">
        <f t="shared" si="74"/>
        <v>-1542</v>
      </c>
      <c r="Y94" s="1"/>
      <c r="Z94" s="5">
        <f t="shared" si="75"/>
        <v>-0.91134751773049649</v>
      </c>
    </row>
    <row r="95" spans="1:26" s="24" customFormat="1" hidden="1" outlineLevel="2" x14ac:dyDescent="0.25">
      <c r="A95" s="29"/>
      <c r="B95" s="11" t="str">
        <f>CONCATENATE("          ", "6274", " - ", "UTILITIES")</f>
        <v xml:space="preserve">          6274 - UTILITIES</v>
      </c>
      <c r="C95" s="11"/>
      <c r="D95" s="6">
        <v>50</v>
      </c>
      <c r="E95" s="2"/>
      <c r="F95" s="7">
        <f t="shared" si="68"/>
        <v>2.8369277207555308E-2</v>
      </c>
      <c r="G95" s="2"/>
      <c r="H95" s="6">
        <v>821</v>
      </c>
      <c r="I95" s="2"/>
      <c r="J95" s="7">
        <f t="shared" si="69"/>
        <v>1.6135372037262685E-2</v>
      </c>
      <c r="K95" s="2"/>
      <c r="L95" s="6">
        <f t="shared" si="70"/>
        <v>-771</v>
      </c>
      <c r="M95" s="2"/>
      <c r="N95" s="7">
        <f t="shared" si="71"/>
        <v>-0.93909866017052379</v>
      </c>
      <c r="O95" s="11"/>
      <c r="P95" s="6">
        <v>150</v>
      </c>
      <c r="Q95" s="2"/>
      <c r="R95" s="7">
        <f t="shared" si="72"/>
        <v>5.7994100066886524E-2</v>
      </c>
      <c r="S95" s="2"/>
      <c r="T95" s="6">
        <v>1692</v>
      </c>
      <c r="U95" s="2"/>
      <c r="V95" s="7">
        <f t="shared" si="73"/>
        <v>3.0386839553176968E-2</v>
      </c>
      <c r="W95" s="2"/>
      <c r="X95" s="6">
        <f t="shared" si="74"/>
        <v>-1542</v>
      </c>
      <c r="Y95" s="2"/>
      <c r="Z95" s="7">
        <f t="shared" si="75"/>
        <v>-0.91134751773049649</v>
      </c>
    </row>
    <row r="96" spans="1:26" s="61" customFormat="1" x14ac:dyDescent="0.25">
      <c r="A96" s="36"/>
      <c r="B96" s="36"/>
      <c r="C96" s="36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6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x14ac:dyDescent="0.25">
      <c r="A97" s="10"/>
      <c r="B97" s="25" t="s">
        <v>0</v>
      </c>
      <c r="C97" s="10"/>
      <c r="D97" s="4">
        <f>SUM(0)</f>
        <v>0</v>
      </c>
      <c r="E97" s="4"/>
      <c r="F97" s="12">
        <f>IF(D$12=0,0,D97/D$12)</f>
        <v>0</v>
      </c>
      <c r="G97" s="4"/>
      <c r="H97" s="4">
        <f>SUM(0)</f>
        <v>0</v>
      </c>
      <c r="I97" s="4"/>
      <c r="J97" s="12">
        <f>IF(H$12=0,0,H97/H$12)</f>
        <v>0</v>
      </c>
      <c r="K97" s="4"/>
      <c r="L97" s="4">
        <f>+D97-H97</f>
        <v>0</v>
      </c>
      <c r="M97" s="4"/>
      <c r="N97" s="12">
        <f>IF(H97=0,0,L97/H97)</f>
        <v>0</v>
      </c>
      <c r="O97" s="10"/>
      <c r="P97" s="4">
        <f>SUM(0)</f>
        <v>0</v>
      </c>
      <c r="Q97" s="4"/>
      <c r="R97" s="12">
        <f>IF(P$12=0,0,P97/P$12)</f>
        <v>0</v>
      </c>
      <c r="S97" s="4"/>
      <c r="T97" s="4">
        <f>SUM(0)</f>
        <v>0</v>
      </c>
      <c r="U97" s="4"/>
      <c r="V97" s="12">
        <f>IF(T$12=0,0,T97/T$12)</f>
        <v>0</v>
      </c>
      <c r="W97" s="4"/>
      <c r="X97" s="4">
        <f>+P97-T97</f>
        <v>0</v>
      </c>
      <c r="Y97" s="4"/>
      <c r="Z97" s="12">
        <f>IF(T97=0,0,X97/T97)</f>
        <v>0</v>
      </c>
    </row>
    <row r="98" spans="1:26" x14ac:dyDescent="0.25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10"/>
      <c r="B99" s="26" t="s">
        <v>3</v>
      </c>
      <c r="C99" s="26"/>
      <c r="D99" s="20">
        <f>+D24-D26+D97</f>
        <v>-30477.680000000004</v>
      </c>
      <c r="E99" s="13"/>
      <c r="F99" s="21">
        <f>IF(D$12=0,0,D99/D$12)</f>
        <v>-17.292595051263287</v>
      </c>
      <c r="G99" s="13"/>
      <c r="H99" s="20">
        <f>+H24-H26+H97</f>
        <v>-28646.191208699995</v>
      </c>
      <c r="I99" s="13"/>
      <c r="J99" s="21">
        <f>IF(H$12=0,0,H99/H$12)</f>
        <v>-0.562992634108329</v>
      </c>
      <c r="K99" s="16"/>
      <c r="L99" s="20">
        <f>+D99-H99</f>
        <v>-1831.4887913000093</v>
      </c>
      <c r="M99" s="16"/>
      <c r="N99" s="21">
        <f>IF(H99=0,0,L99/H99)</f>
        <v>6.3934809970261491E-2</v>
      </c>
      <c r="O99" s="25"/>
      <c r="P99" s="20">
        <f>+P24-P26+P97</f>
        <v>-92637.78</v>
      </c>
      <c r="Q99" s="13"/>
      <c r="R99" s="21">
        <f>IF(P$12=0,0,P99/P$12)</f>
        <v>-35.816297888628128</v>
      </c>
      <c r="S99" s="13"/>
      <c r="T99" s="20">
        <f>+T24-T26+T97</f>
        <v>-108464.82371580001</v>
      </c>
      <c r="U99" s="13"/>
      <c r="V99" s="21">
        <f>IF(T$12=0,0,T99/T$12)</f>
        <v>-1.9479333306239002</v>
      </c>
      <c r="W99" s="16"/>
      <c r="X99" s="20">
        <f>+P99-T99</f>
        <v>15827.043715800013</v>
      </c>
      <c r="Y99" s="16"/>
      <c r="Z99" s="21">
        <f>IF(T99=0,0,X99/T99)</f>
        <v>-0.14591867827370558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x14ac:dyDescent="0.25">
      <c r="A101" s="52"/>
      <c r="B101" s="10" t="s">
        <v>14</v>
      </c>
      <c r="C101" s="10"/>
      <c r="D101" s="4">
        <v>340.04</v>
      </c>
      <c r="E101" s="4"/>
      <c r="F101" s="12">
        <f>IF(D$12=0,0,D101/D$12)</f>
        <v>0.19293378043314216</v>
      </c>
      <c r="G101" s="4"/>
      <c r="H101" s="4">
        <v>7266</v>
      </c>
      <c r="I101" s="4"/>
      <c r="J101" s="12">
        <f>IF(H$12=0,0,H101/H$12)</f>
        <v>0.14280099052710193</v>
      </c>
      <c r="K101" s="4"/>
      <c r="L101" s="4">
        <f>+D101-H101</f>
        <v>-6925.96</v>
      </c>
      <c r="M101" s="4"/>
      <c r="N101" s="12">
        <f>IF(H101=0,0,L101/H101)</f>
        <v>-0.95320121112028622</v>
      </c>
      <c r="O101" s="10"/>
      <c r="P101" s="4">
        <v>479.16</v>
      </c>
      <c r="Q101" s="4"/>
      <c r="R101" s="12">
        <f>IF(P$12=0,0,P101/P$12)</f>
        <v>0.18525635325366233</v>
      </c>
      <c r="S101" s="4"/>
      <c r="T101" s="4">
        <v>8050</v>
      </c>
      <c r="U101" s="4"/>
      <c r="V101" s="12">
        <f>IF(T$12=0,0,T101/T$12)</f>
        <v>0.14457095650299917</v>
      </c>
      <c r="W101" s="4"/>
      <c r="X101" s="4">
        <f>+P101-T101</f>
        <v>-7570.84</v>
      </c>
      <c r="Y101" s="4"/>
      <c r="Z101" s="12">
        <f>IF(T101=0,0,X101/T101)</f>
        <v>-0.94047701863354038</v>
      </c>
    </row>
    <row r="102" spans="1:26" x14ac:dyDescent="0.25">
      <c r="A102" s="9"/>
      <c r="B102" s="10"/>
      <c r="C102" s="10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O102" s="10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6" t="s">
        <v>4</v>
      </c>
      <c r="C103" s="26"/>
      <c r="D103" s="33">
        <f>+D99-D101</f>
        <v>-30817.720000000005</v>
      </c>
      <c r="E103" s="13"/>
      <c r="F103" s="34">
        <f>IF(D$12=0,0,D103/D$12)</f>
        <v>-17.485528831696431</v>
      </c>
      <c r="G103" s="13"/>
      <c r="H103" s="33">
        <f>+H99-H101</f>
        <v>-35912.191208699995</v>
      </c>
      <c r="I103" s="13"/>
      <c r="J103" s="34">
        <f>IF(H$12=0,0,H103/H$12)</f>
        <v>-0.70579362463543094</v>
      </c>
      <c r="K103" s="16"/>
      <c r="L103" s="33">
        <f>D103-H103</f>
        <v>5094.4712086999898</v>
      </c>
      <c r="M103" s="16"/>
      <c r="N103" s="34">
        <f>IF(H103=0,0,L103/H103)</f>
        <v>-0.14185910236147931</v>
      </c>
      <c r="O103" s="25"/>
      <c r="P103" s="33">
        <f>+P99-P101</f>
        <v>-93116.94</v>
      </c>
      <c r="Q103" s="13"/>
      <c r="R103" s="34">
        <f>IF(P$12=0,0,P103/P$12)</f>
        <v>-36.001554241881792</v>
      </c>
      <c r="S103" s="13"/>
      <c r="T103" s="33">
        <f>+T99-T101</f>
        <v>-116514.82371580001</v>
      </c>
      <c r="U103" s="13"/>
      <c r="V103" s="34">
        <f>IF(T$12=0,0,T103/T$12)</f>
        <v>-2.0925042871268995</v>
      </c>
      <c r="W103" s="16"/>
      <c r="X103" s="33">
        <f>P103-T103</f>
        <v>23397.88371580001</v>
      </c>
      <c r="Y103" s="16"/>
      <c r="Z103" s="34">
        <f>IF(T103=0,0,X103/T103)</f>
        <v>-0.20081465147191513</v>
      </c>
    </row>
    <row r="104" spans="1:26" ht="15.75" thickTop="1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x14ac:dyDescent="0.25">
      <c r="A105" s="9"/>
      <c r="B105" s="9"/>
      <c r="C105" s="9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.75" thickBot="1" x14ac:dyDescent="0.3">
      <c r="A106" s="10"/>
      <c r="B106" s="26" t="s">
        <v>5</v>
      </c>
      <c r="C106" s="26"/>
      <c r="D106" s="31">
        <f>SUM(D103:D105)</f>
        <v>-30817.720000000005</v>
      </c>
      <c r="E106" s="13"/>
      <c r="F106" s="32">
        <f>IF(D$12=0,0,D106/D$12)</f>
        <v>-17.485528831696431</v>
      </c>
      <c r="G106" s="13"/>
      <c r="H106" s="31">
        <f>SUM(H103:H105)</f>
        <v>-35912.191208699995</v>
      </c>
      <c r="I106" s="13"/>
      <c r="J106" s="32">
        <f>IF(H$12=0,0,H106/H$12)</f>
        <v>-0.70579362463543094</v>
      </c>
      <c r="K106" s="16"/>
      <c r="L106" s="31">
        <f>+D106-H106</f>
        <v>5094.4712086999898</v>
      </c>
      <c r="M106" s="16"/>
      <c r="N106" s="32">
        <f>IF(H106=0,0,L106/H106)</f>
        <v>-0.14185910236147931</v>
      </c>
      <c r="O106" s="25"/>
      <c r="P106" s="31">
        <f>SUM(P103:P105)</f>
        <v>-93116.94</v>
      </c>
      <c r="Q106" s="13"/>
      <c r="R106" s="32">
        <f>IF(P$12=0,0,P106/P$12)</f>
        <v>-36.001554241881792</v>
      </c>
      <c r="S106" s="13"/>
      <c r="T106" s="31">
        <f>SUM(T103:T105)</f>
        <v>-116514.82371580001</v>
      </c>
      <c r="U106" s="13"/>
      <c r="V106" s="32">
        <f>IF(T$12=0,0,T106/T$12)</f>
        <v>-2.0925042871268995</v>
      </c>
      <c r="W106" s="16"/>
      <c r="X106" s="31">
        <f>+P106-T106</f>
        <v>23397.88371580001</v>
      </c>
      <c r="Y106" s="16"/>
      <c r="Z106" s="32">
        <f>IF(T106=0,0,X106/T106)</f>
        <v>-0.20081465147191513</v>
      </c>
    </row>
    <row r="107" spans="1:26" ht="15.75" thickTop="1" x14ac:dyDescent="0.25">
      <c r="A107" s="9"/>
      <c r="C107" s="9"/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55">
        <v>44123.571483831016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53" t="s">
        <v>314</v>
      </c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A110" s="9"/>
      <c r="B110" s="62"/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  <row r="111" spans="1:26" x14ac:dyDescent="0.25">
      <c r="D111" s="17"/>
      <c r="E111" s="17"/>
      <c r="G111" s="17"/>
      <c r="H111" s="17"/>
      <c r="I111" s="17"/>
      <c r="J111" s="43"/>
      <c r="K111" s="17"/>
      <c r="L111" s="17"/>
      <c r="M111" s="17"/>
      <c r="P111" s="17"/>
      <c r="Q111" s="17"/>
      <c r="R111" s="43"/>
      <c r="S111" s="17"/>
      <c r="T111" s="17"/>
      <c r="U111" s="17"/>
      <c r="V111" s="43"/>
      <c r="W111" s="17"/>
      <c r="X111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","309", " - ", "Carts")</f>
        <v>Department 309 - Carts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</v>
      </c>
      <c r="I12" s="4"/>
      <c r="J12" s="12"/>
      <c r="K12" s="4"/>
      <c r="L12" s="4">
        <f t="shared" ref="L12:L13" si="0">+D12-H12</f>
        <v>-1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</v>
      </c>
      <c r="U12" s="4"/>
      <c r="V12" s="12"/>
      <c r="W12" s="4"/>
      <c r="X12" s="4">
        <f t="shared" ref="X12:X13" si="2">+P12-T12</f>
        <v>-1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1</v>
      </c>
      <c r="I13" s="2"/>
      <c r="J13" s="22"/>
      <c r="K13" s="2"/>
      <c r="L13" s="2">
        <f t="shared" si="0"/>
        <v>-1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</v>
      </c>
      <c r="U13" s="2"/>
      <c r="V13" s="22"/>
      <c r="W13" s="2"/>
      <c r="X13" s="2">
        <f t="shared" si="2"/>
        <v>-1</v>
      </c>
      <c r="Y13" s="2"/>
      <c r="Z13" s="22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>
        <f>D12-D15</f>
        <v>0</v>
      </c>
      <c r="E18" s="13"/>
      <c r="F18" s="21">
        <f>IF(D$12=0,0,D18/D$12)</f>
        <v>0</v>
      </c>
      <c r="G18" s="13"/>
      <c r="H18" s="20">
        <f>H12-H15</f>
        <v>1</v>
      </c>
      <c r="I18" s="13"/>
      <c r="J18" s="21">
        <f>IF(H$12=0,0,H18/H$12)</f>
        <v>1</v>
      </c>
      <c r="K18" s="16"/>
      <c r="L18" s="20">
        <f>+D18-H18</f>
        <v>-1</v>
      </c>
      <c r="M18" s="16"/>
      <c r="N18" s="21">
        <f>IF(H18=0,0,L18/H18)</f>
        <v>-1</v>
      </c>
      <c r="O18" s="25"/>
      <c r="P18" s="20">
        <f>P12-P15</f>
        <v>0</v>
      </c>
      <c r="Q18" s="13"/>
      <c r="R18" s="21">
        <f>IF(P$12=0,0,P18/P$12)</f>
        <v>0</v>
      </c>
      <c r="S18" s="13"/>
      <c r="T18" s="20">
        <f>T12-T15</f>
        <v>1</v>
      </c>
      <c r="U18" s="13"/>
      <c r="V18" s="21">
        <f>IF(T$12=0,0,T18/T$12)</f>
        <v>1</v>
      </c>
      <c r="W18" s="16"/>
      <c r="X18" s="20">
        <f>+P18-T18</f>
        <v>-1</v>
      </c>
      <c r="Y18" s="16"/>
      <c r="Z18" s="21">
        <f>IF(T18=0,0,X18/T18)</f>
        <v>-1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>
        <f>SUM(OSRRefD22x_0)</f>
        <v>630.27</v>
      </c>
      <c r="E20" s="19"/>
      <c r="F20" s="35">
        <f t="shared" ref="F20:F29" si="12">IF(D$12=0,0,D20/D$12)</f>
        <v>0</v>
      </c>
      <c r="G20" s="19"/>
      <c r="H20" s="19">
        <f>SUM(OSRRefH22x_0)</f>
        <v>0</v>
      </c>
      <c r="I20" s="19"/>
      <c r="J20" s="35">
        <f t="shared" ref="J20:J29" si="13">IF(H$12=0,0,H20/H$12)</f>
        <v>0</v>
      </c>
      <c r="K20" s="4"/>
      <c r="L20" s="19">
        <f t="shared" ref="L20:L29" si="14">+D20-H20</f>
        <v>630.27</v>
      </c>
      <c r="M20" s="4"/>
      <c r="N20" s="35">
        <f t="shared" ref="N20:N29" si="15">IF(H20=0,0,L20/H20)</f>
        <v>0</v>
      </c>
      <c r="O20" s="10"/>
      <c r="P20" s="19">
        <f>SUM(OSRRefP22x_0)</f>
        <v>1581.3899999999999</v>
      </c>
      <c r="Q20" s="19"/>
      <c r="R20" s="35">
        <f t="shared" ref="R20:R29" si="16">IF(P$12=0,0,P20/P$12)</f>
        <v>0</v>
      </c>
      <c r="S20" s="19"/>
      <c r="T20" s="19">
        <f>SUM(OSRRefT22x_0)</f>
        <v>0</v>
      </c>
      <c r="U20" s="19"/>
      <c r="V20" s="35">
        <f t="shared" ref="V20:V29" si="17">IF(T$12=0,0,T20/T$12)</f>
        <v>0</v>
      </c>
      <c r="W20" s="4"/>
      <c r="X20" s="19">
        <f t="shared" ref="X20:X29" si="18">+P20-T20</f>
        <v>1581.3899999999999</v>
      </c>
      <c r="Y20" s="4"/>
      <c r="Z20" s="35">
        <f t="shared" ref="Z20:Z29" si="19">IF(T20=0,0,X20/T20)</f>
        <v>0</v>
      </c>
    </row>
    <row r="21" spans="1:26" s="28" customFormat="1" outlineLevel="1" collapsed="1" x14ac:dyDescent="0.25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9"/>
      <c r="B22" s="11" t="str">
        <f>CONCATENATE("          ", "6111", " - ", "F.I.C.A.")</f>
        <v xml:space="preserve">          6111 - F.I.C.A.</v>
      </c>
      <c r="C22" s="11"/>
      <c r="D22" s="6"/>
      <c r="E22" s="2"/>
      <c r="F22" s="7">
        <f t="shared" si="12"/>
        <v>0</v>
      </c>
      <c r="G22" s="2"/>
      <c r="H22" s="6">
        <v>0</v>
      </c>
      <c r="I22" s="2"/>
      <c r="J22" s="7">
        <f t="shared" si="13"/>
        <v>0</v>
      </c>
      <c r="K22" s="2"/>
      <c r="L22" s="6">
        <f t="shared" si="14"/>
        <v>0</v>
      </c>
      <c r="M22" s="2"/>
      <c r="N22" s="7">
        <f t="shared" si="15"/>
        <v>0</v>
      </c>
      <c r="O22" s="11"/>
      <c r="P22" s="6"/>
      <c r="Q22" s="2"/>
      <c r="R22" s="7">
        <f t="shared" si="16"/>
        <v>0</v>
      </c>
      <c r="S22" s="2"/>
      <c r="T22" s="6">
        <v>0</v>
      </c>
      <c r="U22" s="2"/>
      <c r="V22" s="7">
        <f t="shared" si="17"/>
        <v>0</v>
      </c>
      <c r="W22" s="2"/>
      <c r="X22" s="6">
        <f t="shared" si="18"/>
        <v>0</v>
      </c>
      <c r="Y22" s="2"/>
      <c r="Z22" s="7">
        <f t="shared" si="19"/>
        <v>0</v>
      </c>
    </row>
    <row r="23" spans="1:26" s="24" customFormat="1" hidden="1" outlineLevel="2" x14ac:dyDescent="0.25">
      <c r="A23" s="29"/>
      <c r="B23" s="11" t="str">
        <f>CONCATENATE("          ", "6112", " - ", "COMPENSATION INSURANCE")</f>
        <v xml:space="preserve">          6112 - COMPENSATION INSURANCE</v>
      </c>
      <c r="C23" s="11"/>
      <c r="D23" s="6"/>
      <c r="E23" s="2"/>
      <c r="F23" s="7">
        <f t="shared" si="12"/>
        <v>0</v>
      </c>
      <c r="G23" s="2"/>
      <c r="H23" s="6">
        <v>0</v>
      </c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/>
      <c r="Q23" s="2"/>
      <c r="R23" s="7">
        <f t="shared" si="16"/>
        <v>0</v>
      </c>
      <c r="S23" s="2"/>
      <c r="T23" s="6">
        <v>0</v>
      </c>
      <c r="U23" s="2"/>
      <c r="V23" s="7">
        <f t="shared" si="17"/>
        <v>0</v>
      </c>
      <c r="W23" s="2"/>
      <c r="X23" s="6">
        <f t="shared" si="18"/>
        <v>0</v>
      </c>
      <c r="Y23" s="2"/>
      <c r="Z23" s="7">
        <f t="shared" si="19"/>
        <v>0</v>
      </c>
    </row>
    <row r="24" spans="1:26" s="24" customFormat="1" hidden="1" outlineLevel="2" x14ac:dyDescent="0.25">
      <c r="A24" s="29"/>
      <c r="B24" s="11" t="str">
        <f>CONCATENATE("          ", "6113", " - ", "GROUP INSURANCE")</f>
        <v xml:space="preserve">          6113 - GROUP INSURANCE</v>
      </c>
      <c r="C24" s="11"/>
      <c r="D24" s="6"/>
      <c r="E24" s="2"/>
      <c r="F24" s="7">
        <f t="shared" si="12"/>
        <v>0</v>
      </c>
      <c r="G24" s="2"/>
      <c r="H24" s="6">
        <v>0</v>
      </c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0</v>
      </c>
      <c r="U24" s="2"/>
      <c r="V24" s="7">
        <f t="shared" si="17"/>
        <v>0</v>
      </c>
      <c r="W24" s="2"/>
      <c r="X24" s="6">
        <f t="shared" si="18"/>
        <v>0</v>
      </c>
      <c r="Y24" s="2"/>
      <c r="Z24" s="7">
        <f t="shared" si="19"/>
        <v>0</v>
      </c>
    </row>
    <row r="25" spans="1:26" s="24" customFormat="1" hidden="1" outlineLevel="2" x14ac:dyDescent="0.25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6"/>
      <c r="E25" s="2"/>
      <c r="F25" s="7">
        <f t="shared" si="12"/>
        <v>0</v>
      </c>
      <c r="G25" s="2"/>
      <c r="H25" s="6">
        <v>0</v>
      </c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0</v>
      </c>
      <c r="U25" s="2"/>
      <c r="V25" s="7">
        <f t="shared" si="17"/>
        <v>0</v>
      </c>
      <c r="W25" s="2"/>
      <c r="X25" s="6">
        <f t="shared" si="18"/>
        <v>0</v>
      </c>
      <c r="Y25" s="2"/>
      <c r="Z25" s="7">
        <f t="shared" si="19"/>
        <v>0</v>
      </c>
    </row>
    <row r="26" spans="1:26" s="24" customFormat="1" hidden="1" outlineLevel="2" x14ac:dyDescent="0.25">
      <c r="A26" s="29"/>
      <c r="B26" s="11" t="str">
        <f>CONCATENATE("          ", "6115", " - ", "P.E.R.S.")</f>
        <v xml:space="preserve">          6115 - P.E.R.S.</v>
      </c>
      <c r="C26" s="11"/>
      <c r="D26" s="6"/>
      <c r="E26" s="2"/>
      <c r="F26" s="7">
        <f t="shared" si="12"/>
        <v>0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0</v>
      </c>
      <c r="Y26" s="2"/>
      <c r="Z26" s="7">
        <f t="shared" si="19"/>
        <v>0</v>
      </c>
    </row>
    <row r="27" spans="1:26" s="24" customFormat="1" hidden="1" outlineLevel="2" x14ac:dyDescent="0.25">
      <c r="A27" s="29"/>
      <c r="B27" s="11" t="str">
        <f>CONCATENATE("          ", "6116", " - ", "EDUCATIONAL BENEFITS")</f>
        <v xml:space="preserve">          6116 - EDUCATIONAL BENEFITS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20"/>
        <v>0</v>
      </c>
      <c r="G31" s="2"/>
      <c r="H31" s="6">
        <v>0</v>
      </c>
      <c r="I31" s="2"/>
      <c r="J31" s="7">
        <f t="shared" si="21"/>
        <v>0</v>
      </c>
      <c r="K31" s="2"/>
      <c r="L31" s="6">
        <f t="shared" si="22"/>
        <v>0</v>
      </c>
      <c r="M31" s="2"/>
      <c r="N31" s="7">
        <f t="shared" si="23"/>
        <v>0</v>
      </c>
      <c r="O31" s="11"/>
      <c r="P31" s="6"/>
      <c r="Q31" s="2"/>
      <c r="R31" s="7">
        <f t="shared" si="24"/>
        <v>0</v>
      </c>
      <c r="S31" s="2"/>
      <c r="T31" s="6">
        <v>0</v>
      </c>
      <c r="U31" s="2"/>
      <c r="V31" s="7">
        <f t="shared" si="25"/>
        <v>0</v>
      </c>
      <c r="W31" s="2"/>
      <c r="X31" s="6">
        <f t="shared" si="26"/>
        <v>0</v>
      </c>
      <c r="Y31" s="2"/>
      <c r="Z31" s="7">
        <f t="shared" si="27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0"/>
        <v>0</v>
      </c>
      <c r="G32" s="2"/>
      <c r="H32" s="6">
        <v>0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/>
      <c r="Q32" s="2"/>
      <c r="R32" s="7">
        <f t="shared" si="24"/>
        <v>0</v>
      </c>
      <c r="S32" s="2"/>
      <c r="T32" s="6">
        <v>0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20"/>
        <v>0</v>
      </c>
      <c r="G33" s="2"/>
      <c r="H33" s="6">
        <v>0</v>
      </c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/>
      <c r="Q33" s="2"/>
      <c r="R33" s="7">
        <f t="shared" si="24"/>
        <v>0</v>
      </c>
      <c r="S33" s="2"/>
      <c r="T33" s="6">
        <v>0</v>
      </c>
      <c r="U33" s="2"/>
      <c r="V33" s="7">
        <f t="shared" si="25"/>
        <v>0</v>
      </c>
      <c r="W33" s="2"/>
      <c r="X33" s="6">
        <f t="shared" si="26"/>
        <v>0</v>
      </c>
      <c r="Y33" s="2"/>
      <c r="Z33" s="7">
        <f t="shared" si="27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51" si="28">IF(D$12=0,0,D41/D$12)</f>
        <v>0</v>
      </c>
      <c r="G41" s="1"/>
      <c r="H41" s="1">
        <f>SUM(OSRRefH22_2x_0)</f>
        <v>0</v>
      </c>
      <c r="I41" s="1"/>
      <c r="J41" s="5">
        <f t="shared" ref="J41:J51" si="29">IF(H$12=0,0,H41/H$12)</f>
        <v>0</v>
      </c>
      <c r="K41" s="1"/>
      <c r="L41" s="1">
        <f t="shared" ref="L41:L51" si="30">+D41-H41</f>
        <v>0</v>
      </c>
      <c r="M41" s="1"/>
      <c r="N41" s="5">
        <f t="shared" ref="N41:N51" si="31">IF(H41=0,0,L41/H41)</f>
        <v>0</v>
      </c>
      <c r="O41" s="14"/>
      <c r="P41" s="1">
        <f>SUM(OSRRefP22_2x_0)</f>
        <v>0</v>
      </c>
      <c r="Q41" s="1"/>
      <c r="R41" s="5">
        <f t="shared" ref="R41:R51" si="32">IF(P$12=0,0,P41/P$12)</f>
        <v>0</v>
      </c>
      <c r="S41" s="1"/>
      <c r="T41" s="1">
        <f>SUM(OSRRefT22_2x_0)</f>
        <v>0</v>
      </c>
      <c r="U41" s="1"/>
      <c r="V41" s="5">
        <f t="shared" ref="V41:V51" si="33">IF(T$12=0,0,T41/T$12)</f>
        <v>0</v>
      </c>
      <c r="W41" s="1"/>
      <c r="X41" s="1">
        <f t="shared" ref="X41:X51" si="34">+P41-T41</f>
        <v>0</v>
      </c>
      <c r="Y41" s="1"/>
      <c r="Z41" s="5">
        <f t="shared" ref="Z41:Z51" si="35">IF(T41=0,0,X41/T41)</f>
        <v>0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0</v>
      </c>
      <c r="I42" s="2"/>
      <c r="J42" s="7">
        <f t="shared" si="29"/>
        <v>0</v>
      </c>
      <c r="K42" s="2"/>
      <c r="L42" s="6">
        <f t="shared" si="30"/>
        <v>0</v>
      </c>
      <c r="M42" s="2"/>
      <c r="N42" s="7">
        <f t="shared" si="31"/>
        <v>0</v>
      </c>
      <c r="O42" s="11"/>
      <c r="P42" s="6"/>
      <c r="Q42" s="2"/>
      <c r="R42" s="7">
        <f t="shared" si="32"/>
        <v>0</v>
      </c>
      <c r="S42" s="2"/>
      <c r="T42" s="6">
        <v>0</v>
      </c>
      <c r="U42" s="2"/>
      <c r="V42" s="7">
        <f t="shared" si="33"/>
        <v>0</v>
      </c>
      <c r="W42" s="2"/>
      <c r="X42" s="6">
        <f t="shared" si="34"/>
        <v>0</v>
      </c>
      <c r="Y42" s="2"/>
      <c r="Z42" s="7">
        <f t="shared" si="35"/>
        <v>0</v>
      </c>
    </row>
    <row r="43" spans="1:26" s="28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8"/>
        <v>0</v>
      </c>
      <c r="G44" s="2"/>
      <c r="H44" s="6">
        <v>0</v>
      </c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0</v>
      </c>
      <c r="U44" s="2"/>
      <c r="V44" s="7">
        <f t="shared" si="33"/>
        <v>0</v>
      </c>
      <c r="W44" s="2"/>
      <c r="X44" s="6">
        <f t="shared" si="34"/>
        <v>0</v>
      </c>
      <c r="Y44" s="2"/>
      <c r="Z44" s="7">
        <f t="shared" si="35"/>
        <v>0</v>
      </c>
    </row>
    <row r="45" spans="1:26" s="28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588.16999999999996</v>
      </c>
      <c r="E45" s="1"/>
      <c r="F45" s="5">
        <f t="shared" si="28"/>
        <v>0</v>
      </c>
      <c r="G45" s="1"/>
      <c r="H45" s="1">
        <f>SUM(OSRRefH22_4x_0)</f>
        <v>0</v>
      </c>
      <c r="I45" s="1"/>
      <c r="J45" s="5">
        <f t="shared" si="29"/>
        <v>0</v>
      </c>
      <c r="K45" s="1"/>
      <c r="L45" s="1">
        <f t="shared" si="30"/>
        <v>588.16999999999996</v>
      </c>
      <c r="M45" s="1"/>
      <c r="N45" s="5">
        <f t="shared" si="31"/>
        <v>0</v>
      </c>
      <c r="O45" s="14"/>
      <c r="P45" s="1">
        <f>SUM(OSRRefP22_4x_0)</f>
        <v>1500.29</v>
      </c>
      <c r="Q45" s="1"/>
      <c r="R45" s="5">
        <f t="shared" si="32"/>
        <v>0</v>
      </c>
      <c r="S45" s="1"/>
      <c r="T45" s="1">
        <f>SUM(OSRRefT22_4x_0)</f>
        <v>0</v>
      </c>
      <c r="U45" s="1"/>
      <c r="V45" s="5">
        <f t="shared" si="33"/>
        <v>0</v>
      </c>
      <c r="W45" s="1"/>
      <c r="X45" s="1">
        <f t="shared" si="34"/>
        <v>1500.29</v>
      </c>
      <c r="Y45" s="1"/>
      <c r="Z45" s="5">
        <f t="shared" si="35"/>
        <v>0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588.16999999999996</v>
      </c>
      <c r="E46" s="2"/>
      <c r="F46" s="7">
        <f t="shared" si="28"/>
        <v>0</v>
      </c>
      <c r="G46" s="2"/>
      <c r="H46" s="6"/>
      <c r="I46" s="2"/>
      <c r="J46" s="7">
        <f t="shared" si="29"/>
        <v>0</v>
      </c>
      <c r="K46" s="2"/>
      <c r="L46" s="6">
        <f t="shared" si="30"/>
        <v>588.16999999999996</v>
      </c>
      <c r="M46" s="2"/>
      <c r="N46" s="7">
        <f t="shared" si="31"/>
        <v>0</v>
      </c>
      <c r="O46" s="11"/>
      <c r="P46" s="6">
        <v>1500.29</v>
      </c>
      <c r="Q46" s="2"/>
      <c r="R46" s="7">
        <f t="shared" si="32"/>
        <v>0</v>
      </c>
      <c r="S46" s="2"/>
      <c r="T46" s="6"/>
      <c r="U46" s="2"/>
      <c r="V46" s="7">
        <f t="shared" si="33"/>
        <v>0</v>
      </c>
      <c r="W46" s="2"/>
      <c r="X46" s="6">
        <f t="shared" si="34"/>
        <v>1500.29</v>
      </c>
      <c r="Y46" s="2"/>
      <c r="Z46" s="7">
        <f t="shared" si="35"/>
        <v>0</v>
      </c>
    </row>
    <row r="47" spans="1:26" s="28" customFormat="1" outlineLevel="1" collapsed="1" x14ac:dyDescent="0.25">
      <c r="A47" s="27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SUM(OSRRefD22_5x_0)</f>
        <v>0</v>
      </c>
      <c r="E47" s="1"/>
      <c r="F47" s="5">
        <f t="shared" si="28"/>
        <v>0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0</v>
      </c>
      <c r="M47" s="1"/>
      <c r="N47" s="5">
        <f t="shared" si="31"/>
        <v>0</v>
      </c>
      <c r="O47" s="14"/>
      <c r="P47" s="1">
        <f>SUM(OSRRefP22_5x_0)</f>
        <v>0</v>
      </c>
      <c r="Q47" s="1"/>
      <c r="R47" s="5">
        <f t="shared" si="32"/>
        <v>0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0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"6279", " - ", "GENERAL EXPENSE")</f>
        <v xml:space="preserve">          6279 - GENERAL EXPENSE</v>
      </c>
      <c r="C48" s="11"/>
      <c r="D48" s="6"/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0</v>
      </c>
      <c r="M48" s="2"/>
      <c r="N48" s="7">
        <f t="shared" si="31"/>
        <v>0</v>
      </c>
      <c r="O48" s="11"/>
      <c r="P48" s="6"/>
      <c r="Q48" s="2"/>
      <c r="R48" s="7">
        <f t="shared" si="32"/>
        <v>0</v>
      </c>
      <c r="S48" s="2"/>
      <c r="T48" s="6">
        <v>0</v>
      </c>
      <c r="U48" s="2"/>
      <c r="V48" s="7">
        <f t="shared" si="33"/>
        <v>0</v>
      </c>
      <c r="W48" s="2"/>
      <c r="X48" s="6">
        <f t="shared" si="34"/>
        <v>0</v>
      </c>
      <c r="Y48" s="2"/>
      <c r="Z48" s="7">
        <f t="shared" si="35"/>
        <v>0</v>
      </c>
    </row>
    <row r="49" spans="1:26" s="28" customFormat="1" outlineLevel="1" collapsed="1" x14ac:dyDescent="0.25">
      <c r="A49" s="27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SUM(OSRRefD22_6x_0)</f>
        <v>48.23</v>
      </c>
      <c r="E49" s="1"/>
      <c r="F49" s="5">
        <f t="shared" si="28"/>
        <v>0</v>
      </c>
      <c r="G49" s="1"/>
      <c r="H49" s="1">
        <f>SUM(OSRRefH22_6x_0)</f>
        <v>0</v>
      </c>
      <c r="I49" s="1"/>
      <c r="J49" s="5">
        <f t="shared" si="29"/>
        <v>0</v>
      </c>
      <c r="K49" s="1"/>
      <c r="L49" s="1">
        <f t="shared" si="30"/>
        <v>48.23</v>
      </c>
      <c r="M49" s="1"/>
      <c r="N49" s="5">
        <f t="shared" si="31"/>
        <v>0</v>
      </c>
      <c r="O49" s="14"/>
      <c r="P49" s="1">
        <f>SUM(OSRRefP22_6x_0)</f>
        <v>280.13</v>
      </c>
      <c r="Q49" s="1"/>
      <c r="R49" s="5">
        <f t="shared" si="32"/>
        <v>0</v>
      </c>
      <c r="S49" s="1"/>
      <c r="T49" s="1">
        <f>SUM(OSRRefT22_6x_0)</f>
        <v>0</v>
      </c>
      <c r="U49" s="1"/>
      <c r="V49" s="5">
        <f t="shared" si="33"/>
        <v>0</v>
      </c>
      <c r="W49" s="1"/>
      <c r="X49" s="1">
        <f t="shared" si="34"/>
        <v>280.13</v>
      </c>
      <c r="Y49" s="1"/>
      <c r="Z49" s="5">
        <f t="shared" si="35"/>
        <v>0</v>
      </c>
    </row>
    <row r="50" spans="1:26" s="24" customFormat="1" hidden="1" outlineLevel="2" x14ac:dyDescent="0.25">
      <c r="A50" s="29"/>
      <c r="B50" s="11" t="str">
        <f>CONCATENATE("          ", "6373", " - ", "MAINTENANCE CONTRACTS")</f>
        <v xml:space="preserve">          6373 - MAINTENANCE CONTRACTS</v>
      </c>
      <c r="C50" s="11"/>
      <c r="D50" s="6">
        <v>48.23</v>
      </c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48.23</v>
      </c>
      <c r="M50" s="2"/>
      <c r="N50" s="7">
        <f t="shared" si="31"/>
        <v>0</v>
      </c>
      <c r="O50" s="11"/>
      <c r="P50" s="6">
        <v>166.13</v>
      </c>
      <c r="Q50" s="2"/>
      <c r="R50" s="7">
        <f t="shared" si="32"/>
        <v>0</v>
      </c>
      <c r="S50" s="2"/>
      <c r="T50" s="6"/>
      <c r="U50" s="2"/>
      <c r="V50" s="7">
        <f t="shared" si="33"/>
        <v>0</v>
      </c>
      <c r="W50" s="2"/>
      <c r="X50" s="6">
        <f t="shared" si="34"/>
        <v>166.13</v>
      </c>
      <c r="Y50" s="2"/>
      <c r="Z50" s="7">
        <f t="shared" si="35"/>
        <v>0</v>
      </c>
    </row>
    <row r="51" spans="1:26" s="24" customFormat="1" hidden="1" outlineLevel="2" x14ac:dyDescent="0.25">
      <c r="A51" s="29"/>
      <c r="B51" s="11" t="str">
        <f>CONCATENATE("          ", "6375", " - ", "OUTSIDE REPAIRS &amp; MAINTENANCE")</f>
        <v xml:space="preserve">          6375 - OUTSIDE REPAIRS &amp; MAINTENANCE</v>
      </c>
      <c r="C51" s="11"/>
      <c r="D51" s="6"/>
      <c r="E51" s="2"/>
      <c r="F51" s="7">
        <f t="shared" si="28"/>
        <v>0</v>
      </c>
      <c r="G51" s="2"/>
      <c r="H51" s="6">
        <v>0</v>
      </c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>
        <v>114</v>
      </c>
      <c r="Q51" s="2"/>
      <c r="R51" s="7">
        <f t="shared" si="32"/>
        <v>0</v>
      </c>
      <c r="S51" s="2"/>
      <c r="T51" s="6">
        <v>0</v>
      </c>
      <c r="U51" s="2"/>
      <c r="V51" s="7">
        <f t="shared" si="33"/>
        <v>0</v>
      </c>
      <c r="W51" s="2"/>
      <c r="X51" s="6">
        <f t="shared" si="34"/>
        <v>114</v>
      </c>
      <c r="Y51" s="2"/>
      <c r="Z51" s="7">
        <f t="shared" si="35"/>
        <v>0</v>
      </c>
    </row>
    <row r="52" spans="1:26" s="28" customFormat="1" outlineLevel="1" collapsed="1" x14ac:dyDescent="0.25">
      <c r="A52" s="27"/>
      <c r="B52" s="14" t="str">
        <f>CONCATENATE("     ","Services                                          ")</f>
        <v xml:space="preserve">     Services                                          </v>
      </c>
      <c r="C52" s="14"/>
      <c r="D52" s="1">
        <f>SUM(OSRRefD22_7x_0)</f>
        <v>0</v>
      </c>
      <c r="E52" s="1"/>
      <c r="F52" s="5">
        <f t="shared" ref="F52:F54" si="36">IF(D$12=0,0,D52/D$12)</f>
        <v>0</v>
      </c>
      <c r="G52" s="1"/>
      <c r="H52" s="1">
        <f>SUM(OSRRefH22_7x_0)</f>
        <v>0</v>
      </c>
      <c r="I52" s="1"/>
      <c r="J52" s="5">
        <f t="shared" ref="J52:J54" si="37">IF(H$12=0,0,H52/H$12)</f>
        <v>0</v>
      </c>
      <c r="K52" s="1"/>
      <c r="L52" s="1">
        <f t="shared" ref="L52:L54" si="38">+D52-H52</f>
        <v>0</v>
      </c>
      <c r="M52" s="1"/>
      <c r="N52" s="5">
        <f t="shared" ref="N52:N54" si="39">IF(H52=0,0,L52/H52)</f>
        <v>0</v>
      </c>
      <c r="O52" s="14"/>
      <c r="P52" s="1">
        <f>SUM(OSRRefP22_7x_0)</f>
        <v>-374.91999999999996</v>
      </c>
      <c r="Q52" s="1"/>
      <c r="R52" s="5">
        <f t="shared" ref="R52:R54" si="40">IF(P$12=0,0,P52/P$12)</f>
        <v>0</v>
      </c>
      <c r="S52" s="1"/>
      <c r="T52" s="1">
        <f>SUM(OSRRefT22_7x_0)</f>
        <v>0</v>
      </c>
      <c r="U52" s="1"/>
      <c r="V52" s="5">
        <f t="shared" ref="V52:V54" si="41">IF(T$12=0,0,T52/T$12)</f>
        <v>0</v>
      </c>
      <c r="W52" s="1"/>
      <c r="X52" s="1">
        <f t="shared" ref="X52:X54" si="42">+P52-T52</f>
        <v>-374.91999999999996</v>
      </c>
      <c r="Y52" s="1"/>
      <c r="Z52" s="5">
        <f t="shared" ref="Z52:Z54" si="43">IF(T52=0,0,X52/T52)</f>
        <v>0</v>
      </c>
    </row>
    <row r="53" spans="1:26" s="24" customFormat="1" hidden="1" outlineLevel="2" x14ac:dyDescent="0.25">
      <c r="A53" s="29"/>
      <c r="B53" s="11" t="str">
        <f>CONCATENATE("          ", "6282", " - ", "JANITORIAL/EXTERMINATOR EXPENS")</f>
        <v xml:space="preserve">          6282 - JANITORIAL/EXTERMINATOR EXPENS</v>
      </c>
      <c r="C53" s="11"/>
      <c r="D53" s="6"/>
      <c r="E53" s="2"/>
      <c r="F53" s="7">
        <f t="shared" si="36"/>
        <v>0</v>
      </c>
      <c r="G53" s="2"/>
      <c r="H53" s="6"/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>
        <v>-201.88</v>
      </c>
      <c r="Q53" s="2"/>
      <c r="R53" s="7">
        <f t="shared" si="40"/>
        <v>0</v>
      </c>
      <c r="S53" s="2"/>
      <c r="T53" s="6"/>
      <c r="U53" s="2"/>
      <c r="V53" s="7">
        <f t="shared" si="41"/>
        <v>0</v>
      </c>
      <c r="W53" s="2"/>
      <c r="X53" s="6">
        <f t="shared" si="42"/>
        <v>-201.88</v>
      </c>
      <c r="Y53" s="2"/>
      <c r="Z53" s="7">
        <f t="shared" si="43"/>
        <v>0</v>
      </c>
    </row>
    <row r="54" spans="1:26" s="24" customFormat="1" hidden="1" outlineLevel="2" x14ac:dyDescent="0.25">
      <c r="A54" s="29"/>
      <c r="B54" s="11" t="str">
        <f>CONCATENATE("          ", "6285", " - ", "JANITORIAL SERVICES")</f>
        <v xml:space="preserve">          6285 - JANITORIAL SERVICES</v>
      </c>
      <c r="C54" s="11"/>
      <c r="D54" s="6"/>
      <c r="E54" s="2"/>
      <c r="F54" s="7">
        <f t="shared" si="36"/>
        <v>0</v>
      </c>
      <c r="G54" s="2"/>
      <c r="H54" s="6">
        <v>0</v>
      </c>
      <c r="I54" s="2"/>
      <c r="J54" s="7">
        <f t="shared" si="37"/>
        <v>0</v>
      </c>
      <c r="K54" s="2"/>
      <c r="L54" s="6">
        <f t="shared" si="38"/>
        <v>0</v>
      </c>
      <c r="M54" s="2"/>
      <c r="N54" s="7">
        <f t="shared" si="39"/>
        <v>0</v>
      </c>
      <c r="O54" s="11"/>
      <c r="P54" s="6">
        <v>-173.04</v>
      </c>
      <c r="Q54" s="2"/>
      <c r="R54" s="7">
        <f t="shared" si="40"/>
        <v>0</v>
      </c>
      <c r="S54" s="2"/>
      <c r="T54" s="6">
        <v>0</v>
      </c>
      <c r="U54" s="2"/>
      <c r="V54" s="7">
        <f t="shared" si="41"/>
        <v>0</v>
      </c>
      <c r="W54" s="2"/>
      <c r="X54" s="6">
        <f t="shared" si="42"/>
        <v>-173.04</v>
      </c>
      <c r="Y54" s="2"/>
      <c r="Z54" s="7">
        <f t="shared" si="43"/>
        <v>0</v>
      </c>
    </row>
    <row r="55" spans="1:26" s="28" customFormat="1" outlineLevel="1" collapsed="1" x14ac:dyDescent="0.25">
      <c r="A55" s="27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SUM(OSRRefD22_8x_0)</f>
        <v>0</v>
      </c>
      <c r="E55" s="1"/>
      <c r="F55" s="5">
        <f t="shared" ref="F55:F57" si="44">IF(D$12=0,0,D55/D$12)</f>
        <v>0</v>
      </c>
      <c r="G55" s="1"/>
      <c r="H55" s="1">
        <f>SUM(OSRRefH22_8x_0)</f>
        <v>0</v>
      </c>
      <c r="I55" s="1"/>
      <c r="J55" s="5">
        <f t="shared" ref="J55:J57" si="45">IF(H$12=0,0,H55/H$12)</f>
        <v>0</v>
      </c>
      <c r="K55" s="1"/>
      <c r="L55" s="1">
        <f t="shared" ref="L55:L57" si="46">+D55-H55</f>
        <v>0</v>
      </c>
      <c r="M55" s="1"/>
      <c r="N55" s="5">
        <f t="shared" ref="N55:N57" si="47">IF(H55=0,0,L55/H55)</f>
        <v>0</v>
      </c>
      <c r="O55" s="14"/>
      <c r="P55" s="1">
        <f>SUM(OSRRefP22_8x_0)</f>
        <v>0</v>
      </c>
      <c r="Q55" s="1"/>
      <c r="R55" s="5">
        <f t="shared" ref="R55:R57" si="48">IF(P$12=0,0,P55/P$12)</f>
        <v>0</v>
      </c>
      <c r="S55" s="1"/>
      <c r="T55" s="1">
        <f>SUM(OSRRefT22_8x_0)</f>
        <v>0</v>
      </c>
      <c r="U55" s="1"/>
      <c r="V55" s="5">
        <f t="shared" ref="V55:V57" si="49">IF(T$12=0,0,T55/T$12)</f>
        <v>0</v>
      </c>
      <c r="W55" s="1"/>
      <c r="X55" s="1">
        <f t="shared" ref="X55:X57" si="50">+P55-T55</f>
        <v>0</v>
      </c>
      <c r="Y55" s="1"/>
      <c r="Z55" s="5">
        <f t="shared" ref="Z55:Z57" si="51">IF(T55=0,0,X55/T55)</f>
        <v>0</v>
      </c>
    </row>
    <row r="56" spans="1:26" s="24" customFormat="1" hidden="1" outlineLevel="2" x14ac:dyDescent="0.25">
      <c r="A56" s="29"/>
      <c r="B56" s="11" t="str">
        <f>CONCATENATE("          ", "6235", " - ", "COVID-19 EXPENSES")</f>
        <v xml:space="preserve">          6235 - COVID-19 EXPENSES</v>
      </c>
      <c r="C56" s="11"/>
      <c r="D56" s="6"/>
      <c r="E56" s="2"/>
      <c r="F56" s="7">
        <f t="shared" si="44"/>
        <v>0</v>
      </c>
      <c r="G56" s="2"/>
      <c r="H56" s="6">
        <v>0</v>
      </c>
      <c r="I56" s="2"/>
      <c r="J56" s="7">
        <f t="shared" si="45"/>
        <v>0</v>
      </c>
      <c r="K56" s="2"/>
      <c r="L56" s="6">
        <f t="shared" si="46"/>
        <v>0</v>
      </c>
      <c r="M56" s="2"/>
      <c r="N56" s="7">
        <f t="shared" si="47"/>
        <v>0</v>
      </c>
      <c r="O56" s="11"/>
      <c r="P56" s="6"/>
      <c r="Q56" s="2"/>
      <c r="R56" s="7">
        <f t="shared" si="48"/>
        <v>0</v>
      </c>
      <c r="S56" s="2"/>
      <c r="T56" s="6">
        <v>0</v>
      </c>
      <c r="U56" s="2"/>
      <c r="V56" s="7">
        <f t="shared" si="49"/>
        <v>0</v>
      </c>
      <c r="W56" s="2"/>
      <c r="X56" s="6">
        <f t="shared" si="50"/>
        <v>0</v>
      </c>
      <c r="Y56" s="2"/>
      <c r="Z56" s="7">
        <f t="shared" si="51"/>
        <v>0</v>
      </c>
    </row>
    <row r="57" spans="1:26" s="24" customFormat="1" hidden="1" outlineLevel="2" x14ac:dyDescent="0.25">
      <c r="A57" s="29"/>
      <c r="B57" s="11" t="str">
        <f>CONCATENATE("          ", "6247", " - ", "STORE SUPPLIES")</f>
        <v xml:space="preserve">          6247 - STORE SUPPLIES</v>
      </c>
      <c r="C57" s="11"/>
      <c r="D57" s="6"/>
      <c r="E57" s="2"/>
      <c r="F57" s="7">
        <f t="shared" si="44"/>
        <v>0</v>
      </c>
      <c r="G57" s="2"/>
      <c r="H57" s="6">
        <v>0</v>
      </c>
      <c r="I57" s="2"/>
      <c r="J57" s="7">
        <f t="shared" si="45"/>
        <v>0</v>
      </c>
      <c r="K57" s="2"/>
      <c r="L57" s="6">
        <f t="shared" si="46"/>
        <v>0</v>
      </c>
      <c r="M57" s="2"/>
      <c r="N57" s="7">
        <f t="shared" si="47"/>
        <v>0</v>
      </c>
      <c r="O57" s="11"/>
      <c r="P57" s="6"/>
      <c r="Q57" s="2"/>
      <c r="R57" s="7">
        <f t="shared" si="48"/>
        <v>0</v>
      </c>
      <c r="S57" s="2"/>
      <c r="T57" s="6">
        <v>0</v>
      </c>
      <c r="U57" s="2"/>
      <c r="V57" s="7">
        <f t="shared" si="49"/>
        <v>0</v>
      </c>
      <c r="W57" s="2"/>
      <c r="X57" s="6">
        <f t="shared" si="50"/>
        <v>0</v>
      </c>
      <c r="Y57" s="2"/>
      <c r="Z57" s="7">
        <f t="shared" si="51"/>
        <v>0</v>
      </c>
    </row>
    <row r="58" spans="1:26" s="28" customFormat="1" outlineLevel="1" collapsed="1" x14ac:dyDescent="0.25">
      <c r="A58" s="27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SUM(OSRRefD22_9x_0)</f>
        <v>-6.13</v>
      </c>
      <c r="E58" s="1"/>
      <c r="F58" s="5">
        <f t="shared" ref="F58:F59" si="52">IF(D$12=0,0,D58/D$12)</f>
        <v>0</v>
      </c>
      <c r="G58" s="1"/>
      <c r="H58" s="1">
        <f>SUM(OSRRefH22_9x_0)</f>
        <v>0</v>
      </c>
      <c r="I58" s="1"/>
      <c r="J58" s="5">
        <f t="shared" ref="J58:J59" si="53">IF(H$12=0,0,H58/H$12)</f>
        <v>0</v>
      </c>
      <c r="K58" s="1"/>
      <c r="L58" s="1">
        <f t="shared" ref="L58:L59" si="54">+D58-H58</f>
        <v>-6.13</v>
      </c>
      <c r="M58" s="1"/>
      <c r="N58" s="5">
        <f t="shared" ref="N58:N59" si="55">IF(H58=0,0,L58/H58)</f>
        <v>0</v>
      </c>
      <c r="O58" s="14"/>
      <c r="P58" s="1">
        <f>SUM(OSRRefP22_9x_0)</f>
        <v>175.89</v>
      </c>
      <c r="Q58" s="1"/>
      <c r="R58" s="5">
        <f t="shared" ref="R58:R59" si="56">IF(P$12=0,0,P58/P$12)</f>
        <v>0</v>
      </c>
      <c r="S58" s="1"/>
      <c r="T58" s="1">
        <f>SUM(OSRRefT22_9x_0)</f>
        <v>0</v>
      </c>
      <c r="U58" s="1"/>
      <c r="V58" s="5">
        <f t="shared" ref="V58:V59" si="57">IF(T$12=0,0,T58/T$12)</f>
        <v>0</v>
      </c>
      <c r="W58" s="1"/>
      <c r="X58" s="1">
        <f t="shared" ref="X58:X59" si="58">+P58-T58</f>
        <v>175.89</v>
      </c>
      <c r="Y58" s="1"/>
      <c r="Z58" s="5">
        <f t="shared" ref="Z58:Z59" si="59">IF(T58=0,0,X58/T58)</f>
        <v>0</v>
      </c>
    </row>
    <row r="59" spans="1:26" s="24" customFormat="1" hidden="1" outlineLevel="2" x14ac:dyDescent="0.25">
      <c r="A59" s="29"/>
      <c r="B59" s="11" t="str">
        <f>CONCATENATE("          ", "6309", " - ", "TELEPHONE")</f>
        <v xml:space="preserve">          6309 - TELEPHONE</v>
      </c>
      <c r="C59" s="11"/>
      <c r="D59" s="6">
        <v>-6.13</v>
      </c>
      <c r="E59" s="2"/>
      <c r="F59" s="7">
        <f t="shared" si="52"/>
        <v>0</v>
      </c>
      <c r="G59" s="2"/>
      <c r="H59" s="6"/>
      <c r="I59" s="2"/>
      <c r="J59" s="7">
        <f t="shared" si="53"/>
        <v>0</v>
      </c>
      <c r="K59" s="2"/>
      <c r="L59" s="6">
        <f t="shared" si="54"/>
        <v>-6.13</v>
      </c>
      <c r="M59" s="2"/>
      <c r="N59" s="7">
        <f t="shared" si="55"/>
        <v>0</v>
      </c>
      <c r="O59" s="11"/>
      <c r="P59" s="6">
        <v>175.89</v>
      </c>
      <c r="Q59" s="2"/>
      <c r="R59" s="7">
        <f t="shared" si="56"/>
        <v>0</v>
      </c>
      <c r="S59" s="2"/>
      <c r="T59" s="6"/>
      <c r="U59" s="2"/>
      <c r="V59" s="7">
        <f t="shared" si="57"/>
        <v>0</v>
      </c>
      <c r="W59" s="2"/>
      <c r="X59" s="6">
        <f t="shared" si="58"/>
        <v>175.89</v>
      </c>
      <c r="Y59" s="2"/>
      <c r="Z59" s="7">
        <f t="shared" si="59"/>
        <v>0</v>
      </c>
    </row>
    <row r="60" spans="1:26" s="61" customFormat="1" x14ac:dyDescent="0.25">
      <c r="A60" s="36"/>
      <c r="B60" s="36"/>
      <c r="C60" s="36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6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5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6" t="s">
        <v>3</v>
      </c>
      <c r="C63" s="26"/>
      <c r="D63" s="20">
        <f>+D18-D20+D61</f>
        <v>-630.27</v>
      </c>
      <c r="E63" s="13"/>
      <c r="F63" s="21">
        <f>IF(D$12=0,0,D63/D$12)</f>
        <v>0</v>
      </c>
      <c r="G63" s="13"/>
      <c r="H63" s="20">
        <f>+H18-H20+H61</f>
        <v>1</v>
      </c>
      <c r="I63" s="13"/>
      <c r="J63" s="21">
        <f>IF(H$12=0,0,H63/H$12)</f>
        <v>1</v>
      </c>
      <c r="K63" s="16"/>
      <c r="L63" s="20">
        <f>+D63-H63</f>
        <v>-631.27</v>
      </c>
      <c r="M63" s="16"/>
      <c r="N63" s="21">
        <f>IF(H63=0,0,L63/H63)</f>
        <v>-631.27</v>
      </c>
      <c r="O63" s="25"/>
      <c r="P63" s="20">
        <f>+P18-P20+P61</f>
        <v>-1581.3899999999999</v>
      </c>
      <c r="Q63" s="13"/>
      <c r="R63" s="21">
        <f>IF(P$12=0,0,P63/P$12)</f>
        <v>0</v>
      </c>
      <c r="S63" s="13"/>
      <c r="T63" s="20">
        <f>+T18-T20+T61</f>
        <v>1</v>
      </c>
      <c r="U63" s="13"/>
      <c r="V63" s="21">
        <f>IF(T$12=0,0,T63/T$12)</f>
        <v>1</v>
      </c>
      <c r="W63" s="16"/>
      <c r="X63" s="20">
        <f>+P63-T63</f>
        <v>-1582.3899999999999</v>
      </c>
      <c r="Y63" s="16"/>
      <c r="Z63" s="21">
        <f>IF(T63=0,0,X63/T63)</f>
        <v>-1582.3899999999999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2"/>
      <c r="B65" s="10" t="s">
        <v>14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4</v>
      </c>
      <c r="C67" s="26"/>
      <c r="D67" s="33">
        <f>+D63-D65</f>
        <v>-630.27</v>
      </c>
      <c r="E67" s="13"/>
      <c r="F67" s="34">
        <f>IF(D$12=0,0,D67/D$12)</f>
        <v>0</v>
      </c>
      <c r="G67" s="13"/>
      <c r="H67" s="33">
        <f>+H63-H65</f>
        <v>1</v>
      </c>
      <c r="I67" s="13"/>
      <c r="J67" s="34">
        <f>IF(H$12=0,0,H67/H$12)</f>
        <v>1</v>
      </c>
      <c r="K67" s="16"/>
      <c r="L67" s="33">
        <f>D67-H67</f>
        <v>-631.27</v>
      </c>
      <c r="M67" s="16"/>
      <c r="N67" s="34">
        <f>IF(H67=0,0,L67/H67)</f>
        <v>-631.27</v>
      </c>
      <c r="O67" s="25"/>
      <c r="P67" s="33">
        <f>+P63-P65</f>
        <v>-1581.3899999999999</v>
      </c>
      <c r="Q67" s="13"/>
      <c r="R67" s="34">
        <f>IF(P$12=0,0,P67/P$12)</f>
        <v>0</v>
      </c>
      <c r="S67" s="13"/>
      <c r="T67" s="33">
        <f>+T63-T65</f>
        <v>1</v>
      </c>
      <c r="U67" s="13"/>
      <c r="V67" s="34">
        <f>IF(T$12=0,0,T67/T$12)</f>
        <v>1</v>
      </c>
      <c r="W67" s="16"/>
      <c r="X67" s="33">
        <f>P67-T67</f>
        <v>-1582.3899999999999</v>
      </c>
      <c r="Y67" s="16"/>
      <c r="Z67" s="34">
        <f>IF(T67=0,0,X67/T67)</f>
        <v>-1582.3899999999999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6" t="s">
        <v>5</v>
      </c>
      <c r="C70" s="26"/>
      <c r="D70" s="31">
        <f>SUM(D67:D69)</f>
        <v>-630.27</v>
      </c>
      <c r="E70" s="13"/>
      <c r="F70" s="32">
        <f>IF(D$12=0,0,D70/D$12)</f>
        <v>0</v>
      </c>
      <c r="G70" s="13"/>
      <c r="H70" s="31">
        <f>SUM(H67:H69)</f>
        <v>1</v>
      </c>
      <c r="I70" s="13"/>
      <c r="J70" s="32">
        <f>IF(H$12=0,0,H70/H$12)</f>
        <v>1</v>
      </c>
      <c r="K70" s="16"/>
      <c r="L70" s="31">
        <f>+D70-H70</f>
        <v>-631.27</v>
      </c>
      <c r="M70" s="16"/>
      <c r="N70" s="32">
        <f>IF(H70=0,0,L70/H70)</f>
        <v>-631.27</v>
      </c>
      <c r="O70" s="25"/>
      <c r="P70" s="31">
        <f>SUM(P67:P69)</f>
        <v>-1581.3899999999999</v>
      </c>
      <c r="Q70" s="13"/>
      <c r="R70" s="32">
        <f>IF(P$12=0,0,P70/P$12)</f>
        <v>0</v>
      </c>
      <c r="S70" s="13"/>
      <c r="T70" s="31">
        <f>SUM(T67:T69)</f>
        <v>1</v>
      </c>
      <c r="U70" s="13"/>
      <c r="V70" s="32">
        <f>IF(T$12=0,0,T70/T$12)</f>
        <v>1</v>
      </c>
      <c r="W70" s="16"/>
      <c r="X70" s="31">
        <f>+P70-T70</f>
        <v>-1582.3899999999999</v>
      </c>
      <c r="Y70" s="16"/>
      <c r="Z70" s="32">
        <f>IF(T70=0,0,X70/T70)</f>
        <v>-1582.3899999999999</v>
      </c>
    </row>
    <row r="71" spans="1:26" ht="15.75" thickTop="1" x14ac:dyDescent="0.25">
      <c r="A71" s="9"/>
      <c r="C71" s="9"/>
      <c r="D71" s="17"/>
      <c r="E71" s="17"/>
      <c r="G71" s="17"/>
      <c r="H71" s="17"/>
      <c r="I71" s="17"/>
      <c r="J71" s="43"/>
      <c r="K71" s="17"/>
      <c r="L71" s="17"/>
      <c r="M71" s="17"/>
      <c r="P71" s="17"/>
      <c r="Q71" s="17"/>
      <c r="R71" s="43"/>
      <c r="S71" s="17"/>
      <c r="T71" s="17"/>
      <c r="U71" s="17"/>
      <c r="V71" s="43"/>
      <c r="W71" s="17"/>
      <c r="X71" s="17"/>
    </row>
    <row r="72" spans="1:26" x14ac:dyDescent="0.25">
      <c r="A72" s="9"/>
      <c r="B72" s="55">
        <v>44123.571944525465</v>
      </c>
      <c r="D72" s="17"/>
      <c r="E72" s="17"/>
      <c r="G72" s="17"/>
      <c r="H72" s="17"/>
      <c r="I72" s="17"/>
      <c r="J72" s="43"/>
      <c r="K72" s="17"/>
      <c r="L72" s="17"/>
      <c r="M72" s="17"/>
      <c r="P72" s="17"/>
      <c r="Q72" s="17"/>
      <c r="R72" s="43"/>
      <c r="S72" s="17"/>
      <c r="T72" s="17"/>
      <c r="U72" s="17"/>
      <c r="V72" s="43"/>
      <c r="W72" s="17"/>
      <c r="X72" s="17"/>
    </row>
    <row r="73" spans="1:26" x14ac:dyDescent="0.25">
      <c r="A73" s="9"/>
      <c r="B73" s="53" t="s">
        <v>314</v>
      </c>
      <c r="D73" s="17"/>
      <c r="E73" s="17"/>
      <c r="G73" s="17"/>
      <c r="H73" s="17"/>
      <c r="I73" s="17"/>
      <c r="J73" s="43"/>
      <c r="K73" s="17"/>
      <c r="L73" s="17"/>
      <c r="M73" s="17"/>
      <c r="P73" s="17"/>
      <c r="Q73" s="17"/>
      <c r="R73" s="43"/>
      <c r="S73" s="17"/>
      <c r="T73" s="17"/>
      <c r="U73" s="17"/>
      <c r="V73" s="43"/>
      <c r="W73" s="17"/>
      <c r="X73" s="17"/>
    </row>
    <row r="74" spans="1:26" x14ac:dyDescent="0.25">
      <c r="A74" s="9"/>
      <c r="B74" s="62"/>
      <c r="D74" s="17"/>
      <c r="E74" s="17"/>
      <c r="G74" s="17"/>
      <c r="H74" s="17"/>
      <c r="I74" s="17"/>
      <c r="J74" s="43"/>
      <c r="K74" s="17"/>
      <c r="L74" s="17"/>
      <c r="M74" s="17"/>
      <c r="P74" s="17"/>
      <c r="Q74" s="17"/>
      <c r="R74" s="43"/>
      <c r="S74" s="17"/>
      <c r="T74" s="17"/>
      <c r="U74" s="17"/>
      <c r="V74" s="43"/>
      <c r="W74" s="17"/>
      <c r="X74" s="17"/>
    </row>
    <row r="75" spans="1:26" x14ac:dyDescent="0.25">
      <c r="D75" s="17"/>
      <c r="E75" s="17"/>
      <c r="G75" s="17"/>
      <c r="H75" s="17"/>
      <c r="I75" s="17"/>
      <c r="J75" s="43"/>
      <c r="K75" s="17"/>
      <c r="L75" s="17"/>
      <c r="M75" s="17"/>
      <c r="P75" s="17"/>
      <c r="Q75" s="17"/>
      <c r="R75" s="43"/>
      <c r="S75" s="17"/>
      <c r="T75" s="17"/>
      <c r="U75" s="17"/>
      <c r="V75" s="43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","313", " - ", "Convenience Store")</f>
        <v>Department 313 - Convenience Store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16643</v>
      </c>
      <c r="I12" s="4"/>
      <c r="J12" s="12"/>
      <c r="K12" s="4"/>
      <c r="L12" s="4">
        <f t="shared" ref="L12:L13" si="0">+D12-H12</f>
        <v>-16643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19714</v>
      </c>
      <c r="U12" s="4"/>
      <c r="V12" s="12"/>
      <c r="W12" s="4"/>
      <c r="X12" s="4">
        <f t="shared" ref="X12:X13" si="2">+P12-T12</f>
        <v>-19714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16643</v>
      </c>
      <c r="I13" s="2"/>
      <c r="J13" s="22"/>
      <c r="K13" s="2"/>
      <c r="L13" s="2">
        <f t="shared" si="0"/>
        <v>-16643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19714</v>
      </c>
      <c r="U13" s="2"/>
      <c r="V13" s="22"/>
      <c r="W13" s="2"/>
      <c r="X13" s="2">
        <f t="shared" si="2"/>
        <v>-19714</v>
      </c>
      <c r="Y13" s="2"/>
      <c r="Z13" s="22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7889</v>
      </c>
      <c r="I15" s="4"/>
      <c r="J15" s="12">
        <f t="shared" ref="J15:J17" si="5">IF(H$12=0,0,H15/H$12)</f>
        <v>0.47401309860001201</v>
      </c>
      <c r="K15" s="4"/>
      <c r="L15" s="4">
        <f t="shared" ref="L15:L17" si="6">+D15-H15</f>
        <v>-7889</v>
      </c>
      <c r="M15" s="4"/>
      <c r="N15" s="12">
        <f t="shared" ref="N15:N17" si="7">IF(H15=0,0,L15/H15)</f>
        <v>-1</v>
      </c>
      <c r="O15" s="10"/>
      <c r="P15" s="4">
        <f>SUM(OSRRefP16x_0)</f>
        <v>-613.59</v>
      </c>
      <c r="Q15" s="4"/>
      <c r="R15" s="12">
        <f t="shared" ref="R15:R17" si="8">IF(P$12=0,0,P15/P$12)</f>
        <v>0</v>
      </c>
      <c r="S15" s="4"/>
      <c r="T15" s="4">
        <f>SUM(OSRRefT16x_0)</f>
        <v>9345</v>
      </c>
      <c r="U15" s="4"/>
      <c r="V15" s="12">
        <f t="shared" ref="V15:V17" si="9">IF(T$12=0,0,T15/T$12)</f>
        <v>0.47402860911027694</v>
      </c>
      <c r="W15" s="4"/>
      <c r="X15" s="4">
        <f t="shared" ref="X15:X17" si="10">+P15-T15</f>
        <v>-9958.59</v>
      </c>
      <c r="Y15" s="4"/>
      <c r="Z15" s="12">
        <f t="shared" ref="Z15:Z17" si="11">IF(T15=0,0,X15/T15)</f>
        <v>-1.0656597110754413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7889</v>
      </c>
      <c r="I16" s="2"/>
      <c r="J16" s="22">
        <f t="shared" si="5"/>
        <v>0.47401309860001201</v>
      </c>
      <c r="K16" s="2"/>
      <c r="L16" s="2">
        <f t="shared" si="6"/>
        <v>-7889</v>
      </c>
      <c r="M16" s="2"/>
      <c r="N16" s="22">
        <f t="shared" si="7"/>
        <v>-1</v>
      </c>
      <c r="O16" s="11"/>
      <c r="P16" s="2"/>
      <c r="Q16" s="2"/>
      <c r="R16" s="22">
        <f t="shared" si="8"/>
        <v>0</v>
      </c>
      <c r="S16" s="2"/>
      <c r="T16" s="2">
        <v>9345</v>
      </c>
      <c r="U16" s="2"/>
      <c r="V16" s="22">
        <f t="shared" si="9"/>
        <v>0.47402860911027694</v>
      </c>
      <c r="W16" s="2"/>
      <c r="X16" s="2">
        <f t="shared" si="10"/>
        <v>-9345</v>
      </c>
      <c r="Y16" s="2"/>
      <c r="Z16" s="22">
        <f t="shared" si="11"/>
        <v>-1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-613.59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-613.59</v>
      </c>
      <c r="Y17" s="2"/>
      <c r="Z17" s="22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D12-D15</f>
        <v>0</v>
      </c>
      <c r="E19" s="13"/>
      <c r="F19" s="21">
        <f>IF(D$12=0,0,D19/D$12)</f>
        <v>0</v>
      </c>
      <c r="G19" s="13"/>
      <c r="H19" s="20">
        <f>H12-H15</f>
        <v>8754</v>
      </c>
      <c r="I19" s="13"/>
      <c r="J19" s="21">
        <f>IF(H$12=0,0,H19/H$12)</f>
        <v>0.52598690139998794</v>
      </c>
      <c r="K19" s="16"/>
      <c r="L19" s="20">
        <f>+D19-H19</f>
        <v>-8754</v>
      </c>
      <c r="M19" s="16"/>
      <c r="N19" s="21">
        <f>IF(H19=0,0,L19/H19)</f>
        <v>-1</v>
      </c>
      <c r="O19" s="25"/>
      <c r="P19" s="20">
        <f>P12-P15</f>
        <v>613.59</v>
      </c>
      <c r="Q19" s="13"/>
      <c r="R19" s="21">
        <f>IF(P$12=0,0,P19/P$12)</f>
        <v>0</v>
      </c>
      <c r="S19" s="13"/>
      <c r="T19" s="20">
        <f>T12-T15</f>
        <v>10369</v>
      </c>
      <c r="U19" s="13"/>
      <c r="V19" s="21">
        <f>IF(T$12=0,0,T19/T$12)</f>
        <v>0.525971390889723</v>
      </c>
      <c r="W19" s="16"/>
      <c r="X19" s="20">
        <f>+P19-T19</f>
        <v>-9755.41</v>
      </c>
      <c r="Y19" s="16"/>
      <c r="Z19" s="21">
        <f>IF(T19=0,0,X19/T19)</f>
        <v>-0.94082457324717905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19">
        <f>SUM(OSRRefD22x_0)</f>
        <v>9582.5499999999993</v>
      </c>
      <c r="E21" s="19"/>
      <c r="F21" s="35">
        <f t="shared" ref="F21:F31" si="12">IF(D$12=0,0,D21/D$12)</f>
        <v>0</v>
      </c>
      <c r="G21" s="19"/>
      <c r="H21" s="19">
        <f>SUM(OSRRefH22x_0)</f>
        <v>14145.41822</v>
      </c>
      <c r="I21" s="19"/>
      <c r="J21" s="35">
        <f t="shared" ref="J21:J31" si="13">IF(H$12=0,0,H21/H$12)</f>
        <v>0.84993199663522201</v>
      </c>
      <c r="K21" s="4"/>
      <c r="L21" s="19">
        <f t="shared" ref="L21:L31" si="14">+D21-H21</f>
        <v>-4562.8682200000003</v>
      </c>
      <c r="M21" s="4"/>
      <c r="N21" s="35">
        <f t="shared" ref="N21:N31" si="15">IF(H21=0,0,L21/H21)</f>
        <v>-0.32256863311037548</v>
      </c>
      <c r="O21" s="10"/>
      <c r="P21" s="19">
        <f>SUM(OSRRefP22x_0)</f>
        <v>28937.78</v>
      </c>
      <c r="Q21" s="19"/>
      <c r="R21" s="35">
        <f t="shared" ref="R21:R31" si="16">IF(P$12=0,0,P21/P$12)</f>
        <v>0</v>
      </c>
      <c r="S21" s="19"/>
      <c r="T21" s="19">
        <f>SUM(OSRRefT22x_0)</f>
        <v>39633.242324999999</v>
      </c>
      <c r="U21" s="19"/>
      <c r="V21" s="35">
        <f t="shared" ref="V21:V31" si="17">IF(T$12=0,0,T21/T$12)</f>
        <v>2.0104109934564267</v>
      </c>
      <c r="W21" s="4"/>
      <c r="X21" s="19">
        <f t="shared" ref="X21:X31" si="18">+P21-T21</f>
        <v>-10695.462325</v>
      </c>
      <c r="Y21" s="4"/>
      <c r="Z21" s="35">
        <f t="shared" ref="Z21:Z31" si="19">IF(T21=0,0,X21/T21)</f>
        <v>-0.26986089700396471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3929.6699999999996</v>
      </c>
      <c r="E22" s="1"/>
      <c r="F22" s="5">
        <f t="shared" si="12"/>
        <v>0</v>
      </c>
      <c r="G22" s="1"/>
      <c r="H22" s="1">
        <f>SUM(OSRRefH22_0x_0)</f>
        <v>3603.7182200000002</v>
      </c>
      <c r="I22" s="1"/>
      <c r="J22" s="5">
        <f t="shared" si="13"/>
        <v>0.21653056660457851</v>
      </c>
      <c r="K22" s="1"/>
      <c r="L22" s="1">
        <f t="shared" si="14"/>
        <v>325.95177999999942</v>
      </c>
      <c r="M22" s="1"/>
      <c r="N22" s="5">
        <f t="shared" si="15"/>
        <v>9.0448742132785115E-2</v>
      </c>
      <c r="O22" s="14"/>
      <c r="P22" s="1">
        <f>SUM(OSRRefP22_0x_0)</f>
        <v>11956.92</v>
      </c>
      <c r="Q22" s="1"/>
      <c r="R22" s="5">
        <f t="shared" si="16"/>
        <v>0</v>
      </c>
      <c r="S22" s="1"/>
      <c r="T22" s="1">
        <f>SUM(OSRRefT22_0x_0)</f>
        <v>10988.217325</v>
      </c>
      <c r="U22" s="1"/>
      <c r="V22" s="5">
        <f t="shared" si="17"/>
        <v>0.55738142056406614</v>
      </c>
      <c r="W22" s="1"/>
      <c r="X22" s="1">
        <f t="shared" si="18"/>
        <v>968.70267500000045</v>
      </c>
      <c r="Y22" s="1"/>
      <c r="Z22" s="5">
        <f t="shared" si="19"/>
        <v>8.8158310520128028E-2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6">
        <v>357.68</v>
      </c>
      <c r="E23" s="2"/>
      <c r="F23" s="7">
        <f t="shared" si="12"/>
        <v>0</v>
      </c>
      <c r="G23" s="2"/>
      <c r="H23" s="6">
        <v>503.10822000000002</v>
      </c>
      <c r="I23" s="2"/>
      <c r="J23" s="7">
        <f t="shared" si="13"/>
        <v>3.0229418974944421E-2</v>
      </c>
      <c r="K23" s="2"/>
      <c r="L23" s="6">
        <f t="shared" si="14"/>
        <v>-145.42822000000001</v>
      </c>
      <c r="M23" s="2"/>
      <c r="N23" s="7">
        <f t="shared" si="15"/>
        <v>-0.28905951884467324</v>
      </c>
      <c r="O23" s="11"/>
      <c r="P23" s="6">
        <v>1099.18</v>
      </c>
      <c r="Q23" s="2"/>
      <c r="R23" s="7">
        <f t="shared" si="16"/>
        <v>0</v>
      </c>
      <c r="S23" s="2"/>
      <c r="T23" s="6">
        <v>1547.245275</v>
      </c>
      <c r="U23" s="2"/>
      <c r="V23" s="7">
        <f t="shared" si="17"/>
        <v>7.8484593436136757E-2</v>
      </c>
      <c r="W23" s="2"/>
      <c r="X23" s="6">
        <f t="shared" si="18"/>
        <v>-448.06527499999993</v>
      </c>
      <c r="Y23" s="2"/>
      <c r="Z23" s="7">
        <f t="shared" si="19"/>
        <v>-0.28958904075502828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6">
        <v>86.5</v>
      </c>
      <c r="E24" s="2"/>
      <c r="F24" s="7">
        <f t="shared" si="12"/>
        <v>0</v>
      </c>
      <c r="G24" s="2"/>
      <c r="H24" s="6">
        <v>165.39</v>
      </c>
      <c r="I24" s="2"/>
      <c r="J24" s="7">
        <f t="shared" si="13"/>
        <v>9.9375112659977165E-3</v>
      </c>
      <c r="K24" s="2"/>
      <c r="L24" s="6">
        <f t="shared" si="14"/>
        <v>-78.889999999999986</v>
      </c>
      <c r="M24" s="2"/>
      <c r="N24" s="7">
        <f t="shared" si="15"/>
        <v>-0.47699377229578566</v>
      </c>
      <c r="O24" s="11"/>
      <c r="P24" s="6">
        <v>265.82</v>
      </c>
      <c r="Q24" s="2"/>
      <c r="R24" s="7">
        <f t="shared" si="16"/>
        <v>0</v>
      </c>
      <c r="S24" s="2"/>
      <c r="T24" s="6">
        <v>452.24175000000002</v>
      </c>
      <c r="U24" s="2"/>
      <c r="V24" s="7">
        <f t="shared" si="17"/>
        <v>2.2940131378715634E-2</v>
      </c>
      <c r="W24" s="2"/>
      <c r="X24" s="6">
        <f t="shared" si="18"/>
        <v>-186.42175000000003</v>
      </c>
      <c r="Y24" s="2"/>
      <c r="Z24" s="7">
        <f t="shared" si="19"/>
        <v>-0.41221702772908519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6">
        <v>2021.26</v>
      </c>
      <c r="E25" s="2"/>
      <c r="F25" s="7">
        <f t="shared" si="12"/>
        <v>0</v>
      </c>
      <c r="G25" s="2"/>
      <c r="H25" s="6">
        <v>1980</v>
      </c>
      <c r="I25" s="2"/>
      <c r="J25" s="7">
        <f t="shared" si="13"/>
        <v>0.11896893588896233</v>
      </c>
      <c r="K25" s="2"/>
      <c r="L25" s="6">
        <f t="shared" si="14"/>
        <v>41.259999999999991</v>
      </c>
      <c r="M25" s="2"/>
      <c r="N25" s="7">
        <f t="shared" si="15"/>
        <v>2.0838383838383833E-2</v>
      </c>
      <c r="O25" s="11"/>
      <c r="P25" s="6">
        <v>6063.78</v>
      </c>
      <c r="Q25" s="2"/>
      <c r="R25" s="7">
        <f t="shared" si="16"/>
        <v>0</v>
      </c>
      <c r="S25" s="2"/>
      <c r="T25" s="6">
        <v>5940</v>
      </c>
      <c r="U25" s="2"/>
      <c r="V25" s="7">
        <f t="shared" si="17"/>
        <v>0.30130871461905245</v>
      </c>
      <c r="W25" s="2"/>
      <c r="X25" s="6">
        <f t="shared" si="18"/>
        <v>123.77999999999975</v>
      </c>
      <c r="Y25" s="2"/>
      <c r="Z25" s="7">
        <f t="shared" si="19"/>
        <v>2.0838383838383795E-2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6">
        <v>12.16</v>
      </c>
      <c r="E26" s="2"/>
      <c r="F26" s="7">
        <f t="shared" si="12"/>
        <v>0</v>
      </c>
      <c r="G26" s="2"/>
      <c r="H26" s="6">
        <v>23.244</v>
      </c>
      <c r="I26" s="2"/>
      <c r="J26" s="7">
        <f t="shared" si="13"/>
        <v>1.3966232049510304E-3</v>
      </c>
      <c r="K26" s="2"/>
      <c r="L26" s="6">
        <f t="shared" si="14"/>
        <v>-11.084</v>
      </c>
      <c r="M26" s="2"/>
      <c r="N26" s="7">
        <f t="shared" si="15"/>
        <v>-0.47685424195491311</v>
      </c>
      <c r="O26" s="11"/>
      <c r="P26" s="6">
        <v>37.36</v>
      </c>
      <c r="Q26" s="2"/>
      <c r="R26" s="7">
        <f t="shared" si="16"/>
        <v>0</v>
      </c>
      <c r="S26" s="2"/>
      <c r="T26" s="6">
        <v>63.558300000000003</v>
      </c>
      <c r="U26" s="2"/>
      <c r="V26" s="7">
        <f t="shared" si="17"/>
        <v>3.2240184640357108E-3</v>
      </c>
      <c r="W26" s="2"/>
      <c r="X26" s="6">
        <f t="shared" si="18"/>
        <v>-26.198300000000003</v>
      </c>
      <c r="Y26" s="2"/>
      <c r="Z26" s="7">
        <f t="shared" si="19"/>
        <v>-0.41219321473355963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6">
        <v>614.05999999999995</v>
      </c>
      <c r="E27" s="2"/>
      <c r="F27" s="7">
        <f t="shared" si="12"/>
        <v>0</v>
      </c>
      <c r="G27" s="2"/>
      <c r="H27" s="6">
        <v>478.67599999999999</v>
      </c>
      <c r="I27" s="2"/>
      <c r="J27" s="7">
        <f t="shared" si="13"/>
        <v>2.8761401189689357E-2</v>
      </c>
      <c r="K27" s="2"/>
      <c r="L27" s="6">
        <f t="shared" si="14"/>
        <v>135.38399999999996</v>
      </c>
      <c r="M27" s="2"/>
      <c r="N27" s="7">
        <f t="shared" si="15"/>
        <v>0.28283013980228788</v>
      </c>
      <c r="O27" s="11"/>
      <c r="P27" s="6">
        <v>2149.21</v>
      </c>
      <c r="Q27" s="2"/>
      <c r="R27" s="7">
        <f t="shared" si="16"/>
        <v>0</v>
      </c>
      <c r="S27" s="2"/>
      <c r="T27" s="6">
        <v>1555.6969999999999</v>
      </c>
      <c r="U27" s="2"/>
      <c r="V27" s="7">
        <f t="shared" si="17"/>
        <v>7.8913310337830972E-2</v>
      </c>
      <c r="W27" s="2"/>
      <c r="X27" s="6">
        <f t="shared" si="18"/>
        <v>593.51300000000015</v>
      </c>
      <c r="Y27" s="2"/>
      <c r="Z27" s="7">
        <f t="shared" si="19"/>
        <v>0.38150938132554102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6">
        <v>407.06</v>
      </c>
      <c r="E29" s="2"/>
      <c r="F29" s="7">
        <f t="shared" si="12"/>
        <v>0</v>
      </c>
      <c r="G29" s="2"/>
      <c r="H29" s="6">
        <v>166.98</v>
      </c>
      <c r="I29" s="2"/>
      <c r="J29" s="7">
        <f t="shared" si="13"/>
        <v>1.0033046926635822E-2</v>
      </c>
      <c r="K29" s="2"/>
      <c r="L29" s="6">
        <f t="shared" si="14"/>
        <v>240.08</v>
      </c>
      <c r="M29" s="2"/>
      <c r="N29" s="7">
        <f t="shared" si="15"/>
        <v>1.4377769792789556</v>
      </c>
      <c r="O29" s="11"/>
      <c r="P29" s="6">
        <v>1221.18</v>
      </c>
      <c r="Q29" s="2"/>
      <c r="R29" s="7">
        <f t="shared" si="16"/>
        <v>0</v>
      </c>
      <c r="S29" s="2"/>
      <c r="T29" s="6">
        <v>542.68499999999995</v>
      </c>
      <c r="U29" s="2"/>
      <c r="V29" s="7">
        <f t="shared" si="17"/>
        <v>2.7527898955057317E-2</v>
      </c>
      <c r="W29" s="2"/>
      <c r="X29" s="6">
        <f t="shared" si="18"/>
        <v>678.49500000000012</v>
      </c>
      <c r="Y29" s="2"/>
      <c r="Z29" s="7">
        <f t="shared" si="19"/>
        <v>1.2502556731805747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6">
        <v>256.76</v>
      </c>
      <c r="E30" s="2"/>
      <c r="F30" s="7">
        <f t="shared" si="12"/>
        <v>0</v>
      </c>
      <c r="G30" s="2"/>
      <c r="H30" s="6">
        <v>111.32</v>
      </c>
      <c r="I30" s="2"/>
      <c r="J30" s="7">
        <f t="shared" si="13"/>
        <v>6.6886979510905479E-3</v>
      </c>
      <c r="K30" s="2"/>
      <c r="L30" s="6">
        <f t="shared" si="14"/>
        <v>145.44</v>
      </c>
      <c r="M30" s="2"/>
      <c r="N30" s="7">
        <f t="shared" si="15"/>
        <v>1.3065037729069351</v>
      </c>
      <c r="O30" s="11"/>
      <c r="P30" s="6">
        <v>770.28</v>
      </c>
      <c r="Q30" s="2"/>
      <c r="R30" s="7">
        <f t="shared" si="16"/>
        <v>0</v>
      </c>
      <c r="S30" s="2"/>
      <c r="T30" s="6">
        <v>361.79</v>
      </c>
      <c r="U30" s="2"/>
      <c r="V30" s="7">
        <f t="shared" si="17"/>
        <v>1.8351932636704881E-2</v>
      </c>
      <c r="W30" s="2"/>
      <c r="X30" s="6">
        <f t="shared" si="18"/>
        <v>408.48999999999995</v>
      </c>
      <c r="Y30" s="2"/>
      <c r="Z30" s="7">
        <f t="shared" si="19"/>
        <v>1.1290804057602475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6">
        <v>174.19</v>
      </c>
      <c r="E31" s="2"/>
      <c r="F31" s="7">
        <f t="shared" si="12"/>
        <v>0</v>
      </c>
      <c r="G31" s="2"/>
      <c r="H31" s="6">
        <v>175</v>
      </c>
      <c r="I31" s="2"/>
      <c r="J31" s="7">
        <f t="shared" si="13"/>
        <v>1.0514931202307277E-2</v>
      </c>
      <c r="K31" s="2"/>
      <c r="L31" s="6">
        <f t="shared" si="14"/>
        <v>-0.81000000000000227</v>
      </c>
      <c r="M31" s="2"/>
      <c r="N31" s="7">
        <f t="shared" si="15"/>
        <v>-4.628571428571442E-3</v>
      </c>
      <c r="O31" s="11"/>
      <c r="P31" s="6">
        <v>350.11</v>
      </c>
      <c r="Q31" s="2"/>
      <c r="R31" s="7">
        <f t="shared" si="16"/>
        <v>0</v>
      </c>
      <c r="S31" s="2"/>
      <c r="T31" s="6">
        <v>525</v>
      </c>
      <c r="U31" s="2"/>
      <c r="V31" s="7">
        <f t="shared" si="17"/>
        <v>2.6630820736532414E-2</v>
      </c>
      <c r="W31" s="2"/>
      <c r="X31" s="6">
        <f t="shared" si="18"/>
        <v>-174.89</v>
      </c>
      <c r="Y31" s="2"/>
      <c r="Z31" s="7">
        <f t="shared" si="19"/>
        <v>-0.33312380952380949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5392.7</v>
      </c>
      <c r="E32" s="1"/>
      <c r="F32" s="5">
        <f t="shared" ref="F32:F42" si="20">IF(D$12=0,0,D32/D$12)</f>
        <v>0</v>
      </c>
      <c r="G32" s="1"/>
      <c r="H32" s="1">
        <f>SUM(OSRRefH22_1x_0)</f>
        <v>8661.7000000000007</v>
      </c>
      <c r="I32" s="1"/>
      <c r="J32" s="5">
        <f t="shared" ref="J32:J42" si="21">IF(H$12=0,0,H32/H$12)</f>
        <v>0.52044102625728539</v>
      </c>
      <c r="K32" s="1"/>
      <c r="L32" s="1">
        <f t="shared" ref="L32:L42" si="22">+D32-H32</f>
        <v>-3269.0000000000009</v>
      </c>
      <c r="M32" s="1"/>
      <c r="N32" s="5">
        <f t="shared" ref="N32:N42" si="23">IF(H32=0,0,L32/H32)</f>
        <v>-0.37740859184686615</v>
      </c>
      <c r="O32" s="14"/>
      <c r="P32" s="1">
        <f>SUM(OSRRefP22_1x_0)</f>
        <v>16352.390000000001</v>
      </c>
      <c r="Q32" s="1"/>
      <c r="R32" s="5">
        <f t="shared" ref="R32:R42" si="24">IF(P$12=0,0,P32/P$12)</f>
        <v>0</v>
      </c>
      <c r="S32" s="1"/>
      <c r="T32" s="1">
        <f>SUM(OSRRefT22_1x_0)</f>
        <v>23541.024999999998</v>
      </c>
      <c r="U32" s="1"/>
      <c r="V32" s="5">
        <f t="shared" ref="V32:V42" si="25">IF(T$12=0,0,T32/T$12)</f>
        <v>1.1941272699604342</v>
      </c>
      <c r="W32" s="1"/>
      <c r="X32" s="1">
        <f t="shared" ref="X32:X42" si="26">+P32-T32</f>
        <v>-7188.6349999999966</v>
      </c>
      <c r="Y32" s="1"/>
      <c r="Z32" s="5">
        <f t="shared" ref="Z32:Z42" si="27">IF(T32=0,0,X32/T32)</f>
        <v>-0.30536627016028389</v>
      </c>
    </row>
    <row r="33" spans="1:26" s="24" customFormat="1" hidden="1" outlineLevel="2" x14ac:dyDescent="0.25">
      <c r="A33" s="29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0"/>
        <v>0</v>
      </c>
      <c r="G33" s="2"/>
      <c r="H33" s="6">
        <v>5287.7</v>
      </c>
      <c r="I33" s="2"/>
      <c r="J33" s="7">
        <f t="shared" si="21"/>
        <v>0.31771315267680106</v>
      </c>
      <c r="K33" s="2"/>
      <c r="L33" s="6">
        <f t="shared" si="22"/>
        <v>-5287.7</v>
      </c>
      <c r="M33" s="2"/>
      <c r="N33" s="7">
        <f t="shared" si="23"/>
        <v>-1</v>
      </c>
      <c r="O33" s="11"/>
      <c r="P33" s="6"/>
      <c r="Q33" s="2"/>
      <c r="R33" s="7">
        <f t="shared" si="24"/>
        <v>0</v>
      </c>
      <c r="S33" s="2"/>
      <c r="T33" s="6">
        <v>17185.024999999998</v>
      </c>
      <c r="U33" s="2"/>
      <c r="V33" s="7">
        <f t="shared" si="25"/>
        <v>0.87171680024348164</v>
      </c>
      <c r="W33" s="2"/>
      <c r="X33" s="6">
        <f t="shared" si="26"/>
        <v>-17185.024999999998</v>
      </c>
      <c r="Y33" s="2"/>
      <c r="Z33" s="7">
        <f t="shared" si="27"/>
        <v>-1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6">
        <v>5392.7</v>
      </c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5392.7</v>
      </c>
      <c r="M34" s="2"/>
      <c r="N34" s="7">
        <f t="shared" si="23"/>
        <v>0</v>
      </c>
      <c r="O34" s="11"/>
      <c r="P34" s="6">
        <v>16352.390000000001</v>
      </c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16352.390000000001</v>
      </c>
      <c r="Y34" s="2"/>
      <c r="Z34" s="7">
        <f t="shared" si="27"/>
        <v>0</v>
      </c>
    </row>
    <row r="35" spans="1:26" s="24" customFormat="1" hidden="1" outlineLevel="2" x14ac:dyDescent="0.25">
      <c r="A35" s="29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20"/>
        <v>0</v>
      </c>
      <c r="G36" s="2"/>
      <c r="H36" s="6">
        <v>1008</v>
      </c>
      <c r="I36" s="2"/>
      <c r="J36" s="7">
        <f t="shared" si="21"/>
        <v>6.0566003725289912E-2</v>
      </c>
      <c r="K36" s="2"/>
      <c r="L36" s="6">
        <f t="shared" si="22"/>
        <v>-1008</v>
      </c>
      <c r="M36" s="2"/>
      <c r="N36" s="7">
        <f t="shared" si="23"/>
        <v>-1</v>
      </c>
      <c r="O36" s="11"/>
      <c r="P36" s="6"/>
      <c r="Q36" s="2"/>
      <c r="R36" s="7">
        <f t="shared" si="24"/>
        <v>0</v>
      </c>
      <c r="S36" s="2"/>
      <c r="T36" s="6">
        <v>2128</v>
      </c>
      <c r="U36" s="2"/>
      <c r="V36" s="7">
        <f t="shared" si="25"/>
        <v>0.10794359338541139</v>
      </c>
      <c r="W36" s="2"/>
      <c r="X36" s="6">
        <f t="shared" si="26"/>
        <v>-2128</v>
      </c>
      <c r="Y36" s="2"/>
      <c r="Z36" s="7">
        <f t="shared" si="27"/>
        <v>-1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0"/>
        <v>0</v>
      </c>
      <c r="G37" s="2"/>
      <c r="H37" s="6">
        <v>2366</v>
      </c>
      <c r="I37" s="2"/>
      <c r="J37" s="7">
        <f t="shared" si="21"/>
        <v>0.14216186985519438</v>
      </c>
      <c r="K37" s="2"/>
      <c r="L37" s="6">
        <f t="shared" si="22"/>
        <v>-2366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4228</v>
      </c>
      <c r="U37" s="2"/>
      <c r="V37" s="7">
        <f t="shared" si="25"/>
        <v>0.21446687633154105</v>
      </c>
      <c r="W37" s="2"/>
      <c r="X37" s="6">
        <f t="shared" si="26"/>
        <v>-4228</v>
      </c>
      <c r="Y37" s="2"/>
      <c r="Z37" s="7">
        <f t="shared" si="27"/>
        <v>-1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9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4" customFormat="1" hidden="1" outlineLevel="2" x14ac:dyDescent="0.25">
      <c r="A42" s="29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8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3" si="28">IF(D$12=0,0,D43/D$12)</f>
        <v>0</v>
      </c>
      <c r="G43" s="1"/>
      <c r="H43" s="1">
        <f>SUM(OSRRefH22_2x_0)</f>
        <v>100</v>
      </c>
      <c r="I43" s="1"/>
      <c r="J43" s="5">
        <f t="shared" ref="J43:J53" si="29">IF(H$12=0,0,H43/H$12)</f>
        <v>6.0085321156041578E-3</v>
      </c>
      <c r="K43" s="1"/>
      <c r="L43" s="1">
        <f t="shared" ref="L43:L53" si="30">+D43-H43</f>
        <v>-100</v>
      </c>
      <c r="M43" s="1"/>
      <c r="N43" s="5">
        <f t="shared" ref="N43:N53" si="31">IF(H43=0,0,L43/H43)</f>
        <v>-1</v>
      </c>
      <c r="O43" s="14"/>
      <c r="P43" s="1">
        <f>SUM(OSRRefP22_2x_0)</f>
        <v>0</v>
      </c>
      <c r="Q43" s="1"/>
      <c r="R43" s="5">
        <f t="shared" ref="R43:R53" si="32">IF(P$12=0,0,P43/P$12)</f>
        <v>0</v>
      </c>
      <c r="S43" s="1"/>
      <c r="T43" s="1">
        <f>SUM(OSRRefT22_2x_0)</f>
        <v>300</v>
      </c>
      <c r="U43" s="1"/>
      <c r="V43" s="5">
        <f t="shared" ref="V43:V53" si="33">IF(T$12=0,0,T43/T$12)</f>
        <v>1.5217611849447093E-2</v>
      </c>
      <c r="W43" s="1"/>
      <c r="X43" s="1">
        <f t="shared" ref="X43:X53" si="34">+P43-T43</f>
        <v>-300</v>
      </c>
      <c r="Y43" s="1"/>
      <c r="Z43" s="5">
        <f t="shared" ref="Z43:Z53" si="35">IF(T43=0,0,X43/T43)</f>
        <v>-1</v>
      </c>
    </row>
    <row r="44" spans="1:26" s="24" customFormat="1" hidden="1" outlineLevel="2" x14ac:dyDescent="0.25">
      <c r="A44" s="29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28"/>
        <v>0</v>
      </c>
      <c r="G44" s="2"/>
      <c r="H44" s="6">
        <v>100</v>
      </c>
      <c r="I44" s="2"/>
      <c r="J44" s="7">
        <f t="shared" si="29"/>
        <v>6.0085321156041578E-3</v>
      </c>
      <c r="K44" s="2"/>
      <c r="L44" s="6">
        <f t="shared" si="30"/>
        <v>-100</v>
      </c>
      <c r="M44" s="2"/>
      <c r="N44" s="7">
        <f t="shared" si="31"/>
        <v>-1</v>
      </c>
      <c r="O44" s="11"/>
      <c r="P44" s="6"/>
      <c r="Q44" s="2"/>
      <c r="R44" s="7">
        <f t="shared" si="32"/>
        <v>0</v>
      </c>
      <c r="S44" s="2"/>
      <c r="T44" s="6">
        <v>300</v>
      </c>
      <c r="U44" s="2"/>
      <c r="V44" s="7">
        <f t="shared" si="33"/>
        <v>1.5217611849447093E-2</v>
      </c>
      <c r="W44" s="2"/>
      <c r="X44" s="6">
        <f t="shared" si="34"/>
        <v>-300</v>
      </c>
      <c r="Y44" s="2"/>
      <c r="Z44" s="7">
        <f t="shared" si="35"/>
        <v>-1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SUM(OSRRefD22_3x_0)</f>
        <v>60</v>
      </c>
      <c r="E45" s="1"/>
      <c r="F45" s="5">
        <f t="shared" si="28"/>
        <v>0</v>
      </c>
      <c r="G45" s="1"/>
      <c r="H45" s="1">
        <f>SUM(OSRRefH22_3x_0)</f>
        <v>1052</v>
      </c>
      <c r="I45" s="1"/>
      <c r="J45" s="5">
        <f t="shared" si="29"/>
        <v>6.3209757856155735E-2</v>
      </c>
      <c r="K45" s="1"/>
      <c r="L45" s="1">
        <f t="shared" si="30"/>
        <v>-992</v>
      </c>
      <c r="M45" s="1"/>
      <c r="N45" s="5">
        <f t="shared" si="31"/>
        <v>-0.94296577946768056</v>
      </c>
      <c r="O45" s="14"/>
      <c r="P45" s="1">
        <f>SUM(OSRRefP22_3x_0)</f>
        <v>180</v>
      </c>
      <c r="Q45" s="1"/>
      <c r="R45" s="5">
        <f t="shared" si="32"/>
        <v>0</v>
      </c>
      <c r="S45" s="1"/>
      <c r="T45" s="1">
        <f>SUM(OSRRefT22_3x_0)</f>
        <v>1145</v>
      </c>
      <c r="U45" s="1"/>
      <c r="V45" s="5">
        <f t="shared" si="33"/>
        <v>5.8080551892056409E-2</v>
      </c>
      <c r="W45" s="1"/>
      <c r="X45" s="1">
        <f t="shared" si="34"/>
        <v>-965</v>
      </c>
      <c r="Y45" s="1"/>
      <c r="Z45" s="5">
        <f t="shared" si="35"/>
        <v>-0.84279475982532748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6">
        <v>60</v>
      </c>
      <c r="E46" s="2"/>
      <c r="F46" s="7">
        <f t="shared" si="28"/>
        <v>0</v>
      </c>
      <c r="G46" s="2"/>
      <c r="H46" s="6">
        <v>1052</v>
      </c>
      <c r="I46" s="2"/>
      <c r="J46" s="7">
        <f t="shared" si="29"/>
        <v>6.3209757856155735E-2</v>
      </c>
      <c r="K46" s="2"/>
      <c r="L46" s="6">
        <f t="shared" si="30"/>
        <v>-992</v>
      </c>
      <c r="M46" s="2"/>
      <c r="N46" s="7">
        <f t="shared" si="31"/>
        <v>-0.94296577946768056</v>
      </c>
      <c r="O46" s="11"/>
      <c r="P46" s="6">
        <v>180</v>
      </c>
      <c r="Q46" s="2"/>
      <c r="R46" s="7">
        <f t="shared" si="32"/>
        <v>0</v>
      </c>
      <c r="S46" s="2"/>
      <c r="T46" s="6">
        <v>1145</v>
      </c>
      <c r="U46" s="2"/>
      <c r="V46" s="7">
        <f t="shared" si="33"/>
        <v>5.8080551892056409E-2</v>
      </c>
      <c r="W46" s="2"/>
      <c r="X46" s="6">
        <f t="shared" si="34"/>
        <v>-965</v>
      </c>
      <c r="Y46" s="2"/>
      <c r="Z46" s="7">
        <f t="shared" si="35"/>
        <v>-0.84279475982532748</v>
      </c>
    </row>
    <row r="47" spans="1:26" s="28" customFormat="1" outlineLevel="1" collapsed="1" x14ac:dyDescent="0.25">
      <c r="A47" s="27"/>
      <c r="B47" s="14" t="str">
        <f>CONCATENATE("     ","Freight out/Postage                               ")</f>
        <v xml:space="preserve">     Freight out/Postage                               </v>
      </c>
      <c r="C47" s="14"/>
      <c r="D47" s="1">
        <f>SUM(OSRRefD22_4x_0)</f>
        <v>6.06</v>
      </c>
      <c r="E47" s="1"/>
      <c r="F47" s="5">
        <f t="shared" si="28"/>
        <v>0</v>
      </c>
      <c r="G47" s="1"/>
      <c r="H47" s="1">
        <f>SUM(OSRRefH22_4x_0)</f>
        <v>0</v>
      </c>
      <c r="I47" s="1"/>
      <c r="J47" s="5">
        <f t="shared" si="29"/>
        <v>0</v>
      </c>
      <c r="K47" s="1"/>
      <c r="L47" s="1">
        <f t="shared" si="30"/>
        <v>6.06</v>
      </c>
      <c r="M47" s="1"/>
      <c r="N47" s="5">
        <f t="shared" si="31"/>
        <v>0</v>
      </c>
      <c r="O47" s="14"/>
      <c r="P47" s="1">
        <f>SUM(OSRRefP22_4x_0)</f>
        <v>10</v>
      </c>
      <c r="Q47" s="1"/>
      <c r="R47" s="5">
        <f t="shared" si="32"/>
        <v>0</v>
      </c>
      <c r="S47" s="1"/>
      <c r="T47" s="1">
        <f>SUM(OSRRefT22_4x_0)</f>
        <v>0</v>
      </c>
      <c r="U47" s="1"/>
      <c r="V47" s="5">
        <f t="shared" si="33"/>
        <v>0</v>
      </c>
      <c r="W47" s="1"/>
      <c r="X47" s="1">
        <f t="shared" si="34"/>
        <v>10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"6305", " - ", "FREIGHT OUT")</f>
        <v xml:space="preserve">          6305 - FREIGHT OUT</v>
      </c>
      <c r="C48" s="11"/>
      <c r="D48" s="6">
        <v>6.06</v>
      </c>
      <c r="E48" s="2"/>
      <c r="F48" s="7">
        <f t="shared" si="28"/>
        <v>0</v>
      </c>
      <c r="G48" s="2"/>
      <c r="H48" s="6"/>
      <c r="I48" s="2"/>
      <c r="J48" s="7">
        <f t="shared" si="29"/>
        <v>0</v>
      </c>
      <c r="K48" s="2"/>
      <c r="L48" s="6">
        <f t="shared" si="30"/>
        <v>6.06</v>
      </c>
      <c r="M48" s="2"/>
      <c r="N48" s="7">
        <f t="shared" si="31"/>
        <v>0</v>
      </c>
      <c r="O48" s="11"/>
      <c r="P48" s="6">
        <v>10</v>
      </c>
      <c r="Q48" s="2"/>
      <c r="R48" s="7">
        <f t="shared" si="32"/>
        <v>0</v>
      </c>
      <c r="S48" s="2"/>
      <c r="T48" s="6"/>
      <c r="U48" s="2"/>
      <c r="V48" s="7">
        <f t="shared" si="33"/>
        <v>0</v>
      </c>
      <c r="W48" s="2"/>
      <c r="X48" s="6">
        <f t="shared" si="34"/>
        <v>10</v>
      </c>
      <c r="Y48" s="2"/>
      <c r="Z48" s="7">
        <f t="shared" si="35"/>
        <v>0</v>
      </c>
    </row>
    <row r="49" spans="1:26" s="28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SUM(OSRRefD22_5x_0)</f>
        <v>0</v>
      </c>
      <c r="E49" s="1"/>
      <c r="F49" s="5">
        <f t="shared" si="28"/>
        <v>0</v>
      </c>
      <c r="G49" s="1"/>
      <c r="H49" s="1">
        <f>SUM(OSRRefH22_5x_0)</f>
        <v>0</v>
      </c>
      <c r="I49" s="1"/>
      <c r="J49" s="5">
        <f t="shared" si="29"/>
        <v>0</v>
      </c>
      <c r="K49" s="1"/>
      <c r="L49" s="1">
        <f t="shared" si="30"/>
        <v>0</v>
      </c>
      <c r="M49" s="1"/>
      <c r="N49" s="5">
        <f t="shared" si="31"/>
        <v>0</v>
      </c>
      <c r="O49" s="14"/>
      <c r="P49" s="1">
        <f>SUM(OSRRefP22_5x_0)</f>
        <v>0</v>
      </c>
      <c r="Q49" s="1"/>
      <c r="R49" s="5">
        <f t="shared" si="32"/>
        <v>0</v>
      </c>
      <c r="S49" s="1"/>
      <c r="T49" s="1">
        <f>SUM(OSRRefT22_5x_0)</f>
        <v>1350</v>
      </c>
      <c r="U49" s="1"/>
      <c r="V49" s="5">
        <f t="shared" si="33"/>
        <v>6.8479253322511924E-2</v>
      </c>
      <c r="W49" s="1"/>
      <c r="X49" s="1">
        <f t="shared" si="34"/>
        <v>-1350</v>
      </c>
      <c r="Y49" s="1"/>
      <c r="Z49" s="5">
        <f t="shared" si="35"/>
        <v>-1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1350</v>
      </c>
      <c r="U50" s="2"/>
      <c r="V50" s="7">
        <f t="shared" si="33"/>
        <v>6.8479253322511924E-2</v>
      </c>
      <c r="W50" s="2"/>
      <c r="X50" s="6">
        <f t="shared" si="34"/>
        <v>-1350</v>
      </c>
      <c r="Y50" s="2"/>
      <c r="Z50" s="7">
        <f t="shared" si="35"/>
        <v>-1</v>
      </c>
    </row>
    <row r="51" spans="1:26" s="28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SUM(OSRRefD22_6x_0)</f>
        <v>24.12</v>
      </c>
      <c r="E51" s="1"/>
      <c r="F51" s="5">
        <f t="shared" si="28"/>
        <v>0</v>
      </c>
      <c r="G51" s="1"/>
      <c r="H51" s="1">
        <f>SUM(OSRRefH22_6x_0)</f>
        <v>35</v>
      </c>
      <c r="I51" s="1"/>
      <c r="J51" s="5">
        <f t="shared" si="29"/>
        <v>2.1029862404614553E-3</v>
      </c>
      <c r="K51" s="1"/>
      <c r="L51" s="1">
        <f t="shared" si="30"/>
        <v>-10.879999999999999</v>
      </c>
      <c r="M51" s="1"/>
      <c r="N51" s="5">
        <f t="shared" si="31"/>
        <v>-0.31085714285714283</v>
      </c>
      <c r="O51" s="14"/>
      <c r="P51" s="1">
        <f>SUM(OSRRefP22_6x_0)</f>
        <v>24.12</v>
      </c>
      <c r="Q51" s="1"/>
      <c r="R51" s="5">
        <f t="shared" si="32"/>
        <v>0</v>
      </c>
      <c r="S51" s="1"/>
      <c r="T51" s="1">
        <f>SUM(OSRRefT22_6x_0)</f>
        <v>70</v>
      </c>
      <c r="U51" s="1"/>
      <c r="V51" s="5">
        <f t="shared" si="33"/>
        <v>3.5507760982043217E-3</v>
      </c>
      <c r="W51" s="1"/>
      <c r="X51" s="1">
        <f t="shared" si="34"/>
        <v>-45.879999999999995</v>
      </c>
      <c r="Y51" s="1"/>
      <c r="Z51" s="5">
        <f t="shared" si="35"/>
        <v>-0.65542857142857136</v>
      </c>
    </row>
    <row r="52" spans="1:26" s="24" customFormat="1" hidden="1" outlineLevel="2" x14ac:dyDescent="0.25">
      <c r="A52" s="29"/>
      <c r="B52" s="11" t="str">
        <f>CONCATENATE("          ", "6373", " - ", "MAINTENANCE CONTRACTS")</f>
        <v xml:space="preserve">          6373 - MAINTENANCE CONTRACTS</v>
      </c>
      <c r="C52" s="11"/>
      <c r="D52" s="6">
        <v>24.12</v>
      </c>
      <c r="E52" s="2"/>
      <c r="F52" s="7">
        <f t="shared" si="28"/>
        <v>0</v>
      </c>
      <c r="G52" s="2"/>
      <c r="H52" s="6"/>
      <c r="I52" s="2"/>
      <c r="J52" s="7">
        <f t="shared" si="29"/>
        <v>0</v>
      </c>
      <c r="K52" s="2"/>
      <c r="L52" s="6">
        <f t="shared" si="30"/>
        <v>24.12</v>
      </c>
      <c r="M52" s="2"/>
      <c r="N52" s="7">
        <f t="shared" si="31"/>
        <v>0</v>
      </c>
      <c r="O52" s="11"/>
      <c r="P52" s="6">
        <v>24.12</v>
      </c>
      <c r="Q52" s="2"/>
      <c r="R52" s="7">
        <f t="shared" si="32"/>
        <v>0</v>
      </c>
      <c r="S52" s="2"/>
      <c r="T52" s="6"/>
      <c r="U52" s="2"/>
      <c r="V52" s="7">
        <f t="shared" si="33"/>
        <v>0</v>
      </c>
      <c r="W52" s="2"/>
      <c r="X52" s="6">
        <f t="shared" si="34"/>
        <v>24.12</v>
      </c>
      <c r="Y52" s="2"/>
      <c r="Z52" s="7">
        <f t="shared" si="35"/>
        <v>0</v>
      </c>
    </row>
    <row r="53" spans="1:26" s="24" customFormat="1" hidden="1" outlineLevel="2" x14ac:dyDescent="0.25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28"/>
        <v>0</v>
      </c>
      <c r="G53" s="2"/>
      <c r="H53" s="6">
        <v>35</v>
      </c>
      <c r="I53" s="2"/>
      <c r="J53" s="7">
        <f t="shared" si="29"/>
        <v>2.1029862404614553E-3</v>
      </c>
      <c r="K53" s="2"/>
      <c r="L53" s="6">
        <f t="shared" si="30"/>
        <v>-35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70</v>
      </c>
      <c r="U53" s="2"/>
      <c r="V53" s="7">
        <f t="shared" si="33"/>
        <v>3.5507760982043217E-3</v>
      </c>
      <c r="W53" s="2"/>
      <c r="X53" s="6">
        <f t="shared" si="34"/>
        <v>-70</v>
      </c>
      <c r="Y53" s="2"/>
      <c r="Z53" s="7">
        <f t="shared" si="35"/>
        <v>-1</v>
      </c>
    </row>
    <row r="54" spans="1:26" s="28" customFormat="1" outlineLevel="1" collapsed="1" x14ac:dyDescent="0.25">
      <c r="A54" s="27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SUM(OSRRefD22_7x_0)</f>
        <v>0</v>
      </c>
      <c r="E54" s="1"/>
      <c r="F54" s="5">
        <f t="shared" ref="F54:F59" si="36">IF(D$12=0,0,D54/D$12)</f>
        <v>0</v>
      </c>
      <c r="G54" s="1"/>
      <c r="H54" s="1">
        <f>SUM(OSRRefH22_7x_0)</f>
        <v>163</v>
      </c>
      <c r="I54" s="1"/>
      <c r="J54" s="5">
        <f t="shared" ref="J54:J59" si="37">IF(H$12=0,0,H54/H$12)</f>
        <v>9.7939073484347768E-3</v>
      </c>
      <c r="K54" s="1"/>
      <c r="L54" s="1">
        <f t="shared" ref="L54:L59" si="38">+D54-H54</f>
        <v>-163</v>
      </c>
      <c r="M54" s="1"/>
      <c r="N54" s="5">
        <f t="shared" ref="N54:N59" si="39">IF(H54=0,0,L54/H54)</f>
        <v>-1</v>
      </c>
      <c r="O54" s="14"/>
      <c r="P54" s="1">
        <f>SUM(OSRRefP22_7x_0)</f>
        <v>0</v>
      </c>
      <c r="Q54" s="1"/>
      <c r="R54" s="5">
        <f t="shared" ref="R54:R59" si="40">IF(P$12=0,0,P54/P$12)</f>
        <v>0</v>
      </c>
      <c r="S54" s="1"/>
      <c r="T54" s="1">
        <f>SUM(OSRRefT22_7x_0)</f>
        <v>489</v>
      </c>
      <c r="U54" s="1"/>
      <c r="V54" s="5">
        <f t="shared" ref="V54:V59" si="41">IF(T$12=0,0,T54/T$12)</f>
        <v>2.4804707314598762E-2</v>
      </c>
      <c r="W54" s="1"/>
      <c r="X54" s="1">
        <f t="shared" ref="X54:X59" si="42">+P54-T54</f>
        <v>-489</v>
      </c>
      <c r="Y54" s="1"/>
      <c r="Z54" s="5">
        <f t="shared" ref="Z54:Z59" si="43">IF(T54=0,0,X54/T54)</f>
        <v>-1</v>
      </c>
    </row>
    <row r="55" spans="1:26" s="24" customFormat="1" hidden="1" outlineLevel="2" x14ac:dyDescent="0.25">
      <c r="A55" s="29"/>
      <c r="B55" s="11" t="str">
        <f>CONCATENATE("          ", "6285", " - ", "JANITORIAL SERVICES")</f>
        <v xml:space="preserve">          6285 - JANITORIAL SERVICES</v>
      </c>
      <c r="C55" s="11"/>
      <c r="D55" s="6"/>
      <c r="E55" s="2"/>
      <c r="F55" s="7">
        <f t="shared" si="36"/>
        <v>0</v>
      </c>
      <c r="G55" s="2"/>
      <c r="H55" s="6">
        <v>163</v>
      </c>
      <c r="I55" s="2"/>
      <c r="J55" s="7">
        <f t="shared" si="37"/>
        <v>9.7939073484347768E-3</v>
      </c>
      <c r="K55" s="2"/>
      <c r="L55" s="6">
        <f t="shared" si="38"/>
        <v>-163</v>
      </c>
      <c r="M55" s="2"/>
      <c r="N55" s="7">
        <f t="shared" si="39"/>
        <v>-1</v>
      </c>
      <c r="O55" s="11"/>
      <c r="P55" s="6"/>
      <c r="Q55" s="2"/>
      <c r="R55" s="7">
        <f t="shared" si="40"/>
        <v>0</v>
      </c>
      <c r="S55" s="2"/>
      <c r="T55" s="6">
        <v>489</v>
      </c>
      <c r="U55" s="2"/>
      <c r="V55" s="7">
        <f t="shared" si="41"/>
        <v>2.4804707314598762E-2</v>
      </c>
      <c r="W55" s="2"/>
      <c r="X55" s="6">
        <f t="shared" si="42"/>
        <v>-489</v>
      </c>
      <c r="Y55" s="2"/>
      <c r="Z55" s="7">
        <f t="shared" si="43"/>
        <v>-1</v>
      </c>
    </row>
    <row r="56" spans="1:26" s="28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SUM(OSRRefD22_8x_0)</f>
        <v>0</v>
      </c>
      <c r="E56" s="1"/>
      <c r="F56" s="5">
        <f t="shared" si="36"/>
        <v>0</v>
      </c>
      <c r="G56" s="1"/>
      <c r="H56" s="1">
        <f>SUM(OSRRefH22_8x_0)</f>
        <v>410</v>
      </c>
      <c r="I56" s="1"/>
      <c r="J56" s="5">
        <f t="shared" si="37"/>
        <v>2.4634981673977048E-2</v>
      </c>
      <c r="K56" s="1"/>
      <c r="L56" s="1">
        <f t="shared" si="38"/>
        <v>-410</v>
      </c>
      <c r="M56" s="1"/>
      <c r="N56" s="5">
        <f t="shared" si="39"/>
        <v>-1</v>
      </c>
      <c r="O56" s="14"/>
      <c r="P56" s="1">
        <f>SUM(OSRRefP22_8x_0)</f>
        <v>0</v>
      </c>
      <c r="Q56" s="1"/>
      <c r="R56" s="5">
        <f t="shared" si="40"/>
        <v>0</v>
      </c>
      <c r="S56" s="1"/>
      <c r="T56" s="1">
        <f>SUM(OSRRefT22_8x_0)</f>
        <v>1330</v>
      </c>
      <c r="U56" s="1"/>
      <c r="V56" s="5">
        <f t="shared" si="41"/>
        <v>6.7464745865882109E-2</v>
      </c>
      <c r="W56" s="1"/>
      <c r="X56" s="1">
        <f t="shared" si="42"/>
        <v>-1330</v>
      </c>
      <c r="Y56" s="1"/>
      <c r="Z56" s="5">
        <f t="shared" si="43"/>
        <v>-1</v>
      </c>
    </row>
    <row r="57" spans="1:26" s="24" customFormat="1" hidden="1" outlineLevel="2" x14ac:dyDescent="0.25">
      <c r="A57" s="29"/>
      <c r="B57" s="11" t="str">
        <f>CONCATENATE("          ", "6235", " - ", "COVID-19 EXPENSES")</f>
        <v xml:space="preserve">          6235 - COVID-19 EXPENSES</v>
      </c>
      <c r="C57" s="11"/>
      <c r="D57" s="6"/>
      <c r="E57" s="2"/>
      <c r="F57" s="7">
        <f t="shared" si="36"/>
        <v>0</v>
      </c>
      <c r="G57" s="2"/>
      <c r="H57" s="6">
        <v>0</v>
      </c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/>
      <c r="Q57" s="2"/>
      <c r="R57" s="7">
        <f t="shared" si="40"/>
        <v>0</v>
      </c>
      <c r="S57" s="2"/>
      <c r="T57" s="6">
        <v>0</v>
      </c>
      <c r="U57" s="2"/>
      <c r="V57" s="7">
        <f t="shared" si="41"/>
        <v>0</v>
      </c>
      <c r="W57" s="2"/>
      <c r="X57" s="6">
        <f t="shared" si="42"/>
        <v>0</v>
      </c>
      <c r="Y57" s="2"/>
      <c r="Z57" s="7">
        <f t="shared" si="43"/>
        <v>0</v>
      </c>
    </row>
    <row r="58" spans="1:26" s="24" customFormat="1" hidden="1" outlineLevel="2" x14ac:dyDescent="0.25">
      <c r="A58" s="29"/>
      <c r="B58" s="11" t="str">
        <f>CONCATENATE("          ", "6247", " - ", "STORE SUPPLIES")</f>
        <v xml:space="preserve">          6247 - STORE SUPPLIES</v>
      </c>
      <c r="C58" s="11"/>
      <c r="D58" s="6"/>
      <c r="E58" s="2"/>
      <c r="F58" s="7">
        <f t="shared" si="36"/>
        <v>0</v>
      </c>
      <c r="G58" s="2"/>
      <c r="H58" s="6">
        <v>410</v>
      </c>
      <c r="I58" s="2"/>
      <c r="J58" s="7">
        <f t="shared" si="37"/>
        <v>2.4634981673977048E-2</v>
      </c>
      <c r="K58" s="2"/>
      <c r="L58" s="6">
        <f t="shared" si="38"/>
        <v>-410</v>
      </c>
      <c r="M58" s="2"/>
      <c r="N58" s="7">
        <f t="shared" si="39"/>
        <v>-1</v>
      </c>
      <c r="O58" s="11"/>
      <c r="P58" s="6"/>
      <c r="Q58" s="2"/>
      <c r="R58" s="7">
        <f t="shared" si="40"/>
        <v>0</v>
      </c>
      <c r="S58" s="2"/>
      <c r="T58" s="6">
        <v>1330</v>
      </c>
      <c r="U58" s="2"/>
      <c r="V58" s="7">
        <f t="shared" si="41"/>
        <v>6.7464745865882109E-2</v>
      </c>
      <c r="W58" s="2"/>
      <c r="X58" s="6">
        <f t="shared" si="42"/>
        <v>-1330</v>
      </c>
      <c r="Y58" s="2"/>
      <c r="Z58" s="7">
        <f t="shared" si="43"/>
        <v>-1</v>
      </c>
    </row>
    <row r="59" spans="1:26" s="24" customFormat="1" hidden="1" outlineLevel="2" x14ac:dyDescent="0.25">
      <c r="A59" s="29"/>
      <c r="B59" s="11" t="str">
        <f>CONCATENATE("          ", "6248", " - ", "UNIFORMS")</f>
        <v xml:space="preserve">          6248 - UNIFORMS</v>
      </c>
      <c r="C59" s="11"/>
      <c r="D59" s="6"/>
      <c r="E59" s="2"/>
      <c r="F59" s="7">
        <f t="shared" si="36"/>
        <v>0</v>
      </c>
      <c r="G59" s="2"/>
      <c r="H59" s="6"/>
      <c r="I59" s="2"/>
      <c r="J59" s="7">
        <f t="shared" si="37"/>
        <v>0</v>
      </c>
      <c r="K59" s="2"/>
      <c r="L59" s="6">
        <f t="shared" si="38"/>
        <v>0</v>
      </c>
      <c r="M59" s="2"/>
      <c r="N59" s="7">
        <f t="shared" si="39"/>
        <v>0</v>
      </c>
      <c r="O59" s="11"/>
      <c r="P59" s="6"/>
      <c r="Q59" s="2"/>
      <c r="R59" s="7">
        <f t="shared" si="40"/>
        <v>0</v>
      </c>
      <c r="S59" s="2"/>
      <c r="T59" s="6">
        <v>0</v>
      </c>
      <c r="U59" s="2"/>
      <c r="V59" s="7">
        <f t="shared" si="41"/>
        <v>0</v>
      </c>
      <c r="W59" s="2"/>
      <c r="X59" s="6">
        <f t="shared" si="42"/>
        <v>0</v>
      </c>
      <c r="Y59" s="2"/>
      <c r="Z59" s="7">
        <f t="shared" si="43"/>
        <v>0</v>
      </c>
    </row>
    <row r="60" spans="1:26" s="28" customFormat="1" outlineLevel="1" collapsed="1" x14ac:dyDescent="0.25">
      <c r="A60" s="27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SUM(OSRRefD22_9x_0)</f>
        <v>170</v>
      </c>
      <c r="E60" s="1"/>
      <c r="F60" s="5">
        <f t="shared" ref="F60:F62" si="44">IF(D$12=0,0,D60/D$12)</f>
        <v>0</v>
      </c>
      <c r="G60" s="1"/>
      <c r="H60" s="1">
        <f>SUM(OSRRefH22_9x_0)</f>
        <v>120</v>
      </c>
      <c r="I60" s="1"/>
      <c r="J60" s="5">
        <f t="shared" ref="J60:J62" si="45">IF(H$12=0,0,H60/H$12)</f>
        <v>7.2102385387249899E-3</v>
      </c>
      <c r="K60" s="1"/>
      <c r="L60" s="1">
        <f t="shared" ref="L60:L62" si="46">+D60-H60</f>
        <v>50</v>
      </c>
      <c r="M60" s="1"/>
      <c r="N60" s="5">
        <f t="shared" ref="N60:N62" si="47">IF(H60=0,0,L60/H60)</f>
        <v>0.41666666666666669</v>
      </c>
      <c r="O60" s="14"/>
      <c r="P60" s="1">
        <f>SUM(OSRRefP22_9x_0)</f>
        <v>414.35</v>
      </c>
      <c r="Q60" s="1"/>
      <c r="R60" s="5">
        <f t="shared" ref="R60:R62" si="48">IF(P$12=0,0,P60/P$12)</f>
        <v>0</v>
      </c>
      <c r="S60" s="1"/>
      <c r="T60" s="1">
        <f>SUM(OSRRefT22_9x_0)</f>
        <v>360</v>
      </c>
      <c r="U60" s="1"/>
      <c r="V60" s="5">
        <f t="shared" ref="V60:V62" si="49">IF(T$12=0,0,T60/T$12)</f>
        <v>1.8261134219336513E-2</v>
      </c>
      <c r="W60" s="1"/>
      <c r="X60" s="1">
        <f t="shared" ref="X60:X62" si="50">+P60-T60</f>
        <v>54.350000000000023</v>
      </c>
      <c r="Y60" s="1"/>
      <c r="Z60" s="5">
        <f t="shared" ref="Z60:Z62" si="51">IF(T60=0,0,X60/T60)</f>
        <v>0.15097222222222229</v>
      </c>
    </row>
    <row r="61" spans="1:26" s="24" customFormat="1" hidden="1" outlineLevel="2" x14ac:dyDescent="0.25">
      <c r="A61" s="29"/>
      <c r="B61" s="11" t="str">
        <f>CONCATENATE("          ", "6303", " - ", "DATA PHONE LINES")</f>
        <v xml:space="preserve">          6303 - DATA PHONE LINES</v>
      </c>
      <c r="C61" s="11"/>
      <c r="D61" s="6"/>
      <c r="E61" s="2"/>
      <c r="F61" s="7">
        <f t="shared" si="44"/>
        <v>0</v>
      </c>
      <c r="G61" s="2"/>
      <c r="H61" s="6">
        <v>120</v>
      </c>
      <c r="I61" s="2"/>
      <c r="J61" s="7">
        <f t="shared" si="45"/>
        <v>7.2102385387249899E-3</v>
      </c>
      <c r="K61" s="2"/>
      <c r="L61" s="6">
        <f t="shared" si="46"/>
        <v>-120</v>
      </c>
      <c r="M61" s="2"/>
      <c r="N61" s="7">
        <f t="shared" si="47"/>
        <v>-1</v>
      </c>
      <c r="O61" s="11"/>
      <c r="P61" s="6"/>
      <c r="Q61" s="2"/>
      <c r="R61" s="7">
        <f t="shared" si="48"/>
        <v>0</v>
      </c>
      <c r="S61" s="2"/>
      <c r="T61" s="6">
        <v>360</v>
      </c>
      <c r="U61" s="2"/>
      <c r="V61" s="7">
        <f t="shared" si="49"/>
        <v>1.8261134219336513E-2</v>
      </c>
      <c r="W61" s="2"/>
      <c r="X61" s="6">
        <f t="shared" si="50"/>
        <v>-360</v>
      </c>
      <c r="Y61" s="2"/>
      <c r="Z61" s="7">
        <f t="shared" si="51"/>
        <v>-1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6">
        <v>170</v>
      </c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170</v>
      </c>
      <c r="M62" s="2"/>
      <c r="N62" s="7">
        <f t="shared" si="47"/>
        <v>0</v>
      </c>
      <c r="O62" s="11"/>
      <c r="P62" s="6">
        <v>414.35</v>
      </c>
      <c r="Q62" s="2"/>
      <c r="R62" s="7">
        <f t="shared" si="48"/>
        <v>0</v>
      </c>
      <c r="S62" s="2"/>
      <c r="T62" s="6"/>
      <c r="U62" s="2"/>
      <c r="V62" s="7">
        <f t="shared" si="49"/>
        <v>0</v>
      </c>
      <c r="W62" s="2"/>
      <c r="X62" s="6">
        <f t="shared" si="50"/>
        <v>414.35</v>
      </c>
      <c r="Y62" s="2"/>
      <c r="Z62" s="7">
        <f t="shared" si="51"/>
        <v>0</v>
      </c>
    </row>
    <row r="63" spans="1:26" s="28" customFormat="1" outlineLevel="1" collapsed="1" x14ac:dyDescent="0.2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SUM(OSRRefD22_10x_0)</f>
        <v>0</v>
      </c>
      <c r="E63" s="1"/>
      <c r="F63" s="5">
        <f t="shared" ref="F63:F64" si="52">IF(D$12=0,0,D63/D$12)</f>
        <v>0</v>
      </c>
      <c r="G63" s="1"/>
      <c r="H63" s="1">
        <f>SUM(OSRRefH22_10x_0)</f>
        <v>0</v>
      </c>
      <c r="I63" s="1"/>
      <c r="J63" s="5">
        <f t="shared" ref="J63:J64" si="53">IF(H$12=0,0,H63/H$12)</f>
        <v>0</v>
      </c>
      <c r="K63" s="1"/>
      <c r="L63" s="1">
        <f t="shared" ref="L63:L64" si="54">+D63-H63</f>
        <v>0</v>
      </c>
      <c r="M63" s="1"/>
      <c r="N63" s="5">
        <f t="shared" ref="N63:N64" si="55">IF(H63=0,0,L63/H63)</f>
        <v>0</v>
      </c>
      <c r="O63" s="14"/>
      <c r="P63" s="1">
        <f>SUM(OSRRefP22_10x_0)</f>
        <v>0</v>
      </c>
      <c r="Q63" s="1"/>
      <c r="R63" s="5">
        <f t="shared" ref="R63:R64" si="56">IF(P$12=0,0,P63/P$12)</f>
        <v>0</v>
      </c>
      <c r="S63" s="1"/>
      <c r="T63" s="1">
        <f>SUM(OSRRefT22_10x_0)</f>
        <v>60</v>
      </c>
      <c r="U63" s="1"/>
      <c r="V63" s="5">
        <f t="shared" ref="V63:V64" si="57">IF(T$12=0,0,T63/T$12)</f>
        <v>3.0435223698894189E-3</v>
      </c>
      <c r="W63" s="1"/>
      <c r="X63" s="1">
        <f t="shared" ref="X63:X64" si="58">+P63-T63</f>
        <v>-60</v>
      </c>
      <c r="Y63" s="1"/>
      <c r="Z63" s="5">
        <f t="shared" ref="Z63:Z64" si="59">IF(T63=0,0,X63/T63)</f>
        <v>-1</v>
      </c>
    </row>
    <row r="64" spans="1:26" s="24" customFormat="1" hidden="1" outlineLevel="2" x14ac:dyDescent="0.25">
      <c r="A64" s="29"/>
      <c r="B64" s="11" t="str">
        <f>CONCATENATE("          ", "6376", " - ", "TRAINING")</f>
        <v xml:space="preserve">          6376 - TRAINING</v>
      </c>
      <c r="C64" s="11"/>
      <c r="D64" s="6"/>
      <c r="E64" s="2"/>
      <c r="F64" s="7">
        <f t="shared" si="52"/>
        <v>0</v>
      </c>
      <c r="G64" s="2"/>
      <c r="H64" s="6"/>
      <c r="I64" s="2"/>
      <c r="J64" s="7">
        <f t="shared" si="53"/>
        <v>0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/>
      <c r="Q64" s="2"/>
      <c r="R64" s="7">
        <f t="shared" si="56"/>
        <v>0</v>
      </c>
      <c r="S64" s="2"/>
      <c r="T64" s="6">
        <v>60</v>
      </c>
      <c r="U64" s="2"/>
      <c r="V64" s="7">
        <f t="shared" si="57"/>
        <v>3.0435223698894189E-3</v>
      </c>
      <c r="W64" s="2"/>
      <c r="X64" s="6">
        <f t="shared" si="58"/>
        <v>-60</v>
      </c>
      <c r="Y64" s="2"/>
      <c r="Z64" s="7">
        <f t="shared" si="59"/>
        <v>-1</v>
      </c>
    </row>
    <row r="65" spans="1:26" s="61" customFormat="1" x14ac:dyDescent="0.25">
      <c r="A65" s="36"/>
      <c r="B65" s="36"/>
      <c r="C65" s="36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6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5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6" t="s">
        <v>3</v>
      </c>
      <c r="C68" s="26"/>
      <c r="D68" s="20">
        <f>+D19-D21+D66</f>
        <v>-9582.5499999999993</v>
      </c>
      <c r="E68" s="13"/>
      <c r="F68" s="21">
        <f>IF(D$12=0,0,D68/D$12)</f>
        <v>0</v>
      </c>
      <c r="G68" s="13"/>
      <c r="H68" s="20">
        <f>+H19-H21+H66</f>
        <v>-5391.4182199999996</v>
      </c>
      <c r="I68" s="13"/>
      <c r="J68" s="21">
        <f>IF(H$12=0,0,H68/H$12)</f>
        <v>-0.32394509523523402</v>
      </c>
      <c r="K68" s="16"/>
      <c r="L68" s="20">
        <f>+D68-H68</f>
        <v>-4191.1317799999997</v>
      </c>
      <c r="M68" s="16"/>
      <c r="N68" s="21">
        <f>IF(H68=0,0,L68/H68)</f>
        <v>0.77737092708790079</v>
      </c>
      <c r="O68" s="25"/>
      <c r="P68" s="20">
        <f>+P19-P21+P66</f>
        <v>-28324.19</v>
      </c>
      <c r="Q68" s="13"/>
      <c r="R68" s="21">
        <f>IF(P$12=0,0,P68/P$12)</f>
        <v>0</v>
      </c>
      <c r="S68" s="13"/>
      <c r="T68" s="20">
        <f>+T19-T21+T66</f>
        <v>-29264.242324999999</v>
      </c>
      <c r="U68" s="13"/>
      <c r="V68" s="21">
        <f>IF(T$12=0,0,T68/T$12)</f>
        <v>-1.4844396025667039</v>
      </c>
      <c r="W68" s="16"/>
      <c r="X68" s="20">
        <f>+P68-T68</f>
        <v>940.05232500000056</v>
      </c>
      <c r="Y68" s="16"/>
      <c r="Z68" s="21">
        <f>IF(T68=0,0,X68/T68)</f>
        <v>-3.2122899836601208E-2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2"/>
      <c r="B70" s="10" t="s">
        <v>14</v>
      </c>
      <c r="C70" s="10"/>
      <c r="D70" s="4"/>
      <c r="E70" s="4"/>
      <c r="F70" s="12">
        <f>IF(D$12=0,0,D70/D$12)</f>
        <v>0</v>
      </c>
      <c r="G70" s="4"/>
      <c r="H70" s="4">
        <v>2349</v>
      </c>
      <c r="I70" s="4"/>
      <c r="J70" s="12">
        <f>IF(H$12=0,0,H70/H$12)</f>
        <v>0.14114041939554167</v>
      </c>
      <c r="K70" s="4"/>
      <c r="L70" s="4">
        <f>+D70-H70</f>
        <v>-2349</v>
      </c>
      <c r="M70" s="4"/>
      <c r="N70" s="12">
        <f>IF(H70=0,0,L70/H70)</f>
        <v>-1</v>
      </c>
      <c r="O70" s="10"/>
      <c r="P70" s="4"/>
      <c r="Q70" s="4"/>
      <c r="R70" s="12">
        <f>IF(P$12=0,0,P70/P$12)</f>
        <v>0</v>
      </c>
      <c r="S70" s="4"/>
      <c r="T70" s="4">
        <v>2851</v>
      </c>
      <c r="U70" s="4"/>
      <c r="V70" s="12">
        <f>IF(T$12=0,0,T70/T$12)</f>
        <v>0.14461803794257888</v>
      </c>
      <c r="W70" s="4"/>
      <c r="X70" s="4">
        <f>+P70-T70</f>
        <v>-2851</v>
      </c>
      <c r="Y70" s="4"/>
      <c r="Z70" s="12">
        <f>IF(T70=0,0,X70/T70)</f>
        <v>-1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6" t="s">
        <v>4</v>
      </c>
      <c r="C72" s="26"/>
      <c r="D72" s="33">
        <f>+D68-D70</f>
        <v>-9582.5499999999993</v>
      </c>
      <c r="E72" s="13"/>
      <c r="F72" s="34">
        <f>IF(D$12=0,0,D72/D$12)</f>
        <v>0</v>
      </c>
      <c r="G72" s="13"/>
      <c r="H72" s="33">
        <f>+H68-H70</f>
        <v>-7740.4182199999996</v>
      </c>
      <c r="I72" s="13"/>
      <c r="J72" s="34">
        <f>IF(H$12=0,0,H72/H$12)</f>
        <v>-0.46508551463077569</v>
      </c>
      <c r="K72" s="16"/>
      <c r="L72" s="33">
        <f>D72-H72</f>
        <v>-1842.1317799999997</v>
      </c>
      <c r="M72" s="16"/>
      <c r="N72" s="34">
        <f>IF(H72=0,0,L72/H72)</f>
        <v>0.23798866258159365</v>
      </c>
      <c r="O72" s="25"/>
      <c r="P72" s="33">
        <f>+P68-P70</f>
        <v>-28324.19</v>
      </c>
      <c r="Q72" s="13"/>
      <c r="R72" s="34">
        <f>IF(P$12=0,0,P72/P$12)</f>
        <v>0</v>
      </c>
      <c r="S72" s="13"/>
      <c r="T72" s="33">
        <f>+T68-T70</f>
        <v>-32115.242324999999</v>
      </c>
      <c r="U72" s="13"/>
      <c r="V72" s="34">
        <f>IF(T$12=0,0,T72/T$12)</f>
        <v>-1.6290576405092827</v>
      </c>
      <c r="W72" s="16"/>
      <c r="X72" s="33">
        <f>P72-T72</f>
        <v>3791.0523250000006</v>
      </c>
      <c r="Y72" s="16"/>
      <c r="Z72" s="34">
        <f>IF(T72=0,0,X72/T72)</f>
        <v>-0.11804526606510669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5</v>
      </c>
      <c r="C75" s="26"/>
      <c r="D75" s="31">
        <f>SUM(D72:D74)</f>
        <v>-9582.5499999999993</v>
      </c>
      <c r="E75" s="13"/>
      <c r="F75" s="32">
        <f>IF(D$12=0,0,D75/D$12)</f>
        <v>0</v>
      </c>
      <c r="G75" s="13"/>
      <c r="H75" s="31">
        <f>SUM(H72:H74)</f>
        <v>-7740.4182199999996</v>
      </c>
      <c r="I75" s="13"/>
      <c r="J75" s="32">
        <f>IF(H$12=0,0,H75/H$12)</f>
        <v>-0.46508551463077569</v>
      </c>
      <c r="K75" s="16"/>
      <c r="L75" s="31">
        <f>+D75-H75</f>
        <v>-1842.1317799999997</v>
      </c>
      <c r="M75" s="16"/>
      <c r="N75" s="32">
        <f>IF(H75=0,0,L75/H75)</f>
        <v>0.23798866258159365</v>
      </c>
      <c r="O75" s="25"/>
      <c r="P75" s="31">
        <f>SUM(P72:P74)</f>
        <v>-28324.19</v>
      </c>
      <c r="Q75" s="13"/>
      <c r="R75" s="32">
        <f>IF(P$12=0,0,P75/P$12)</f>
        <v>0</v>
      </c>
      <c r="S75" s="13"/>
      <c r="T75" s="31">
        <f>SUM(T72:T74)</f>
        <v>-32115.242324999999</v>
      </c>
      <c r="U75" s="13"/>
      <c r="V75" s="32">
        <f>IF(T$12=0,0,T75/T$12)</f>
        <v>-1.6290576405092827</v>
      </c>
      <c r="W75" s="16"/>
      <c r="X75" s="31">
        <f>+P75-T75</f>
        <v>3791.0523250000006</v>
      </c>
      <c r="Y75" s="16"/>
      <c r="Z75" s="32">
        <f>IF(T75=0,0,X75/T75)</f>
        <v>-0.11804526606510669</v>
      </c>
    </row>
    <row r="76" spans="1:26" ht="15.75" thickTop="1" x14ac:dyDescent="0.25">
      <c r="A76" s="9"/>
      <c r="C76" s="9"/>
      <c r="D76" s="17"/>
      <c r="E76" s="17"/>
      <c r="G76" s="17"/>
      <c r="H76" s="17"/>
      <c r="I76" s="17"/>
      <c r="J76" s="43"/>
      <c r="K76" s="17"/>
      <c r="L76" s="17"/>
      <c r="M76" s="17"/>
      <c r="P76" s="17"/>
      <c r="Q76" s="17"/>
      <c r="R76" s="43"/>
      <c r="S76" s="17"/>
      <c r="T76" s="17"/>
      <c r="U76" s="17"/>
      <c r="V76" s="43"/>
      <c r="W76" s="17"/>
      <c r="X76" s="17"/>
    </row>
    <row r="77" spans="1:26" x14ac:dyDescent="0.25">
      <c r="A77" s="9"/>
      <c r="B77" s="55">
        <v>44123.571996331018</v>
      </c>
      <c r="D77" s="17"/>
      <c r="E77" s="17"/>
      <c r="G77" s="17"/>
      <c r="H77" s="17"/>
      <c r="I77" s="17"/>
      <c r="J77" s="43"/>
      <c r="K77" s="17"/>
      <c r="L77" s="17"/>
      <c r="M77" s="17"/>
      <c r="P77" s="17"/>
      <c r="Q77" s="17"/>
      <c r="R77" s="43"/>
      <c r="S77" s="17"/>
      <c r="T77" s="17"/>
      <c r="U77" s="17"/>
      <c r="V77" s="43"/>
      <c r="W77" s="17"/>
      <c r="X77" s="17"/>
    </row>
    <row r="78" spans="1:26" x14ac:dyDescent="0.25">
      <c r="A78" s="9"/>
      <c r="B78" s="53" t="s">
        <v>314</v>
      </c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62"/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","321", " - ", "Student Union C-Store")</f>
        <v>Department 321 - Student Union C-Store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1762.4699999999998</v>
      </c>
      <c r="E12" s="4"/>
      <c r="F12" s="12"/>
      <c r="G12" s="4"/>
      <c r="H12" s="4">
        <f>SUM(OSRRefH13x_0)</f>
        <v>9624</v>
      </c>
      <c r="I12" s="4"/>
      <c r="J12" s="12"/>
      <c r="K12" s="4"/>
      <c r="L12" s="4">
        <f t="shared" ref="L12:L15" si="0">+D12-H12</f>
        <v>-7861.5300000000007</v>
      </c>
      <c r="M12" s="4"/>
      <c r="N12" s="12">
        <f t="shared" ref="N12:N15" si="1">IF(H12=0,0,L12/H12)</f>
        <v>-0.81686720698254367</v>
      </c>
      <c r="O12" s="10"/>
      <c r="P12" s="4">
        <f>SUM(OSRRefP13x_0)</f>
        <v>2476.4700000000003</v>
      </c>
      <c r="Q12" s="4"/>
      <c r="R12" s="12"/>
      <c r="S12" s="4"/>
      <c r="T12" s="4">
        <f>SUM(OSRRefT13x_0)</f>
        <v>11081</v>
      </c>
      <c r="U12" s="4"/>
      <c r="V12" s="12"/>
      <c r="W12" s="4"/>
      <c r="X12" s="4">
        <f t="shared" ref="X12:X15" si="2">+P12-T12</f>
        <v>-8604.5299999999988</v>
      </c>
      <c r="Y12" s="4"/>
      <c r="Z12" s="12">
        <f t="shared" ref="Z12:Z15" si="3">IF(T12=0,0,X12/T12)</f>
        <v>-0.77651204764912907</v>
      </c>
    </row>
    <row r="13" spans="1:26" s="24" customFormat="1" hidden="1" outlineLevel="1" x14ac:dyDescent="0.25">
      <c r="A13" s="51"/>
      <c r="B13" s="11" t="str">
        <f>CONCATENATE("          ", "4032", " - ", "TAXABLE SALES-JUICE")</f>
        <v xml:space="preserve">          4032 - TAXABLE SALES-JUICE</v>
      </c>
      <c r="C13" s="11"/>
      <c r="D13" s="2">
        <f>--356.39</f>
        <v>356.39</v>
      </c>
      <c r="E13" s="2"/>
      <c r="F13" s="22"/>
      <c r="G13" s="2"/>
      <c r="H13" s="2"/>
      <c r="I13" s="2"/>
      <c r="J13" s="22"/>
      <c r="K13" s="2"/>
      <c r="L13" s="2">
        <f t="shared" si="0"/>
        <v>356.39</v>
      </c>
      <c r="M13" s="2"/>
      <c r="N13" s="22">
        <f t="shared" si="1"/>
        <v>0</v>
      </c>
      <c r="O13" s="11"/>
      <c r="P13" s="2">
        <f>--444.59</f>
        <v>444.59</v>
      </c>
      <c r="Q13" s="2"/>
      <c r="R13" s="22"/>
      <c r="S13" s="2"/>
      <c r="T13" s="2"/>
      <c r="U13" s="2"/>
      <c r="V13" s="22"/>
      <c r="W13" s="2"/>
      <c r="X13" s="2">
        <f t="shared" si="2"/>
        <v>444.59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9624</v>
      </c>
      <c r="I14" s="2"/>
      <c r="J14" s="22"/>
      <c r="K14" s="2"/>
      <c r="L14" s="2">
        <f t="shared" si="0"/>
        <v>-9624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11081</v>
      </c>
      <c r="U14" s="2"/>
      <c r="V14" s="22"/>
      <c r="W14" s="2"/>
      <c r="X14" s="2">
        <f t="shared" si="2"/>
        <v>-11081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"4132", " - ", "NON-TAXABLE SALES-JUICE")</f>
        <v xml:space="preserve">          4132 - NON-TAXABLE SALES-JUICE</v>
      </c>
      <c r="C15" s="11"/>
      <c r="D15" s="2">
        <f>--1406.08</f>
        <v>1406.08</v>
      </c>
      <c r="E15" s="2"/>
      <c r="F15" s="22"/>
      <c r="G15" s="2"/>
      <c r="H15" s="2"/>
      <c r="I15" s="2"/>
      <c r="J15" s="22"/>
      <c r="K15" s="2"/>
      <c r="L15" s="2">
        <f t="shared" si="0"/>
        <v>1406.08</v>
      </c>
      <c r="M15" s="2"/>
      <c r="N15" s="22">
        <f t="shared" si="1"/>
        <v>0</v>
      </c>
      <c r="O15" s="11"/>
      <c r="P15" s="2">
        <f>--2031.88</f>
        <v>2031.88</v>
      </c>
      <c r="Q15" s="2"/>
      <c r="R15" s="22"/>
      <c r="S15" s="2"/>
      <c r="T15" s="2"/>
      <c r="U15" s="2"/>
      <c r="V15" s="22"/>
      <c r="W15" s="2"/>
      <c r="X15" s="2">
        <f t="shared" si="2"/>
        <v>2031.88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53.15</v>
      </c>
      <c r="E17" s="4"/>
      <c r="F17" s="12">
        <f t="shared" ref="F17:F19" si="4">IF(D$12=0,0,D17/D$12)</f>
        <v>3.0156541671631294E-2</v>
      </c>
      <c r="G17" s="4"/>
      <c r="H17" s="4">
        <f>SUM(OSRRefH16x_0)</f>
        <v>5004</v>
      </c>
      <c r="I17" s="4"/>
      <c r="J17" s="12">
        <f t="shared" ref="J17:J19" si="5">IF(H$12=0,0,H17/H$12)</f>
        <v>0.51995012468827928</v>
      </c>
      <c r="K17" s="4"/>
      <c r="L17" s="4">
        <f t="shared" ref="L17:L19" si="6">+D17-H17</f>
        <v>-4950.8500000000004</v>
      </c>
      <c r="M17" s="4"/>
      <c r="N17" s="12">
        <f t="shared" ref="N17:N19" si="7">IF(H17=0,0,L17/H17)</f>
        <v>-0.98937849720223825</v>
      </c>
      <c r="O17" s="10"/>
      <c r="P17" s="4">
        <f>SUM(OSRRefP16x_0)</f>
        <v>239.48</v>
      </c>
      <c r="Q17" s="4"/>
      <c r="R17" s="12">
        <f t="shared" ref="R17:R19" si="8">IF(P$12=0,0,P17/P$12)</f>
        <v>9.6702160736855267E-2</v>
      </c>
      <c r="S17" s="4"/>
      <c r="T17" s="4">
        <f>SUM(OSRRefT16x_0)</f>
        <v>5761</v>
      </c>
      <c r="U17" s="4"/>
      <c r="V17" s="12">
        <f t="shared" ref="V17:V19" si="9">IF(T$12=0,0,T17/T$12)</f>
        <v>0.51989892608970312</v>
      </c>
      <c r="W17" s="4"/>
      <c r="X17" s="4">
        <f t="shared" ref="X17:X19" si="10">+P17-T17</f>
        <v>-5521.52</v>
      </c>
      <c r="Y17" s="4"/>
      <c r="Z17" s="12">
        <f t="shared" ref="Z17:Z19" si="11">IF(T17=0,0,X17/T17)</f>
        <v>-0.95843082798125334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4"/>
        <v>0</v>
      </c>
      <c r="G18" s="2"/>
      <c r="H18" s="2">
        <v>5004</v>
      </c>
      <c r="I18" s="2"/>
      <c r="J18" s="22">
        <f t="shared" si="5"/>
        <v>0.51995012468827928</v>
      </c>
      <c r="K18" s="2"/>
      <c r="L18" s="2">
        <f t="shared" si="6"/>
        <v>-5004</v>
      </c>
      <c r="M18" s="2"/>
      <c r="N18" s="22">
        <f t="shared" si="7"/>
        <v>-1</v>
      </c>
      <c r="O18" s="11"/>
      <c r="P18" s="2"/>
      <c r="Q18" s="2"/>
      <c r="R18" s="22">
        <f t="shared" si="8"/>
        <v>0</v>
      </c>
      <c r="S18" s="2"/>
      <c r="T18" s="2">
        <v>5761</v>
      </c>
      <c r="U18" s="2"/>
      <c r="V18" s="22">
        <f t="shared" si="9"/>
        <v>0.51989892608970312</v>
      </c>
      <c r="W18" s="2"/>
      <c r="X18" s="2">
        <f t="shared" si="10"/>
        <v>-5761</v>
      </c>
      <c r="Y18" s="2"/>
      <c r="Z18" s="22">
        <f t="shared" si="11"/>
        <v>-1</v>
      </c>
    </row>
    <row r="19" spans="1:26" s="24" customFormat="1" hidden="1" outlineLevel="1" x14ac:dyDescent="0.25">
      <c r="A19" s="51"/>
      <c r="B19" s="11" t="str">
        <f>CONCATENATE("          ", "5053", " - ", "PURCHASES @ COST-FOOD")</f>
        <v xml:space="preserve">          5053 - PURCHASES @ COST-FOOD</v>
      </c>
      <c r="C19" s="11"/>
      <c r="D19" s="2">
        <v>53.15</v>
      </c>
      <c r="E19" s="2"/>
      <c r="F19" s="22">
        <f t="shared" si="4"/>
        <v>3.0156541671631294E-2</v>
      </c>
      <c r="G19" s="2"/>
      <c r="H19" s="2"/>
      <c r="I19" s="2"/>
      <c r="J19" s="22">
        <f t="shared" si="5"/>
        <v>0</v>
      </c>
      <c r="K19" s="2"/>
      <c r="L19" s="2">
        <f t="shared" si="6"/>
        <v>53.15</v>
      </c>
      <c r="M19" s="2"/>
      <c r="N19" s="22">
        <f t="shared" si="7"/>
        <v>0</v>
      </c>
      <c r="O19" s="11"/>
      <c r="P19" s="2">
        <v>239.48</v>
      </c>
      <c r="Q19" s="2"/>
      <c r="R19" s="22">
        <f t="shared" si="8"/>
        <v>9.6702160736855267E-2</v>
      </c>
      <c r="S19" s="2"/>
      <c r="T19" s="2"/>
      <c r="U19" s="2"/>
      <c r="V19" s="22">
        <f t="shared" si="9"/>
        <v>0</v>
      </c>
      <c r="W19" s="2"/>
      <c r="X19" s="2">
        <f t="shared" si="10"/>
        <v>239.48</v>
      </c>
      <c r="Y19" s="2"/>
      <c r="Z19" s="22">
        <f t="shared" si="11"/>
        <v>0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0">
        <f>D12-D17</f>
        <v>1709.3199999999997</v>
      </c>
      <c r="E21" s="13"/>
      <c r="F21" s="21">
        <f>IF(D$12=0,0,D21/D$12)</f>
        <v>0.9698434583283686</v>
      </c>
      <c r="G21" s="13"/>
      <c r="H21" s="20">
        <f>H12-H17</f>
        <v>4620</v>
      </c>
      <c r="I21" s="13"/>
      <c r="J21" s="21">
        <f>IF(H$12=0,0,H21/H$12)</f>
        <v>0.48004987531172072</v>
      </c>
      <c r="K21" s="16"/>
      <c r="L21" s="20">
        <f>+D21-H21</f>
        <v>-2910.6800000000003</v>
      </c>
      <c r="M21" s="16"/>
      <c r="N21" s="21">
        <f>IF(H21=0,0,L21/H21)</f>
        <v>-0.63001731601731603</v>
      </c>
      <c r="O21" s="25"/>
      <c r="P21" s="20">
        <f>P12-P17</f>
        <v>2236.9900000000002</v>
      </c>
      <c r="Q21" s="13"/>
      <c r="R21" s="21">
        <f>IF(P$12=0,0,P21/P$12)</f>
        <v>0.90329783926314478</v>
      </c>
      <c r="S21" s="13"/>
      <c r="T21" s="20">
        <f>T12-T17</f>
        <v>5320</v>
      </c>
      <c r="U21" s="13"/>
      <c r="V21" s="21">
        <f>IF(T$12=0,0,T21/T$12)</f>
        <v>0.48010107391029688</v>
      </c>
      <c r="W21" s="16"/>
      <c r="X21" s="20">
        <f>+P21-T21</f>
        <v>-3083.0099999999998</v>
      </c>
      <c r="Y21" s="16"/>
      <c r="Z21" s="21">
        <f>IF(T21=0,0,X21/T21)</f>
        <v>-0.57951315789473679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6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19">
        <f>SUM(OSRRefD22x_0)</f>
        <v>9141.619999999999</v>
      </c>
      <c r="E23" s="19"/>
      <c r="F23" s="35">
        <f t="shared" ref="F23:F33" si="12">IF(D$12=0,0,D23/D$12)</f>
        <v>5.1868230381226343</v>
      </c>
      <c r="G23" s="19"/>
      <c r="H23" s="19">
        <f>SUM(OSRRefH22x_0)</f>
        <v>8882.2757486999999</v>
      </c>
      <c r="I23" s="19"/>
      <c r="J23" s="35">
        <f t="shared" ref="J23:J33" si="13">IF(H$12=0,0,H23/H$12)</f>
        <v>0.92292973282418955</v>
      </c>
      <c r="K23" s="4"/>
      <c r="L23" s="19">
        <f t="shared" ref="L23:L33" si="14">+D23-H23</f>
        <v>259.34425129999909</v>
      </c>
      <c r="M23" s="4"/>
      <c r="N23" s="35">
        <f t="shared" ref="N23:N33" si="15">IF(H23=0,0,L23/H23)</f>
        <v>2.9197950912293668E-2</v>
      </c>
      <c r="O23" s="10"/>
      <c r="P23" s="19">
        <f>SUM(OSRRefP22x_0)</f>
        <v>22816.83</v>
      </c>
      <c r="Q23" s="19"/>
      <c r="R23" s="35">
        <f t="shared" ref="R23:R33" si="16">IF(P$12=0,0,P23/P$12)</f>
        <v>9.2134489818168603</v>
      </c>
      <c r="S23" s="19"/>
      <c r="T23" s="19">
        <f>SUM(OSRRefT22x_0)</f>
        <v>17767.187230800002</v>
      </c>
      <c r="U23" s="19"/>
      <c r="V23" s="35">
        <f t="shared" ref="V23:V33" si="17">IF(T$12=0,0,T23/T$12)</f>
        <v>1.6033920432090969</v>
      </c>
      <c r="W23" s="4"/>
      <c r="X23" s="19">
        <f t="shared" ref="X23:X33" si="18">+P23-T23</f>
        <v>5049.6427691999997</v>
      </c>
      <c r="Y23" s="4"/>
      <c r="Z23" s="35">
        <f t="shared" ref="Z23:Z33" si="19">IF(T23=0,0,X23/T23)</f>
        <v>0.28421171587848632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2095.62</v>
      </c>
      <c r="E24" s="1"/>
      <c r="F24" s="5">
        <f t="shared" si="12"/>
        <v>1.1890244940339412</v>
      </c>
      <c r="G24" s="1"/>
      <c r="H24" s="1">
        <f>SUM(OSRRefH22_0x_0)</f>
        <v>429.2857487</v>
      </c>
      <c r="I24" s="1"/>
      <c r="J24" s="5">
        <f t="shared" si="13"/>
        <v>4.4605751111803822E-2</v>
      </c>
      <c r="K24" s="1"/>
      <c r="L24" s="1">
        <f t="shared" si="14"/>
        <v>1666.3342512999998</v>
      </c>
      <c r="M24" s="1"/>
      <c r="N24" s="5">
        <f t="shared" si="15"/>
        <v>3.8816435354449488</v>
      </c>
      <c r="O24" s="14"/>
      <c r="P24" s="1">
        <f>SUM(OSRRefP22_0x_0)</f>
        <v>4520.96</v>
      </c>
      <c r="Q24" s="1"/>
      <c r="R24" s="5">
        <f t="shared" si="16"/>
        <v>1.8255662293506481</v>
      </c>
      <c r="S24" s="1"/>
      <c r="T24" s="1">
        <f>SUM(OSRRefT22_0x_0)</f>
        <v>769.02723079999998</v>
      </c>
      <c r="U24" s="1"/>
      <c r="V24" s="5">
        <f t="shared" si="17"/>
        <v>6.9400526197996568E-2</v>
      </c>
      <c r="W24" s="1"/>
      <c r="X24" s="1">
        <f t="shared" si="18"/>
        <v>3751.9327692000002</v>
      </c>
      <c r="Y24" s="1"/>
      <c r="Z24" s="5">
        <f t="shared" si="19"/>
        <v>4.878803531179198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6">
        <v>454.71</v>
      </c>
      <c r="E25" s="2"/>
      <c r="F25" s="7">
        <f t="shared" si="12"/>
        <v>0.25799588078094948</v>
      </c>
      <c r="G25" s="2"/>
      <c r="H25" s="6">
        <v>189.98495969999999</v>
      </c>
      <c r="I25" s="2"/>
      <c r="J25" s="7">
        <f t="shared" si="13"/>
        <v>1.9740748098503739E-2</v>
      </c>
      <c r="K25" s="2"/>
      <c r="L25" s="6">
        <f t="shared" si="14"/>
        <v>264.72504029999999</v>
      </c>
      <c r="M25" s="2"/>
      <c r="N25" s="7">
        <f t="shared" si="15"/>
        <v>1.3933999865990445</v>
      </c>
      <c r="O25" s="11"/>
      <c r="P25" s="6">
        <v>932.07</v>
      </c>
      <c r="Q25" s="2"/>
      <c r="R25" s="7">
        <f t="shared" si="16"/>
        <v>0.37637039818774304</v>
      </c>
      <c r="S25" s="2"/>
      <c r="T25" s="6">
        <v>340.34115480000003</v>
      </c>
      <c r="U25" s="2"/>
      <c r="V25" s="7">
        <f t="shared" si="17"/>
        <v>3.0713938705892972E-2</v>
      </c>
      <c r="W25" s="2"/>
      <c r="X25" s="6">
        <f t="shared" si="18"/>
        <v>591.72884520000002</v>
      </c>
      <c r="Y25" s="2"/>
      <c r="Z25" s="7">
        <f t="shared" si="19"/>
        <v>1.7386344168330945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6">
        <v>76.959999999999994</v>
      </c>
      <c r="E26" s="2"/>
      <c r="F26" s="7">
        <f t="shared" si="12"/>
        <v>4.3665991477869127E-2</v>
      </c>
      <c r="G26" s="2"/>
      <c r="H26" s="6">
        <v>86.635315000000006</v>
      </c>
      <c r="I26" s="2"/>
      <c r="J26" s="7">
        <f t="shared" si="13"/>
        <v>9.0020069617622617E-3</v>
      </c>
      <c r="K26" s="2"/>
      <c r="L26" s="6">
        <f t="shared" si="14"/>
        <v>-9.6753150000000119</v>
      </c>
      <c r="M26" s="2"/>
      <c r="N26" s="7">
        <f t="shared" si="15"/>
        <v>-0.11167864975154775</v>
      </c>
      <c r="O26" s="11"/>
      <c r="P26" s="6">
        <v>230.88</v>
      </c>
      <c r="Q26" s="2"/>
      <c r="R26" s="7">
        <f t="shared" si="16"/>
        <v>9.3229475826478808E-2</v>
      </c>
      <c r="S26" s="2"/>
      <c r="T26" s="6">
        <v>155.19945999999999</v>
      </c>
      <c r="U26" s="2"/>
      <c r="V26" s="7">
        <f t="shared" si="17"/>
        <v>1.4005907409078602E-2</v>
      </c>
      <c r="W26" s="2"/>
      <c r="X26" s="6">
        <f t="shared" si="18"/>
        <v>75.680540000000008</v>
      </c>
      <c r="Y26" s="2"/>
      <c r="Z26" s="7">
        <f t="shared" si="19"/>
        <v>0.4876340420256618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6">
        <v>683.68</v>
      </c>
      <c r="E27" s="2"/>
      <c r="F27" s="7">
        <f t="shared" si="12"/>
        <v>0.38791014882522823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683.68</v>
      </c>
      <c r="M27" s="2"/>
      <c r="N27" s="7">
        <f t="shared" si="15"/>
        <v>0</v>
      </c>
      <c r="O27" s="11"/>
      <c r="P27" s="6">
        <v>1367.36</v>
      </c>
      <c r="Q27" s="2"/>
      <c r="R27" s="7">
        <f t="shared" si="16"/>
        <v>0.55214074872701857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1367.36</v>
      </c>
      <c r="Y27" s="2"/>
      <c r="Z27" s="7">
        <f t="shared" si="19"/>
        <v>0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10.82</v>
      </c>
      <c r="E28" s="2"/>
      <c r="F28" s="7">
        <f t="shared" si="12"/>
        <v>6.1391115877149688E-3</v>
      </c>
      <c r="G28" s="2"/>
      <c r="H28" s="6">
        <v>12.175774000000001</v>
      </c>
      <c r="I28" s="2"/>
      <c r="J28" s="7">
        <f t="shared" si="13"/>
        <v>1.2651469243557772E-3</v>
      </c>
      <c r="K28" s="2"/>
      <c r="L28" s="6">
        <f t="shared" si="14"/>
        <v>-1.3557740000000003</v>
      </c>
      <c r="M28" s="2"/>
      <c r="N28" s="7">
        <f t="shared" si="15"/>
        <v>-0.11135012854213623</v>
      </c>
      <c r="O28" s="11"/>
      <c r="P28" s="6">
        <v>32.46</v>
      </c>
      <c r="Q28" s="2"/>
      <c r="R28" s="7">
        <f t="shared" si="16"/>
        <v>1.3107366533816278E-2</v>
      </c>
      <c r="S28" s="2"/>
      <c r="T28" s="6">
        <v>21.811816</v>
      </c>
      <c r="U28" s="2"/>
      <c r="V28" s="7">
        <f t="shared" si="17"/>
        <v>1.9683977980326684E-3</v>
      </c>
      <c r="W28" s="2"/>
      <c r="X28" s="6">
        <f t="shared" si="18"/>
        <v>10.648184000000001</v>
      </c>
      <c r="Y28" s="2"/>
      <c r="Z28" s="7">
        <f t="shared" si="19"/>
        <v>0.48818420254416234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6">
        <v>321.57</v>
      </c>
      <c r="E29" s="2"/>
      <c r="F29" s="7">
        <f t="shared" si="12"/>
        <v>0.1824541694326712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321.57</v>
      </c>
      <c r="M29" s="2"/>
      <c r="N29" s="7">
        <f t="shared" si="15"/>
        <v>0</v>
      </c>
      <c r="O29" s="11"/>
      <c r="P29" s="6">
        <v>803.92</v>
      </c>
      <c r="Q29" s="2"/>
      <c r="R29" s="7">
        <f t="shared" si="16"/>
        <v>0.32462335501742395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803.92</v>
      </c>
      <c r="Y29" s="2"/>
      <c r="Z29" s="7">
        <f t="shared" si="19"/>
        <v>0</v>
      </c>
    </row>
    <row r="30" spans="1:26" s="24" customFormat="1" hidden="1" outlineLevel="2" x14ac:dyDescent="0.25">
      <c r="A30" s="29"/>
      <c r="B30" s="11" t="str">
        <f>CONCATENATE("          ", "6116", " - ", "EDUCATIONAL BENEFITS")</f>
        <v xml:space="preserve">          6116 - EDUCATIONAL BENEFITS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/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0</v>
      </c>
      <c r="Y30" s="2"/>
      <c r="Z30" s="7">
        <f t="shared" si="19"/>
        <v>0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6">
        <v>239.72</v>
      </c>
      <c r="E31" s="2"/>
      <c r="F31" s="7">
        <f t="shared" si="12"/>
        <v>0.13601366264390316</v>
      </c>
      <c r="G31" s="2"/>
      <c r="H31" s="6">
        <v>0</v>
      </c>
      <c r="I31" s="2"/>
      <c r="J31" s="7">
        <f t="shared" si="13"/>
        <v>0</v>
      </c>
      <c r="K31" s="2"/>
      <c r="L31" s="6">
        <f t="shared" si="14"/>
        <v>239.72</v>
      </c>
      <c r="M31" s="2"/>
      <c r="N31" s="7">
        <f t="shared" si="15"/>
        <v>0</v>
      </c>
      <c r="O31" s="11"/>
      <c r="P31" s="6">
        <v>479.44</v>
      </c>
      <c r="Q31" s="2"/>
      <c r="R31" s="7">
        <f t="shared" si="16"/>
        <v>0.19359814574777806</v>
      </c>
      <c r="S31" s="2"/>
      <c r="T31" s="6">
        <v>0</v>
      </c>
      <c r="U31" s="2"/>
      <c r="V31" s="7">
        <f t="shared" si="17"/>
        <v>0</v>
      </c>
      <c r="W31" s="2"/>
      <c r="X31" s="6">
        <f t="shared" si="18"/>
        <v>479.44</v>
      </c>
      <c r="Y31" s="2"/>
      <c r="Z31" s="7">
        <f t="shared" si="19"/>
        <v>0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6">
        <v>191.88</v>
      </c>
      <c r="E32" s="2"/>
      <c r="F32" s="7">
        <f t="shared" si="12"/>
        <v>0.10886993821171426</v>
      </c>
      <c r="G32" s="2"/>
      <c r="H32" s="6">
        <v>140.4897</v>
      </c>
      <c r="I32" s="2"/>
      <c r="J32" s="7">
        <f t="shared" si="13"/>
        <v>1.4597849127182044E-2</v>
      </c>
      <c r="K32" s="2"/>
      <c r="L32" s="6">
        <f t="shared" si="14"/>
        <v>51.390299999999996</v>
      </c>
      <c r="M32" s="2"/>
      <c r="N32" s="7">
        <f t="shared" si="15"/>
        <v>0.36579407600699548</v>
      </c>
      <c r="O32" s="11"/>
      <c r="P32" s="6">
        <v>383.76</v>
      </c>
      <c r="Q32" s="2"/>
      <c r="R32" s="7">
        <f t="shared" si="16"/>
        <v>0.15496250711698503</v>
      </c>
      <c r="S32" s="2"/>
      <c r="T32" s="6">
        <v>251.6748</v>
      </c>
      <c r="U32" s="2"/>
      <c r="V32" s="7">
        <f t="shared" si="17"/>
        <v>2.2712282284992329E-2</v>
      </c>
      <c r="W32" s="2"/>
      <c r="X32" s="6">
        <f t="shared" si="18"/>
        <v>132.08519999999999</v>
      </c>
      <c r="Y32" s="2"/>
      <c r="Z32" s="7">
        <f t="shared" si="19"/>
        <v>0.5248248930763032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6">
        <v>116.28</v>
      </c>
      <c r="E33" s="2"/>
      <c r="F33" s="7">
        <f t="shared" si="12"/>
        <v>6.597559107389063E-2</v>
      </c>
      <c r="G33" s="2"/>
      <c r="H33" s="6"/>
      <c r="I33" s="2"/>
      <c r="J33" s="7">
        <f t="shared" si="13"/>
        <v>0</v>
      </c>
      <c r="K33" s="2"/>
      <c r="L33" s="6">
        <f t="shared" si="14"/>
        <v>116.28</v>
      </c>
      <c r="M33" s="2"/>
      <c r="N33" s="7">
        <f t="shared" si="15"/>
        <v>0</v>
      </c>
      <c r="O33" s="11"/>
      <c r="P33" s="6">
        <v>291.07</v>
      </c>
      <c r="Q33" s="2"/>
      <c r="R33" s="7">
        <f t="shared" si="16"/>
        <v>0.11753423219340431</v>
      </c>
      <c r="S33" s="2"/>
      <c r="T33" s="6"/>
      <c r="U33" s="2"/>
      <c r="V33" s="7">
        <f t="shared" si="17"/>
        <v>0</v>
      </c>
      <c r="W33" s="2"/>
      <c r="X33" s="6">
        <f t="shared" si="18"/>
        <v>291.07</v>
      </c>
      <c r="Y33" s="2"/>
      <c r="Z33" s="7">
        <f t="shared" si="19"/>
        <v>0</v>
      </c>
    </row>
    <row r="34" spans="1:26" s="28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5429.1</v>
      </c>
      <c r="E34" s="1"/>
      <c r="F34" s="5">
        <f t="shared" ref="F34:F44" si="20">IF(D$12=0,0,D34/D$12)</f>
        <v>3.0803928577507707</v>
      </c>
      <c r="G34" s="1"/>
      <c r="H34" s="1">
        <f>SUM(OSRRefH22_1x_0)</f>
        <v>4682.99</v>
      </c>
      <c r="I34" s="1"/>
      <c r="J34" s="5">
        <f t="shared" ref="J34:J44" si="21">IF(H$12=0,0,H34/H$12)</f>
        <v>0.48659497090606812</v>
      </c>
      <c r="K34" s="1"/>
      <c r="L34" s="1">
        <f t="shared" ref="L34:L44" si="22">+D34-H34</f>
        <v>746.11000000000058</v>
      </c>
      <c r="M34" s="1"/>
      <c r="N34" s="5">
        <f t="shared" ref="N34:N44" si="23">IF(H34=0,0,L34/H34)</f>
        <v>0.15932342371006572</v>
      </c>
      <c r="O34" s="14"/>
      <c r="P34" s="1">
        <f>SUM(OSRRefP22_1x_0)</f>
        <v>13156.1</v>
      </c>
      <c r="Q34" s="1"/>
      <c r="R34" s="5">
        <f t="shared" ref="R34:R44" si="24">IF(P$12=0,0,P34/P$12)</f>
        <v>5.3124406917911378</v>
      </c>
      <c r="S34" s="1"/>
      <c r="T34" s="1">
        <f>SUM(OSRRefT22_1x_0)</f>
        <v>8389.16</v>
      </c>
      <c r="U34" s="1"/>
      <c r="V34" s="5">
        <f t="shared" ref="V34:V44" si="25">IF(T$12=0,0,T34/T$12)</f>
        <v>0.75707607616641093</v>
      </c>
      <c r="W34" s="1"/>
      <c r="X34" s="1">
        <f t="shared" ref="X34:X44" si="26">+P34-T34</f>
        <v>4766.9400000000005</v>
      </c>
      <c r="Y34" s="1"/>
      <c r="Z34" s="5">
        <f t="shared" ref="Z34:Z44" si="27">IF(T34=0,0,X34/T34)</f>
        <v>0.56822613944661926</v>
      </c>
    </row>
    <row r="35" spans="1:26" s="24" customFormat="1" hidden="1" outlineLevel="2" x14ac:dyDescent="0.25">
      <c r="A35" s="29"/>
      <c r="B35" s="11" t="str">
        <f>CONCATENATE("          ", "6001", " - ", "ADMINISTRATIVE SALARIES")</f>
        <v xml:space="preserve">          6001 - ADMINISTRATIVE SALARIES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6">
        <v>3952</v>
      </c>
      <c r="E36" s="2"/>
      <c r="F36" s="7">
        <f t="shared" si="20"/>
        <v>2.2423076704851717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3952</v>
      </c>
      <c r="M36" s="2"/>
      <c r="N36" s="7">
        <f t="shared" si="23"/>
        <v>0</v>
      </c>
      <c r="O36" s="11"/>
      <c r="P36" s="6">
        <v>11024</v>
      </c>
      <c r="Q36" s="2"/>
      <c r="R36" s="7">
        <f t="shared" si="24"/>
        <v>4.451497494417457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11024</v>
      </c>
      <c r="Y36" s="2"/>
      <c r="Z36" s="7">
        <f t="shared" si="27"/>
        <v>0</v>
      </c>
    </row>
    <row r="37" spans="1:26" s="24" customFormat="1" hidden="1" outlineLevel="2" x14ac:dyDescent="0.25">
      <c r="A37" s="29"/>
      <c r="B37" s="11" t="str">
        <f>CONCATENATE("          ", "6003", " - ", "STAFF HOURLY-9 MONTH")</f>
        <v xml:space="preserve">          6003 - STAFF HOURLY-9 MONTH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9"/>
      <c r="B38" s="11" t="str">
        <f>CONCATENATE("          ", "6004", " - ", "STAFF HOURLY")</f>
        <v xml:space="preserve">          6004 - STAFF HOURLY</v>
      </c>
      <c r="C38" s="11"/>
      <c r="D38" s="6"/>
      <c r="E38" s="2"/>
      <c r="F38" s="7">
        <f t="shared" si="20"/>
        <v>0</v>
      </c>
      <c r="G38" s="2"/>
      <c r="H38" s="6">
        <v>2482.4899999999998</v>
      </c>
      <c r="I38" s="2"/>
      <c r="J38" s="7">
        <f t="shared" si="21"/>
        <v>0.25794783873649207</v>
      </c>
      <c r="K38" s="2"/>
      <c r="L38" s="6">
        <f t="shared" si="22"/>
        <v>-2482.4899999999998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4447.16</v>
      </c>
      <c r="U38" s="2"/>
      <c r="V38" s="7">
        <f t="shared" si="25"/>
        <v>0.40133200974641275</v>
      </c>
      <c r="W38" s="2"/>
      <c r="X38" s="6">
        <f t="shared" si="26"/>
        <v>-4447.16</v>
      </c>
      <c r="Y38" s="2"/>
      <c r="Z38" s="7">
        <f t="shared" si="27"/>
        <v>-1</v>
      </c>
    </row>
    <row r="39" spans="1:26" s="24" customFormat="1" hidden="1" outlineLevel="2" x14ac:dyDescent="0.25">
      <c r="A39" s="29"/>
      <c r="B39" s="11" t="str">
        <f>CONCATENATE("          ", "6005", " - ", "TEMPORARY WAGES-HOURLY")</f>
        <v xml:space="preserve">          6005 - TEMPORARY WAGES-HOURLY</v>
      </c>
      <c r="C39" s="11"/>
      <c r="D39" s="6">
        <v>1784.1</v>
      </c>
      <c r="E39" s="2"/>
      <c r="F39" s="7">
        <f t="shared" si="20"/>
        <v>1.0122725493199884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1784.1</v>
      </c>
      <c r="M39" s="2"/>
      <c r="N39" s="7">
        <f t="shared" si="23"/>
        <v>0</v>
      </c>
      <c r="O39" s="11"/>
      <c r="P39" s="6">
        <v>1784.1</v>
      </c>
      <c r="Q39" s="2"/>
      <c r="R39" s="7">
        <f t="shared" si="24"/>
        <v>0.72042059867472641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1784.1</v>
      </c>
      <c r="Y39" s="2"/>
      <c r="Z39" s="7">
        <f t="shared" si="27"/>
        <v>0</v>
      </c>
    </row>
    <row r="40" spans="1:26" s="24" customFormat="1" hidden="1" outlineLevel="2" x14ac:dyDescent="0.25">
      <c r="A40" s="29"/>
      <c r="B40" s="11" t="str">
        <f>CONCATENATE("          ", "6006", " - ", "TEMPORARY PART TIME")</f>
        <v xml:space="preserve">          6006 - TEMPORARY PART TIME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9"/>
      <c r="B41" s="11" t="str">
        <f>CONCATENATE("          ", "6007", " - ", "STUDENT HOURLY")</f>
        <v xml:space="preserve">          6007 - STUDENT HOURLY</v>
      </c>
      <c r="C41" s="11"/>
      <c r="D41" s="6">
        <v>-307</v>
      </c>
      <c r="E41" s="2"/>
      <c r="F41" s="7">
        <f t="shared" si="20"/>
        <v>-0.17418736205438959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-307</v>
      </c>
      <c r="M41" s="2"/>
      <c r="N41" s="7">
        <f t="shared" si="23"/>
        <v>0</v>
      </c>
      <c r="O41" s="11"/>
      <c r="P41" s="6">
        <v>348</v>
      </c>
      <c r="Q41" s="2"/>
      <c r="R41" s="7">
        <f t="shared" si="24"/>
        <v>0.14052259869895456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348</v>
      </c>
      <c r="Y41" s="2"/>
      <c r="Z41" s="7">
        <f t="shared" si="27"/>
        <v>0</v>
      </c>
    </row>
    <row r="42" spans="1:26" s="24" customFormat="1" hidden="1" outlineLevel="2" x14ac:dyDescent="0.25">
      <c r="A42" s="29"/>
      <c r="B42" s="11" t="str">
        <f>CONCATENATE("          ", "6008", " - ", "STUDENT HOURLY-FICA EXEMPT")</f>
        <v xml:space="preserve">          6008 - STUDENT HOURLY-FICA EXEMPT</v>
      </c>
      <c r="C42" s="11"/>
      <c r="D42" s="6"/>
      <c r="E42" s="2"/>
      <c r="F42" s="7">
        <f t="shared" si="20"/>
        <v>0</v>
      </c>
      <c r="G42" s="2"/>
      <c r="H42" s="6">
        <v>2200.5</v>
      </c>
      <c r="I42" s="2"/>
      <c r="J42" s="7">
        <f t="shared" si="21"/>
        <v>0.22864713216957605</v>
      </c>
      <c r="K42" s="2"/>
      <c r="L42" s="6">
        <f t="shared" si="22"/>
        <v>-2200.5</v>
      </c>
      <c r="M42" s="2"/>
      <c r="N42" s="7">
        <f t="shared" si="23"/>
        <v>-1</v>
      </c>
      <c r="O42" s="11"/>
      <c r="P42" s="6"/>
      <c r="Q42" s="2"/>
      <c r="R42" s="7">
        <f t="shared" si="24"/>
        <v>0</v>
      </c>
      <c r="S42" s="2"/>
      <c r="T42" s="6">
        <v>3942</v>
      </c>
      <c r="U42" s="2"/>
      <c r="V42" s="7">
        <f t="shared" si="25"/>
        <v>0.35574406641999817</v>
      </c>
      <c r="W42" s="2"/>
      <c r="X42" s="6">
        <f t="shared" si="26"/>
        <v>-3942</v>
      </c>
      <c r="Y42" s="2"/>
      <c r="Z42" s="7">
        <f t="shared" si="27"/>
        <v>-1</v>
      </c>
    </row>
    <row r="43" spans="1:26" s="24" customFormat="1" hidden="1" outlineLevel="2" x14ac:dyDescent="0.25">
      <c r="A43" s="29"/>
      <c r="B43" s="11" t="str">
        <f>CONCATENATE("          ", "6009", " - ", "TEMPORARY-SEASONAL")</f>
        <v xml:space="preserve">          6009 - TEMPORARY-SEASONAL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9"/>
      <c r="B44" s="11" t="str">
        <f>CONCATENATE("          ", "6010", " - ", "GRATUITY")</f>
        <v xml:space="preserve">          6010 - GRATUITY</v>
      </c>
      <c r="C44" s="11"/>
      <c r="D44" s="6"/>
      <c r="E44" s="2"/>
      <c r="F44" s="7">
        <f t="shared" si="20"/>
        <v>0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0</v>
      </c>
      <c r="M44" s="2"/>
      <c r="N44" s="7">
        <f t="shared" si="23"/>
        <v>0</v>
      </c>
      <c r="O44" s="11"/>
      <c r="P44" s="6"/>
      <c r="Q44" s="2"/>
      <c r="R44" s="7">
        <f t="shared" si="24"/>
        <v>0</v>
      </c>
      <c r="S44" s="2"/>
      <c r="T44" s="6">
        <v>0</v>
      </c>
      <c r="U44" s="2"/>
      <c r="V44" s="7">
        <f t="shared" si="25"/>
        <v>0</v>
      </c>
      <c r="W44" s="2"/>
      <c r="X44" s="6">
        <f t="shared" si="26"/>
        <v>0</v>
      </c>
      <c r="Y44" s="2"/>
      <c r="Z44" s="7">
        <f t="shared" si="27"/>
        <v>0</v>
      </c>
    </row>
    <row r="45" spans="1:26" s="28" customFormat="1" outlineLevel="1" collapsed="1" x14ac:dyDescent="0.25">
      <c r="A45" s="27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7" si="28">IF(D$12=0,0,D45/D$12)</f>
        <v>0</v>
      </c>
      <c r="G45" s="1"/>
      <c r="H45" s="1">
        <f>SUM(OSRRefH22_2x_0)</f>
        <v>100</v>
      </c>
      <c r="I45" s="1"/>
      <c r="J45" s="5">
        <f t="shared" ref="J45:J57" si="29">IF(H$12=0,0,H45/H$12)</f>
        <v>1.0390689941812137E-2</v>
      </c>
      <c r="K45" s="1"/>
      <c r="L45" s="1">
        <f t="shared" ref="L45:L57" si="30">+D45-H45</f>
        <v>-100</v>
      </c>
      <c r="M45" s="1"/>
      <c r="N45" s="5">
        <f t="shared" ref="N45:N57" si="31">IF(H45=0,0,L45/H45)</f>
        <v>-1</v>
      </c>
      <c r="O45" s="14"/>
      <c r="P45" s="1">
        <f>SUM(OSRRefP22_2x_0)</f>
        <v>0</v>
      </c>
      <c r="Q45" s="1"/>
      <c r="R45" s="5">
        <f t="shared" ref="R45:R57" si="32">IF(P$12=0,0,P45/P$12)</f>
        <v>0</v>
      </c>
      <c r="S45" s="1"/>
      <c r="T45" s="1">
        <f>SUM(OSRRefT22_2x_0)</f>
        <v>200</v>
      </c>
      <c r="U45" s="1"/>
      <c r="V45" s="5">
        <f t="shared" ref="V45:V57" si="33">IF(T$12=0,0,T45/T$12)</f>
        <v>1.804891255301868E-2</v>
      </c>
      <c r="W45" s="1"/>
      <c r="X45" s="1">
        <f t="shared" ref="X45:X57" si="34">+P45-T45</f>
        <v>-200</v>
      </c>
      <c r="Y45" s="1"/>
      <c r="Z45" s="5">
        <f t="shared" ref="Z45:Z57" si="35">IF(T45=0,0,X45/T45)</f>
        <v>-1</v>
      </c>
    </row>
    <row r="46" spans="1:26" s="24" customFormat="1" hidden="1" outlineLevel="2" x14ac:dyDescent="0.25">
      <c r="A46" s="29"/>
      <c r="B46" s="11" t="str">
        <f>CONCATENATE("          ", "6362", " - ", "ADVERTISING EXPENSE")</f>
        <v xml:space="preserve">          6362 - ADVERTISING EXPENSE</v>
      </c>
      <c r="C46" s="11"/>
      <c r="D46" s="6"/>
      <c r="E46" s="2"/>
      <c r="F46" s="7">
        <f t="shared" si="28"/>
        <v>0</v>
      </c>
      <c r="G46" s="2"/>
      <c r="H46" s="6">
        <v>100</v>
      </c>
      <c r="I46" s="2"/>
      <c r="J46" s="7">
        <f t="shared" si="29"/>
        <v>1.0390689941812137E-2</v>
      </c>
      <c r="K46" s="2"/>
      <c r="L46" s="6">
        <f t="shared" si="30"/>
        <v>-100</v>
      </c>
      <c r="M46" s="2"/>
      <c r="N46" s="7">
        <f t="shared" si="31"/>
        <v>-1</v>
      </c>
      <c r="O46" s="11"/>
      <c r="P46" s="6"/>
      <c r="Q46" s="2"/>
      <c r="R46" s="7">
        <f t="shared" si="32"/>
        <v>0</v>
      </c>
      <c r="S46" s="2"/>
      <c r="T46" s="6">
        <v>200</v>
      </c>
      <c r="U46" s="2"/>
      <c r="V46" s="7">
        <f t="shared" si="33"/>
        <v>1.804891255301868E-2</v>
      </c>
      <c r="W46" s="2"/>
      <c r="X46" s="6">
        <f t="shared" si="34"/>
        <v>-200</v>
      </c>
      <c r="Y46" s="2"/>
      <c r="Z46" s="7">
        <f t="shared" si="35"/>
        <v>-1</v>
      </c>
    </row>
    <row r="47" spans="1:26" s="28" customFormat="1" outlineLevel="1" collapsed="1" x14ac:dyDescent="0.25">
      <c r="A47" s="27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-0.44</v>
      </c>
      <c r="E47" s="1"/>
      <c r="F47" s="5">
        <f t="shared" si="28"/>
        <v>-2.496496394264867E-4</v>
      </c>
      <c r="G47" s="1"/>
      <c r="H47" s="1">
        <f>SUM(OSRRefH22_3x_0)</f>
        <v>0</v>
      </c>
      <c r="I47" s="1"/>
      <c r="J47" s="5">
        <f t="shared" si="29"/>
        <v>0</v>
      </c>
      <c r="K47" s="1"/>
      <c r="L47" s="1">
        <f t="shared" si="30"/>
        <v>-0.44</v>
      </c>
      <c r="M47" s="1"/>
      <c r="N47" s="5">
        <f t="shared" si="31"/>
        <v>0</v>
      </c>
      <c r="O47" s="14"/>
      <c r="P47" s="1">
        <f>SUM(OSRRefP22_3x_0)</f>
        <v>3.31</v>
      </c>
      <c r="Q47" s="1"/>
      <c r="R47" s="5">
        <f t="shared" si="32"/>
        <v>1.3365798899239642E-3</v>
      </c>
      <c r="S47" s="1"/>
      <c r="T47" s="1">
        <f>SUM(OSRRefT22_3x_0)</f>
        <v>0</v>
      </c>
      <c r="U47" s="1"/>
      <c r="V47" s="5">
        <f t="shared" si="33"/>
        <v>0</v>
      </c>
      <c r="W47" s="1"/>
      <c r="X47" s="1">
        <f t="shared" si="34"/>
        <v>3.31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"6272", " - ", "CASH (OVER/SHORT)")</f>
        <v xml:space="preserve">          6272 - CASH (OVER/SHORT)</v>
      </c>
      <c r="C48" s="11"/>
      <c r="D48" s="6">
        <v>-0.44</v>
      </c>
      <c r="E48" s="2"/>
      <c r="F48" s="7">
        <f t="shared" si="28"/>
        <v>-2.496496394264867E-4</v>
      </c>
      <c r="G48" s="2"/>
      <c r="H48" s="6"/>
      <c r="I48" s="2"/>
      <c r="J48" s="7">
        <f t="shared" si="29"/>
        <v>0</v>
      </c>
      <c r="K48" s="2"/>
      <c r="L48" s="6">
        <f t="shared" si="30"/>
        <v>-0.44</v>
      </c>
      <c r="M48" s="2"/>
      <c r="N48" s="7">
        <f t="shared" si="31"/>
        <v>0</v>
      </c>
      <c r="O48" s="11"/>
      <c r="P48" s="6">
        <v>3.31</v>
      </c>
      <c r="Q48" s="2"/>
      <c r="R48" s="7">
        <f t="shared" si="32"/>
        <v>1.3365798899239642E-3</v>
      </c>
      <c r="S48" s="2"/>
      <c r="T48" s="6"/>
      <c r="U48" s="2"/>
      <c r="V48" s="7">
        <f t="shared" si="33"/>
        <v>0</v>
      </c>
      <c r="W48" s="2"/>
      <c r="X48" s="6">
        <f t="shared" si="34"/>
        <v>3.31</v>
      </c>
      <c r="Y48" s="2"/>
      <c r="Z48" s="7">
        <f t="shared" si="35"/>
        <v>0</v>
      </c>
    </row>
    <row r="49" spans="1:26" s="28" customFormat="1" outlineLevel="1" collapsed="1" x14ac:dyDescent="0.25">
      <c r="A49" s="27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50.18</v>
      </c>
      <c r="E49" s="1"/>
      <c r="F49" s="5">
        <f t="shared" si="28"/>
        <v>2.8471406605502507E-2</v>
      </c>
      <c r="G49" s="1"/>
      <c r="H49" s="1">
        <f>SUM(OSRRefH22_4x_0)</f>
        <v>609</v>
      </c>
      <c r="I49" s="1"/>
      <c r="J49" s="5">
        <f t="shared" si="29"/>
        <v>6.327930174563591E-2</v>
      </c>
      <c r="K49" s="1"/>
      <c r="L49" s="1">
        <f t="shared" si="30"/>
        <v>-558.82000000000005</v>
      </c>
      <c r="M49" s="1"/>
      <c r="N49" s="5">
        <f t="shared" si="31"/>
        <v>-0.91760262725779973</v>
      </c>
      <c r="O49" s="14"/>
      <c r="P49" s="1">
        <f>SUM(OSRRefP22_4x_0)</f>
        <v>50.18</v>
      </c>
      <c r="Q49" s="1"/>
      <c r="R49" s="5">
        <f t="shared" si="32"/>
        <v>2.0262712651475688E-2</v>
      </c>
      <c r="S49" s="1"/>
      <c r="T49" s="1">
        <f>SUM(OSRRefT22_4x_0)</f>
        <v>654</v>
      </c>
      <c r="U49" s="1"/>
      <c r="V49" s="5">
        <f t="shared" si="33"/>
        <v>5.9019944048371083E-2</v>
      </c>
      <c r="W49" s="1"/>
      <c r="X49" s="1">
        <f t="shared" si="34"/>
        <v>-603.82000000000005</v>
      </c>
      <c r="Y49" s="1"/>
      <c r="Z49" s="5">
        <f t="shared" si="35"/>
        <v>-0.92327217125382266</v>
      </c>
    </row>
    <row r="50" spans="1:26" s="24" customFormat="1" hidden="1" outlineLevel="2" x14ac:dyDescent="0.25">
      <c r="A50" s="29"/>
      <c r="B50" s="11" t="str">
        <f>CONCATENATE("          ", "6381", " - ", "BANK/CREDIT CARD FEES")</f>
        <v xml:space="preserve">          6381 - BANK/CREDIT CARD FEES</v>
      </c>
      <c r="C50" s="11"/>
      <c r="D50" s="6">
        <v>50.18</v>
      </c>
      <c r="E50" s="2"/>
      <c r="F50" s="7">
        <f t="shared" si="28"/>
        <v>2.8471406605502507E-2</v>
      </c>
      <c r="G50" s="2"/>
      <c r="H50" s="6">
        <v>609</v>
      </c>
      <c r="I50" s="2"/>
      <c r="J50" s="7">
        <f t="shared" si="29"/>
        <v>6.327930174563591E-2</v>
      </c>
      <c r="K50" s="2"/>
      <c r="L50" s="6">
        <f t="shared" si="30"/>
        <v>-558.82000000000005</v>
      </c>
      <c r="M50" s="2"/>
      <c r="N50" s="7">
        <f t="shared" si="31"/>
        <v>-0.91760262725779973</v>
      </c>
      <c r="O50" s="11"/>
      <c r="P50" s="6">
        <v>50.18</v>
      </c>
      <c r="Q50" s="2"/>
      <c r="R50" s="7">
        <f t="shared" si="32"/>
        <v>2.0262712651475688E-2</v>
      </c>
      <c r="S50" s="2"/>
      <c r="T50" s="6">
        <v>654</v>
      </c>
      <c r="U50" s="2"/>
      <c r="V50" s="7">
        <f t="shared" si="33"/>
        <v>5.9019944048371083E-2</v>
      </c>
      <c r="W50" s="2"/>
      <c r="X50" s="6">
        <f t="shared" si="34"/>
        <v>-603.82000000000005</v>
      </c>
      <c r="Y50" s="2"/>
      <c r="Z50" s="7">
        <f t="shared" si="35"/>
        <v>-0.92327217125382266</v>
      </c>
    </row>
    <row r="51" spans="1:26" s="28" customFormat="1" outlineLevel="1" collapsed="1" x14ac:dyDescent="0.25">
      <c r="A51" s="27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1075.3699999999999</v>
      </c>
      <c r="E51" s="1"/>
      <c r="F51" s="5">
        <f t="shared" si="28"/>
        <v>0.61014939261377499</v>
      </c>
      <c r="G51" s="1"/>
      <c r="H51" s="1">
        <f>SUM(OSRRefH22_5x_0)</f>
        <v>1075</v>
      </c>
      <c r="I51" s="1"/>
      <c r="J51" s="5">
        <f t="shared" si="29"/>
        <v>0.11169991687448047</v>
      </c>
      <c r="K51" s="1"/>
      <c r="L51" s="1">
        <f t="shared" si="30"/>
        <v>0.36999999999989086</v>
      </c>
      <c r="M51" s="1"/>
      <c r="N51" s="5">
        <f t="shared" si="31"/>
        <v>3.4418604651152636E-4</v>
      </c>
      <c r="O51" s="14"/>
      <c r="P51" s="1">
        <f>SUM(OSRRefP22_5x_0)</f>
        <v>3226.11</v>
      </c>
      <c r="Q51" s="1"/>
      <c r="R51" s="5">
        <f t="shared" si="32"/>
        <v>1.3027050600249548</v>
      </c>
      <c r="S51" s="1"/>
      <c r="T51" s="1">
        <f>SUM(OSRRefT22_5x_0)</f>
        <v>3225</v>
      </c>
      <c r="U51" s="1"/>
      <c r="V51" s="5">
        <f t="shared" si="33"/>
        <v>0.29103871491742622</v>
      </c>
      <c r="W51" s="1"/>
      <c r="X51" s="1">
        <f t="shared" si="34"/>
        <v>1.1100000000001273</v>
      </c>
      <c r="Y51" s="1"/>
      <c r="Z51" s="5">
        <f t="shared" si="35"/>
        <v>3.4418604651166736E-4</v>
      </c>
    </row>
    <row r="52" spans="1:26" s="24" customFormat="1" hidden="1" outlineLevel="2" x14ac:dyDescent="0.25">
      <c r="A52" s="29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1075.3699999999999</v>
      </c>
      <c r="E52" s="2"/>
      <c r="F52" s="7">
        <f t="shared" si="28"/>
        <v>0.61014939261377499</v>
      </c>
      <c r="G52" s="2"/>
      <c r="H52" s="6">
        <v>1075</v>
      </c>
      <c r="I52" s="2"/>
      <c r="J52" s="7">
        <f t="shared" si="29"/>
        <v>0.11169991687448047</v>
      </c>
      <c r="K52" s="2"/>
      <c r="L52" s="6">
        <f t="shared" si="30"/>
        <v>0.36999999999989086</v>
      </c>
      <c r="M52" s="2"/>
      <c r="N52" s="7">
        <f t="shared" si="31"/>
        <v>3.4418604651152636E-4</v>
      </c>
      <c r="O52" s="11"/>
      <c r="P52" s="6">
        <v>3226.11</v>
      </c>
      <c r="Q52" s="2"/>
      <c r="R52" s="7">
        <f t="shared" si="32"/>
        <v>1.3027050600249548</v>
      </c>
      <c r="S52" s="2"/>
      <c r="T52" s="6">
        <v>3225</v>
      </c>
      <c r="U52" s="2"/>
      <c r="V52" s="7">
        <f t="shared" si="33"/>
        <v>0.29103871491742622</v>
      </c>
      <c r="W52" s="2"/>
      <c r="X52" s="6">
        <f t="shared" si="34"/>
        <v>1.1100000000001273</v>
      </c>
      <c r="Y52" s="2"/>
      <c r="Z52" s="7">
        <f t="shared" si="35"/>
        <v>3.4418604651166736E-4</v>
      </c>
    </row>
    <row r="53" spans="1:26" s="28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SUM(OSRRefD22_6x_0)</f>
        <v>0</v>
      </c>
      <c r="E53" s="1"/>
      <c r="F53" s="5">
        <f t="shared" si="28"/>
        <v>0</v>
      </c>
      <c r="G53" s="1"/>
      <c r="H53" s="1">
        <f>SUM(OSRRefH22_6x_0)</f>
        <v>0</v>
      </c>
      <c r="I53" s="1"/>
      <c r="J53" s="5">
        <f t="shared" si="29"/>
        <v>0</v>
      </c>
      <c r="K53" s="1"/>
      <c r="L53" s="1">
        <f t="shared" si="30"/>
        <v>0</v>
      </c>
      <c r="M53" s="1"/>
      <c r="N53" s="5">
        <f t="shared" si="31"/>
        <v>0</v>
      </c>
      <c r="O53" s="14"/>
      <c r="P53" s="1">
        <f>SUM(OSRRefP22_6x_0)</f>
        <v>754.55</v>
      </c>
      <c r="Q53" s="1"/>
      <c r="R53" s="5">
        <f t="shared" si="32"/>
        <v>0.3046877208284372</v>
      </c>
      <c r="S53" s="1"/>
      <c r="T53" s="1">
        <f>SUM(OSRRefT22_6x_0)</f>
        <v>1000</v>
      </c>
      <c r="U53" s="1"/>
      <c r="V53" s="5">
        <f t="shared" si="33"/>
        <v>9.0244562765093406E-2</v>
      </c>
      <c r="W53" s="1"/>
      <c r="X53" s="1">
        <f t="shared" si="34"/>
        <v>-245.45000000000005</v>
      </c>
      <c r="Y53" s="1"/>
      <c r="Z53" s="5">
        <f t="shared" si="35"/>
        <v>-0.24545000000000006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28"/>
        <v>0</v>
      </c>
      <c r="G54" s="2"/>
      <c r="H54" s="6"/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>
        <v>754.55</v>
      </c>
      <c r="Q54" s="2"/>
      <c r="R54" s="7">
        <f t="shared" si="32"/>
        <v>0.3046877208284372</v>
      </c>
      <c r="S54" s="2"/>
      <c r="T54" s="6">
        <v>1000</v>
      </c>
      <c r="U54" s="2"/>
      <c r="V54" s="7">
        <f t="shared" si="33"/>
        <v>9.0244562765093406E-2</v>
      </c>
      <c r="W54" s="2"/>
      <c r="X54" s="6">
        <f t="shared" si="34"/>
        <v>-245.45000000000005</v>
      </c>
      <c r="Y54" s="2"/>
      <c r="Z54" s="7">
        <f t="shared" si="35"/>
        <v>-0.24545000000000006</v>
      </c>
    </row>
    <row r="55" spans="1:26" s="28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SUM(OSRRefD22_7x_0)</f>
        <v>275.79000000000002</v>
      </c>
      <c r="E55" s="1"/>
      <c r="F55" s="5">
        <f t="shared" si="28"/>
        <v>0.15647925922143358</v>
      </c>
      <c r="G55" s="1"/>
      <c r="H55" s="1">
        <f>SUM(OSRRefH22_7x_0)</f>
        <v>250</v>
      </c>
      <c r="I55" s="1"/>
      <c r="J55" s="5">
        <f t="shared" si="29"/>
        <v>2.5976724854530342E-2</v>
      </c>
      <c r="K55" s="1"/>
      <c r="L55" s="1">
        <f t="shared" si="30"/>
        <v>25.79000000000002</v>
      </c>
      <c r="M55" s="1"/>
      <c r="N55" s="5">
        <f t="shared" si="31"/>
        <v>0.10316000000000008</v>
      </c>
      <c r="O55" s="14"/>
      <c r="P55" s="1">
        <f>SUM(OSRRefP22_7x_0)</f>
        <v>444.39</v>
      </c>
      <c r="Q55" s="1"/>
      <c r="R55" s="5">
        <f t="shared" si="32"/>
        <v>0.17944493573513912</v>
      </c>
      <c r="S55" s="1"/>
      <c r="T55" s="1">
        <f>SUM(OSRRefT22_7x_0)</f>
        <v>500</v>
      </c>
      <c r="U55" s="1"/>
      <c r="V55" s="5">
        <f t="shared" si="33"/>
        <v>4.5122281382546703E-2</v>
      </c>
      <c r="W55" s="1"/>
      <c r="X55" s="1">
        <f t="shared" si="34"/>
        <v>-55.610000000000014</v>
      </c>
      <c r="Y55" s="1"/>
      <c r="Z55" s="5">
        <f t="shared" si="35"/>
        <v>-0.11122000000000003</v>
      </c>
    </row>
    <row r="56" spans="1:26" s="24" customFormat="1" hidden="1" outlineLevel="2" x14ac:dyDescent="0.25">
      <c r="A56" s="29"/>
      <c r="B56" s="11" t="str">
        <f>CONCATENATE("          ", "6373", " - ", "MAINTENANCE CONTRACTS")</f>
        <v xml:space="preserve">          6373 - MAINTENANCE CONTRACTS</v>
      </c>
      <c r="C56" s="11"/>
      <c r="D56" s="6">
        <v>48.23</v>
      </c>
      <c r="E56" s="2"/>
      <c r="F56" s="7">
        <f t="shared" si="28"/>
        <v>2.736500479440785E-2</v>
      </c>
      <c r="G56" s="2"/>
      <c r="H56" s="6"/>
      <c r="I56" s="2"/>
      <c r="J56" s="7">
        <f t="shared" si="29"/>
        <v>0</v>
      </c>
      <c r="K56" s="2"/>
      <c r="L56" s="6">
        <f t="shared" si="30"/>
        <v>48.23</v>
      </c>
      <c r="M56" s="2"/>
      <c r="N56" s="7">
        <f t="shared" si="31"/>
        <v>0</v>
      </c>
      <c r="O56" s="11"/>
      <c r="P56" s="6">
        <v>126.83</v>
      </c>
      <c r="Q56" s="2"/>
      <c r="R56" s="7">
        <f t="shared" si="32"/>
        <v>5.1214026416633349E-2</v>
      </c>
      <c r="S56" s="2"/>
      <c r="T56" s="6"/>
      <c r="U56" s="2"/>
      <c r="V56" s="7">
        <f t="shared" si="33"/>
        <v>0</v>
      </c>
      <c r="W56" s="2"/>
      <c r="X56" s="6">
        <f t="shared" si="34"/>
        <v>126.83</v>
      </c>
      <c r="Y56" s="2"/>
      <c r="Z56" s="7">
        <f t="shared" si="35"/>
        <v>0</v>
      </c>
    </row>
    <row r="57" spans="1:26" s="24" customFormat="1" hidden="1" outlineLevel="2" x14ac:dyDescent="0.25">
      <c r="A57" s="29"/>
      <c r="B57" s="11" t="str">
        <f>CONCATENATE("          ", "6375", " - ", "OUTSIDE REPAIRS &amp; MAINTENANCE")</f>
        <v xml:space="preserve">          6375 - OUTSIDE REPAIRS &amp; MAINTENANCE</v>
      </c>
      <c r="C57" s="11"/>
      <c r="D57" s="6">
        <v>227.56</v>
      </c>
      <c r="E57" s="2"/>
      <c r="F57" s="7">
        <f t="shared" si="28"/>
        <v>0.12911425442702573</v>
      </c>
      <c r="G57" s="2"/>
      <c r="H57" s="6">
        <v>250</v>
      </c>
      <c r="I57" s="2"/>
      <c r="J57" s="7">
        <f t="shared" si="29"/>
        <v>2.5976724854530342E-2</v>
      </c>
      <c r="K57" s="2"/>
      <c r="L57" s="6">
        <f t="shared" si="30"/>
        <v>-22.439999999999998</v>
      </c>
      <c r="M57" s="2"/>
      <c r="N57" s="7">
        <f t="shared" si="31"/>
        <v>-8.9759999999999993E-2</v>
      </c>
      <c r="O57" s="11"/>
      <c r="P57" s="6">
        <v>317.56</v>
      </c>
      <c r="Q57" s="2"/>
      <c r="R57" s="7">
        <f t="shared" si="32"/>
        <v>0.12823090931850575</v>
      </c>
      <c r="S57" s="2"/>
      <c r="T57" s="6">
        <v>500</v>
      </c>
      <c r="U57" s="2"/>
      <c r="V57" s="7">
        <f t="shared" si="33"/>
        <v>4.5122281382546703E-2</v>
      </c>
      <c r="W57" s="2"/>
      <c r="X57" s="6">
        <f t="shared" si="34"/>
        <v>-182.44</v>
      </c>
      <c r="Y57" s="2"/>
      <c r="Z57" s="7">
        <f t="shared" si="35"/>
        <v>-0.36487999999999998</v>
      </c>
    </row>
    <row r="58" spans="1:26" s="28" customFormat="1" outlineLevel="1" collapsed="1" x14ac:dyDescent="0.25">
      <c r="A58" s="27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1">
        <f>SUM(OSRRefD22_8x_0)</f>
        <v>0</v>
      </c>
      <c r="E58" s="1"/>
      <c r="F58" s="5">
        <f t="shared" ref="F58:F62" si="36">IF(D$12=0,0,D58/D$12)</f>
        <v>0</v>
      </c>
      <c r="G58" s="1"/>
      <c r="H58" s="1">
        <f>SUM(OSRRefH22_8x_0)</f>
        <v>857</v>
      </c>
      <c r="I58" s="1"/>
      <c r="J58" s="5">
        <f t="shared" ref="J58:J62" si="37">IF(H$12=0,0,H58/H$12)</f>
        <v>8.9048212801330004E-2</v>
      </c>
      <c r="K58" s="1"/>
      <c r="L58" s="1">
        <f t="shared" ref="L58:L62" si="38">+D58-H58</f>
        <v>-857</v>
      </c>
      <c r="M58" s="1"/>
      <c r="N58" s="5">
        <f t="shared" ref="N58:N62" si="39">IF(H58=0,0,L58/H58)</f>
        <v>-1</v>
      </c>
      <c r="O58" s="14"/>
      <c r="P58" s="1">
        <f>SUM(OSRRefP22_8x_0)</f>
        <v>0</v>
      </c>
      <c r="Q58" s="1"/>
      <c r="R58" s="5">
        <f t="shared" ref="R58:R62" si="40">IF(P$12=0,0,P58/P$12)</f>
        <v>0</v>
      </c>
      <c r="S58" s="1"/>
      <c r="T58" s="1">
        <f>SUM(OSRRefT22_8x_0)</f>
        <v>987</v>
      </c>
      <c r="U58" s="1"/>
      <c r="V58" s="5">
        <f t="shared" ref="V58:V62" si="41">IF(T$12=0,0,T58/T$12)</f>
        <v>8.9071383449147196E-2</v>
      </c>
      <c r="W58" s="1"/>
      <c r="X58" s="1">
        <f t="shared" ref="X58:X62" si="42">+P58-T58</f>
        <v>-987</v>
      </c>
      <c r="Y58" s="1"/>
      <c r="Z58" s="5">
        <f t="shared" ref="Z58:Z62" si="43">IF(T58=0,0,X58/T58)</f>
        <v>-1</v>
      </c>
    </row>
    <row r="59" spans="1:26" s="24" customFormat="1" hidden="1" outlineLevel="2" x14ac:dyDescent="0.25">
      <c r="A59" s="29"/>
      <c r="B59" s="11" t="str">
        <f>CONCATENATE("          ", "6259", " - ", "ROYALTY &amp; COMMISSIONS")</f>
        <v xml:space="preserve">          6259 - ROYALTY &amp; COMMISSIONS</v>
      </c>
      <c r="C59" s="11"/>
      <c r="D59" s="6"/>
      <c r="E59" s="2"/>
      <c r="F59" s="7">
        <f t="shared" si="36"/>
        <v>0</v>
      </c>
      <c r="G59" s="2"/>
      <c r="H59" s="6">
        <v>857</v>
      </c>
      <c r="I59" s="2"/>
      <c r="J59" s="7">
        <f t="shared" si="37"/>
        <v>8.9048212801330004E-2</v>
      </c>
      <c r="K59" s="2"/>
      <c r="L59" s="6">
        <f t="shared" si="38"/>
        <v>-857</v>
      </c>
      <c r="M59" s="2"/>
      <c r="N59" s="7">
        <f t="shared" si="39"/>
        <v>-1</v>
      </c>
      <c r="O59" s="11"/>
      <c r="P59" s="6"/>
      <c r="Q59" s="2"/>
      <c r="R59" s="7">
        <f t="shared" si="40"/>
        <v>0</v>
      </c>
      <c r="S59" s="2"/>
      <c r="T59" s="6">
        <v>987</v>
      </c>
      <c r="U59" s="2"/>
      <c r="V59" s="7">
        <f t="shared" si="41"/>
        <v>8.9071383449147196E-2</v>
      </c>
      <c r="W59" s="2"/>
      <c r="X59" s="6">
        <f t="shared" si="42"/>
        <v>-987</v>
      </c>
      <c r="Y59" s="2"/>
      <c r="Z59" s="7">
        <f t="shared" si="43"/>
        <v>-1</v>
      </c>
    </row>
    <row r="60" spans="1:26" s="28" customFormat="1" outlineLevel="1" collapsed="1" x14ac:dyDescent="0.25">
      <c r="A60" s="27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SUM(OSRRefD22_9x_0)</f>
        <v>41</v>
      </c>
      <c r="E60" s="1"/>
      <c r="F60" s="5">
        <f t="shared" si="36"/>
        <v>2.3262807310195352E-2</v>
      </c>
      <c r="G60" s="1"/>
      <c r="H60" s="1">
        <f>SUM(OSRRefH22_9x_0)</f>
        <v>287</v>
      </c>
      <c r="I60" s="1"/>
      <c r="J60" s="5">
        <f t="shared" si="37"/>
        <v>2.9821280133000831E-2</v>
      </c>
      <c r="K60" s="1"/>
      <c r="L60" s="1">
        <f t="shared" si="38"/>
        <v>-246</v>
      </c>
      <c r="M60" s="1"/>
      <c r="N60" s="5">
        <f t="shared" si="39"/>
        <v>-0.8571428571428571</v>
      </c>
      <c r="O60" s="14"/>
      <c r="P60" s="1">
        <f>SUM(OSRRefP22_9x_0)</f>
        <v>-104.32</v>
      </c>
      <c r="Q60" s="1"/>
      <c r="R60" s="5">
        <f t="shared" si="40"/>
        <v>-4.2124475564008439E-2</v>
      </c>
      <c r="S60" s="1"/>
      <c r="T60" s="1">
        <f>SUM(OSRRefT22_9x_0)</f>
        <v>574</v>
      </c>
      <c r="U60" s="1"/>
      <c r="V60" s="5">
        <f t="shared" si="41"/>
        <v>5.1800379027163612E-2</v>
      </c>
      <c r="W60" s="1"/>
      <c r="X60" s="1">
        <f t="shared" si="42"/>
        <v>-678.31999999999994</v>
      </c>
      <c r="Y60" s="1"/>
      <c r="Z60" s="5">
        <f t="shared" si="43"/>
        <v>-1.1817421602787455</v>
      </c>
    </row>
    <row r="61" spans="1:26" s="24" customFormat="1" hidden="1" outlineLevel="2" x14ac:dyDescent="0.25">
      <c r="A61" s="29"/>
      <c r="B61" s="11" t="str">
        <f>CONCATENATE("          ", "6282", " - ", "JANITORIAL/EXTERMINATOR EXPENS")</f>
        <v xml:space="preserve">          6282 - JANITORIAL/EXTERMINATOR EXPENS</v>
      </c>
      <c r="C61" s="11"/>
      <c r="D61" s="6">
        <v>41</v>
      </c>
      <c r="E61" s="2"/>
      <c r="F61" s="7">
        <f t="shared" si="36"/>
        <v>2.3262807310195352E-2</v>
      </c>
      <c r="G61" s="2"/>
      <c r="H61" s="6"/>
      <c r="I61" s="2"/>
      <c r="J61" s="7">
        <f t="shared" si="37"/>
        <v>0</v>
      </c>
      <c r="K61" s="2"/>
      <c r="L61" s="6">
        <f t="shared" si="38"/>
        <v>41</v>
      </c>
      <c r="M61" s="2"/>
      <c r="N61" s="7">
        <f t="shared" si="39"/>
        <v>0</v>
      </c>
      <c r="O61" s="11"/>
      <c r="P61" s="6">
        <v>41</v>
      </c>
      <c r="Q61" s="2"/>
      <c r="R61" s="7">
        <f t="shared" si="40"/>
        <v>1.6555823409934299E-2</v>
      </c>
      <c r="S61" s="2"/>
      <c r="T61" s="6"/>
      <c r="U61" s="2"/>
      <c r="V61" s="7">
        <f t="shared" si="41"/>
        <v>0</v>
      </c>
      <c r="W61" s="2"/>
      <c r="X61" s="6">
        <f t="shared" si="42"/>
        <v>41</v>
      </c>
      <c r="Y61" s="2"/>
      <c r="Z61" s="7">
        <f t="shared" si="43"/>
        <v>0</v>
      </c>
    </row>
    <row r="62" spans="1:26" s="24" customFormat="1" hidden="1" outlineLevel="2" x14ac:dyDescent="0.25">
      <c r="A62" s="29"/>
      <c r="B62" s="11" t="str">
        <f>CONCATENATE("          ", "6285", " - ", "JANITORIAL SERVICES")</f>
        <v xml:space="preserve">          6285 - JANITORIAL SERVICES</v>
      </c>
      <c r="C62" s="11"/>
      <c r="D62" s="6"/>
      <c r="E62" s="2"/>
      <c r="F62" s="7">
        <f t="shared" si="36"/>
        <v>0</v>
      </c>
      <c r="G62" s="2"/>
      <c r="H62" s="6">
        <v>287</v>
      </c>
      <c r="I62" s="2"/>
      <c r="J62" s="7">
        <f t="shared" si="37"/>
        <v>2.9821280133000831E-2</v>
      </c>
      <c r="K62" s="2"/>
      <c r="L62" s="6">
        <f t="shared" si="38"/>
        <v>-287</v>
      </c>
      <c r="M62" s="2"/>
      <c r="N62" s="7">
        <f t="shared" si="39"/>
        <v>-1</v>
      </c>
      <c r="O62" s="11"/>
      <c r="P62" s="6">
        <v>-145.32</v>
      </c>
      <c r="Q62" s="2"/>
      <c r="R62" s="7">
        <f t="shared" si="40"/>
        <v>-5.8680298973942738E-2</v>
      </c>
      <c r="S62" s="2"/>
      <c r="T62" s="6">
        <v>574</v>
      </c>
      <c r="U62" s="2"/>
      <c r="V62" s="7">
        <f t="shared" si="41"/>
        <v>5.1800379027163612E-2</v>
      </c>
      <c r="W62" s="2"/>
      <c r="X62" s="6">
        <f t="shared" si="42"/>
        <v>-719.31999999999994</v>
      </c>
      <c r="Y62" s="2"/>
      <c r="Z62" s="7">
        <f t="shared" si="43"/>
        <v>-1.2531707317073169</v>
      </c>
    </row>
    <row r="63" spans="1:26" s="28" customFormat="1" outlineLevel="1" collapsed="1" x14ac:dyDescent="0.25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SUM(OSRRefD22_10x_0)</f>
        <v>0</v>
      </c>
      <c r="E63" s="1"/>
      <c r="F63" s="5">
        <f t="shared" ref="F63:F66" si="44">IF(D$12=0,0,D63/D$12)</f>
        <v>0</v>
      </c>
      <c r="G63" s="1"/>
      <c r="H63" s="1">
        <f>SUM(OSRRefH22_10x_0)</f>
        <v>467</v>
      </c>
      <c r="I63" s="1"/>
      <c r="J63" s="5">
        <f t="shared" ref="J63:J66" si="45">IF(H$12=0,0,H63/H$12)</f>
        <v>4.8524522028262677E-2</v>
      </c>
      <c r="K63" s="1"/>
      <c r="L63" s="1">
        <f t="shared" ref="L63:L66" si="46">+D63-H63</f>
        <v>-467</v>
      </c>
      <c r="M63" s="1"/>
      <c r="N63" s="5">
        <f t="shared" ref="N63:N66" si="47">IF(H63=0,0,L63/H63)</f>
        <v>-1</v>
      </c>
      <c r="O63" s="14"/>
      <c r="P63" s="1">
        <f>SUM(OSRRefP22_10x_0)</f>
        <v>287.55</v>
      </c>
      <c r="Q63" s="1"/>
      <c r="R63" s="5">
        <f t="shared" ref="R63:R66" si="48">IF(P$12=0,0,P63/P$12)</f>
        <v>0.11611285418357581</v>
      </c>
      <c r="S63" s="1"/>
      <c r="T63" s="1">
        <f>SUM(OSRRefT22_10x_0)</f>
        <v>1034</v>
      </c>
      <c r="U63" s="1"/>
      <c r="V63" s="5">
        <f t="shared" ref="V63:V66" si="49">IF(T$12=0,0,T63/T$12)</f>
        <v>9.3312877899106583E-2</v>
      </c>
      <c r="W63" s="1"/>
      <c r="X63" s="1">
        <f t="shared" ref="X63:X66" si="50">+P63-T63</f>
        <v>-746.45</v>
      </c>
      <c r="Y63" s="1"/>
      <c r="Z63" s="5">
        <f t="shared" ref="Z63:Z66" si="51">IF(T63=0,0,X63/T63)</f>
        <v>-0.72190522243713739</v>
      </c>
    </row>
    <row r="64" spans="1:26" s="24" customFormat="1" hidden="1" outlineLevel="2" x14ac:dyDescent="0.25">
      <c r="A64" s="29"/>
      <c r="B64" s="11" t="str">
        <f>CONCATENATE("          ", "6235", " - ", "COVID-19 EXPENSES")</f>
        <v xml:space="preserve">          6235 - COVID-19 EXPENSES</v>
      </c>
      <c r="C64" s="11"/>
      <c r="D64" s="6"/>
      <c r="E64" s="2"/>
      <c r="F64" s="7">
        <f t="shared" si="44"/>
        <v>0</v>
      </c>
      <c r="G64" s="2"/>
      <c r="H64" s="6">
        <v>200</v>
      </c>
      <c r="I64" s="2"/>
      <c r="J64" s="7">
        <f t="shared" si="45"/>
        <v>2.0781379883624274E-2</v>
      </c>
      <c r="K64" s="2"/>
      <c r="L64" s="6">
        <f t="shared" si="46"/>
        <v>-200</v>
      </c>
      <c r="M64" s="2"/>
      <c r="N64" s="7">
        <f t="shared" si="47"/>
        <v>-1</v>
      </c>
      <c r="O64" s="11"/>
      <c r="P64" s="6">
        <v>207.27</v>
      </c>
      <c r="Q64" s="2"/>
      <c r="R64" s="7">
        <f t="shared" si="48"/>
        <v>8.3695744345782502E-2</v>
      </c>
      <c r="S64" s="2"/>
      <c r="T64" s="6">
        <v>400</v>
      </c>
      <c r="U64" s="2"/>
      <c r="V64" s="7">
        <f t="shared" si="49"/>
        <v>3.6097825106037359E-2</v>
      </c>
      <c r="W64" s="2"/>
      <c r="X64" s="6">
        <f t="shared" si="50"/>
        <v>-192.73</v>
      </c>
      <c r="Y64" s="2"/>
      <c r="Z64" s="7">
        <f t="shared" si="51"/>
        <v>-0.48182499999999995</v>
      </c>
    </row>
    <row r="65" spans="1:26" s="24" customFormat="1" hidden="1" outlineLevel="2" x14ac:dyDescent="0.25">
      <c r="A65" s="29"/>
      <c r="B65" s="11" t="str">
        <f>CONCATENATE("          ", "6247", " - ", "STORE SUPPLIES")</f>
        <v xml:space="preserve">          6247 - STORE SUPPLIES</v>
      </c>
      <c r="C65" s="11"/>
      <c r="D65" s="6"/>
      <c r="E65" s="2"/>
      <c r="F65" s="7">
        <f t="shared" si="44"/>
        <v>0</v>
      </c>
      <c r="G65" s="2"/>
      <c r="H65" s="6">
        <v>267</v>
      </c>
      <c r="I65" s="2"/>
      <c r="J65" s="7">
        <f t="shared" si="45"/>
        <v>2.7743142144638404E-2</v>
      </c>
      <c r="K65" s="2"/>
      <c r="L65" s="6">
        <f t="shared" si="46"/>
        <v>-267</v>
      </c>
      <c r="M65" s="2"/>
      <c r="N65" s="7">
        <f t="shared" si="47"/>
        <v>-1</v>
      </c>
      <c r="O65" s="11"/>
      <c r="P65" s="6">
        <v>80.28</v>
      </c>
      <c r="Q65" s="2"/>
      <c r="R65" s="7">
        <f t="shared" si="48"/>
        <v>3.2417109837793306E-2</v>
      </c>
      <c r="S65" s="2"/>
      <c r="T65" s="6">
        <v>534</v>
      </c>
      <c r="U65" s="2"/>
      <c r="V65" s="7">
        <f t="shared" si="49"/>
        <v>4.819059651655988E-2</v>
      </c>
      <c r="W65" s="2"/>
      <c r="X65" s="6">
        <f t="shared" si="50"/>
        <v>-453.72</v>
      </c>
      <c r="Y65" s="2"/>
      <c r="Z65" s="7">
        <f t="shared" si="51"/>
        <v>-0.84966292134831467</v>
      </c>
    </row>
    <row r="66" spans="1:26" s="24" customFormat="1" hidden="1" outlineLevel="2" x14ac:dyDescent="0.25">
      <c r="A66" s="29"/>
      <c r="B66" s="11" t="str">
        <f>CONCATENATE("          ", "6248", " - ", "UNIFORMS")</f>
        <v xml:space="preserve">          6248 - UNIFORMS</v>
      </c>
      <c r="C66" s="11"/>
      <c r="D66" s="6"/>
      <c r="E66" s="2"/>
      <c r="F66" s="7">
        <f t="shared" si="44"/>
        <v>0</v>
      </c>
      <c r="G66" s="2"/>
      <c r="H66" s="6"/>
      <c r="I66" s="2"/>
      <c r="J66" s="7">
        <f t="shared" si="45"/>
        <v>0</v>
      </c>
      <c r="K66" s="2"/>
      <c r="L66" s="6">
        <f t="shared" si="46"/>
        <v>0</v>
      </c>
      <c r="M66" s="2"/>
      <c r="N66" s="7">
        <f t="shared" si="47"/>
        <v>0</v>
      </c>
      <c r="O66" s="11"/>
      <c r="P66" s="6"/>
      <c r="Q66" s="2"/>
      <c r="R66" s="7">
        <f t="shared" si="48"/>
        <v>0</v>
      </c>
      <c r="S66" s="2"/>
      <c r="T66" s="6">
        <v>100</v>
      </c>
      <c r="U66" s="2"/>
      <c r="V66" s="7">
        <f t="shared" si="49"/>
        <v>9.0244562765093399E-3</v>
      </c>
      <c r="W66" s="2"/>
      <c r="X66" s="6">
        <f t="shared" si="50"/>
        <v>-100</v>
      </c>
      <c r="Y66" s="2"/>
      <c r="Z66" s="7">
        <f t="shared" si="51"/>
        <v>-1</v>
      </c>
    </row>
    <row r="67" spans="1:26" s="28" customFormat="1" outlineLevel="1" collapsed="1" x14ac:dyDescent="0.25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SUM(OSRRefD22_11x_0)</f>
        <v>125</v>
      </c>
      <c r="E67" s="1"/>
      <c r="F67" s="5">
        <f t="shared" ref="F67:F69" si="52">IF(D$12=0,0,D67/D$12)</f>
        <v>7.0923193018888275E-2</v>
      </c>
      <c r="G67" s="1"/>
      <c r="H67" s="1">
        <f>SUM(OSRRefH22_11x_0)</f>
        <v>75</v>
      </c>
      <c r="I67" s="1"/>
      <c r="J67" s="5">
        <f t="shared" ref="J67:J69" si="53">IF(H$12=0,0,H67/H$12)</f>
        <v>7.7930174563591026E-3</v>
      </c>
      <c r="K67" s="1"/>
      <c r="L67" s="1">
        <f t="shared" ref="L67:L69" si="54">+D67-H67</f>
        <v>50</v>
      </c>
      <c r="M67" s="1"/>
      <c r="N67" s="5">
        <f t="shared" ref="N67:N69" si="55">IF(H67=0,0,L67/H67)</f>
        <v>0.66666666666666663</v>
      </c>
      <c r="O67" s="14"/>
      <c r="P67" s="1">
        <f>SUM(OSRRefP22_11x_0)</f>
        <v>328</v>
      </c>
      <c r="Q67" s="1"/>
      <c r="R67" s="5">
        <f t="shared" ref="R67:R69" si="56">IF(P$12=0,0,P67/P$12)</f>
        <v>0.13244658727947439</v>
      </c>
      <c r="S67" s="1"/>
      <c r="T67" s="1">
        <f>SUM(OSRRefT22_11x_0)</f>
        <v>225</v>
      </c>
      <c r="U67" s="1"/>
      <c r="V67" s="5">
        <f t="shared" ref="V67:V69" si="57">IF(T$12=0,0,T67/T$12)</f>
        <v>2.0305026622146016E-2</v>
      </c>
      <c r="W67" s="1"/>
      <c r="X67" s="1">
        <f t="shared" ref="X67:X69" si="58">+P67-T67</f>
        <v>103</v>
      </c>
      <c r="Y67" s="1"/>
      <c r="Z67" s="5">
        <f t="shared" ref="Z67:Z69" si="59">IF(T67=0,0,X67/T67)</f>
        <v>0.45777777777777778</v>
      </c>
    </row>
    <row r="68" spans="1:26" s="24" customFormat="1" hidden="1" outlineLevel="2" x14ac:dyDescent="0.25">
      <c r="A68" s="29"/>
      <c r="B68" s="11" t="str">
        <f>CONCATENATE("          ", "6303", " - ", "DATA PHONE LINES")</f>
        <v xml:space="preserve">          6303 - DATA PHONE LINES</v>
      </c>
      <c r="C68" s="11"/>
      <c r="D68" s="6"/>
      <c r="E68" s="2"/>
      <c r="F68" s="7">
        <f t="shared" si="52"/>
        <v>0</v>
      </c>
      <c r="G68" s="2"/>
      <c r="H68" s="6">
        <v>75</v>
      </c>
      <c r="I68" s="2"/>
      <c r="J68" s="7">
        <f t="shared" si="53"/>
        <v>7.7930174563591026E-3</v>
      </c>
      <c r="K68" s="2"/>
      <c r="L68" s="6">
        <f t="shared" si="54"/>
        <v>-75</v>
      </c>
      <c r="M68" s="2"/>
      <c r="N68" s="7">
        <f t="shared" si="55"/>
        <v>-1</v>
      </c>
      <c r="O68" s="11"/>
      <c r="P68" s="6"/>
      <c r="Q68" s="2"/>
      <c r="R68" s="7">
        <f t="shared" si="56"/>
        <v>0</v>
      </c>
      <c r="S68" s="2"/>
      <c r="T68" s="6">
        <v>225</v>
      </c>
      <c r="U68" s="2"/>
      <c r="V68" s="7">
        <f t="shared" si="57"/>
        <v>2.0305026622146016E-2</v>
      </c>
      <c r="W68" s="2"/>
      <c r="X68" s="6">
        <f t="shared" si="58"/>
        <v>-225</v>
      </c>
      <c r="Y68" s="2"/>
      <c r="Z68" s="7">
        <f t="shared" si="59"/>
        <v>-1</v>
      </c>
    </row>
    <row r="69" spans="1:26" s="24" customFormat="1" hidden="1" outlineLevel="2" x14ac:dyDescent="0.25">
      <c r="A69" s="29"/>
      <c r="B69" s="11" t="str">
        <f>CONCATENATE("          ", "6309", " - ", "TELEPHONE")</f>
        <v xml:space="preserve">          6309 - TELEPHONE</v>
      </c>
      <c r="C69" s="11"/>
      <c r="D69" s="6">
        <v>125</v>
      </c>
      <c r="E69" s="2"/>
      <c r="F69" s="7">
        <f t="shared" si="52"/>
        <v>7.0923193018888275E-2</v>
      </c>
      <c r="G69" s="2"/>
      <c r="H69" s="6"/>
      <c r="I69" s="2"/>
      <c r="J69" s="7">
        <f t="shared" si="53"/>
        <v>0</v>
      </c>
      <c r="K69" s="2"/>
      <c r="L69" s="6">
        <f t="shared" si="54"/>
        <v>125</v>
      </c>
      <c r="M69" s="2"/>
      <c r="N69" s="7">
        <f t="shared" si="55"/>
        <v>0</v>
      </c>
      <c r="O69" s="11"/>
      <c r="P69" s="6">
        <v>328</v>
      </c>
      <c r="Q69" s="2"/>
      <c r="R69" s="7">
        <f t="shared" si="56"/>
        <v>0.13244658727947439</v>
      </c>
      <c r="S69" s="2"/>
      <c r="T69" s="6"/>
      <c r="U69" s="2"/>
      <c r="V69" s="7">
        <f t="shared" si="57"/>
        <v>0</v>
      </c>
      <c r="W69" s="2"/>
      <c r="X69" s="6">
        <f t="shared" si="58"/>
        <v>328</v>
      </c>
      <c r="Y69" s="2"/>
      <c r="Z69" s="7">
        <f t="shared" si="59"/>
        <v>0</v>
      </c>
    </row>
    <row r="70" spans="1:26" s="28" customFormat="1" outlineLevel="1" collapsed="1" x14ac:dyDescent="0.25">
      <c r="A70" s="27"/>
      <c r="B70" s="14" t="str">
        <f>CONCATENATE("     ","Training                                          ")</f>
        <v xml:space="preserve">     Training                                          </v>
      </c>
      <c r="C70" s="14"/>
      <c r="D70" s="1">
        <f>SUM(OSRRefD22_12x_0)</f>
        <v>0</v>
      </c>
      <c r="E70" s="1"/>
      <c r="F70" s="5">
        <f t="shared" ref="F70:F73" si="60">IF(D$12=0,0,D70/D$12)</f>
        <v>0</v>
      </c>
      <c r="G70" s="1"/>
      <c r="H70" s="1">
        <f>SUM(OSRRefH22_12x_0)</f>
        <v>0</v>
      </c>
      <c r="I70" s="1"/>
      <c r="J70" s="5">
        <f t="shared" ref="J70:J73" si="61">IF(H$12=0,0,H70/H$12)</f>
        <v>0</v>
      </c>
      <c r="K70" s="1"/>
      <c r="L70" s="1">
        <f t="shared" ref="L70:L73" si="62">+D70-H70</f>
        <v>0</v>
      </c>
      <c r="M70" s="1"/>
      <c r="N70" s="5">
        <f t="shared" ref="N70:N73" si="63">IF(H70=0,0,L70/H70)</f>
        <v>0</v>
      </c>
      <c r="O70" s="14"/>
      <c r="P70" s="1">
        <f>SUM(OSRRefP22_12x_0)</f>
        <v>0</v>
      </c>
      <c r="Q70" s="1"/>
      <c r="R70" s="5">
        <f t="shared" ref="R70:R73" si="64">IF(P$12=0,0,P70/P$12)</f>
        <v>0</v>
      </c>
      <c r="S70" s="1"/>
      <c r="T70" s="1">
        <f>SUM(OSRRefT22_12x_0)</f>
        <v>60</v>
      </c>
      <c r="U70" s="1"/>
      <c r="V70" s="5">
        <f t="shared" ref="V70:V73" si="65">IF(T$12=0,0,T70/T$12)</f>
        <v>5.4146737659056046E-3</v>
      </c>
      <c r="W70" s="1"/>
      <c r="X70" s="1">
        <f t="shared" ref="X70:X73" si="66">+P70-T70</f>
        <v>-60</v>
      </c>
      <c r="Y70" s="1"/>
      <c r="Z70" s="5">
        <f t="shared" ref="Z70:Z73" si="67">IF(T70=0,0,X70/T70)</f>
        <v>-1</v>
      </c>
    </row>
    <row r="71" spans="1:26" s="24" customFormat="1" hidden="1" outlineLevel="2" x14ac:dyDescent="0.25">
      <c r="A71" s="29"/>
      <c r="B71" s="11" t="str">
        <f>CONCATENATE("          ", "6376", " - ", "TRAINING")</f>
        <v xml:space="preserve">          6376 - TRAINING</v>
      </c>
      <c r="C71" s="11"/>
      <c r="D71" s="6"/>
      <c r="E71" s="2"/>
      <c r="F71" s="7">
        <f t="shared" si="60"/>
        <v>0</v>
      </c>
      <c r="G71" s="2"/>
      <c r="H71" s="6"/>
      <c r="I71" s="2"/>
      <c r="J71" s="7">
        <f t="shared" si="61"/>
        <v>0</v>
      </c>
      <c r="K71" s="2"/>
      <c r="L71" s="6">
        <f t="shared" si="62"/>
        <v>0</v>
      </c>
      <c r="M71" s="2"/>
      <c r="N71" s="7">
        <f t="shared" si="63"/>
        <v>0</v>
      </c>
      <c r="O71" s="11"/>
      <c r="P71" s="6"/>
      <c r="Q71" s="2"/>
      <c r="R71" s="7">
        <f t="shared" si="64"/>
        <v>0</v>
      </c>
      <c r="S71" s="2"/>
      <c r="T71" s="6">
        <v>60</v>
      </c>
      <c r="U71" s="2"/>
      <c r="V71" s="7">
        <f t="shared" si="65"/>
        <v>5.4146737659056046E-3</v>
      </c>
      <c r="W71" s="2"/>
      <c r="X71" s="6">
        <f t="shared" si="66"/>
        <v>-60</v>
      </c>
      <c r="Y71" s="2"/>
      <c r="Z71" s="7">
        <f t="shared" si="67"/>
        <v>-1</v>
      </c>
    </row>
    <row r="72" spans="1:26" s="28" customFormat="1" outlineLevel="1" collapsed="1" x14ac:dyDescent="0.25">
      <c r="A72" s="27"/>
      <c r="B72" s="14" t="str">
        <f>CONCATENATE("     ","Utilities                                         ")</f>
        <v xml:space="preserve">     Utilities                                         </v>
      </c>
      <c r="C72" s="14"/>
      <c r="D72" s="1">
        <f>SUM(OSRRefD22_13x_0)</f>
        <v>50</v>
      </c>
      <c r="E72" s="1"/>
      <c r="F72" s="5">
        <f t="shared" si="60"/>
        <v>2.8369277207555308E-2</v>
      </c>
      <c r="G72" s="1"/>
      <c r="H72" s="1">
        <f>SUM(OSRRefH22_13x_0)</f>
        <v>50</v>
      </c>
      <c r="I72" s="1"/>
      <c r="J72" s="5">
        <f t="shared" si="61"/>
        <v>5.1953449709060684E-3</v>
      </c>
      <c r="K72" s="1"/>
      <c r="L72" s="1">
        <f t="shared" si="62"/>
        <v>0</v>
      </c>
      <c r="M72" s="1"/>
      <c r="N72" s="5">
        <f t="shared" si="63"/>
        <v>0</v>
      </c>
      <c r="O72" s="14"/>
      <c r="P72" s="1">
        <f>SUM(OSRRefP22_13x_0)</f>
        <v>150</v>
      </c>
      <c r="Q72" s="1"/>
      <c r="R72" s="5">
        <f t="shared" si="64"/>
        <v>6.0570085646101099E-2</v>
      </c>
      <c r="S72" s="1"/>
      <c r="T72" s="1">
        <f>SUM(OSRRefT22_13x_0)</f>
        <v>150</v>
      </c>
      <c r="U72" s="1"/>
      <c r="V72" s="5">
        <f t="shared" si="65"/>
        <v>1.353668441476401E-2</v>
      </c>
      <c r="W72" s="1"/>
      <c r="X72" s="1">
        <f t="shared" si="66"/>
        <v>0</v>
      </c>
      <c r="Y72" s="1"/>
      <c r="Z72" s="5">
        <f t="shared" si="67"/>
        <v>0</v>
      </c>
    </row>
    <row r="73" spans="1:26" s="24" customFormat="1" hidden="1" outlineLevel="2" x14ac:dyDescent="0.25">
      <c r="A73" s="29"/>
      <c r="B73" s="11" t="str">
        <f>CONCATENATE("          ", "6274", " - ", "UTILITIES")</f>
        <v xml:space="preserve">          6274 - UTILITIES</v>
      </c>
      <c r="C73" s="11"/>
      <c r="D73" s="6">
        <v>50</v>
      </c>
      <c r="E73" s="2"/>
      <c r="F73" s="7">
        <f t="shared" si="60"/>
        <v>2.8369277207555308E-2</v>
      </c>
      <c r="G73" s="2"/>
      <c r="H73" s="6">
        <v>50</v>
      </c>
      <c r="I73" s="2"/>
      <c r="J73" s="7">
        <f t="shared" si="61"/>
        <v>5.1953449709060684E-3</v>
      </c>
      <c r="K73" s="2"/>
      <c r="L73" s="6">
        <f t="shared" si="62"/>
        <v>0</v>
      </c>
      <c r="M73" s="2"/>
      <c r="N73" s="7">
        <f t="shared" si="63"/>
        <v>0</v>
      </c>
      <c r="O73" s="11"/>
      <c r="P73" s="6">
        <v>150</v>
      </c>
      <c r="Q73" s="2"/>
      <c r="R73" s="7">
        <f t="shared" si="64"/>
        <v>6.0570085646101099E-2</v>
      </c>
      <c r="S73" s="2"/>
      <c r="T73" s="6">
        <v>150</v>
      </c>
      <c r="U73" s="2"/>
      <c r="V73" s="7">
        <f t="shared" si="65"/>
        <v>1.353668441476401E-2</v>
      </c>
      <c r="W73" s="2"/>
      <c r="X73" s="6">
        <f t="shared" si="66"/>
        <v>0</v>
      </c>
      <c r="Y73" s="2"/>
      <c r="Z73" s="7">
        <f t="shared" si="67"/>
        <v>0</v>
      </c>
    </row>
    <row r="74" spans="1:26" s="61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5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6" t="s">
        <v>3</v>
      </c>
      <c r="C77" s="26"/>
      <c r="D77" s="20">
        <f>+D21-D23+D75</f>
        <v>-7432.2999999999993</v>
      </c>
      <c r="E77" s="13"/>
      <c r="F77" s="21">
        <f>IF(D$12=0,0,D77/D$12)</f>
        <v>-4.2169795797942662</v>
      </c>
      <c r="G77" s="13"/>
      <c r="H77" s="20">
        <f>+H21-H23+H75</f>
        <v>-4262.2757486999999</v>
      </c>
      <c r="I77" s="13"/>
      <c r="J77" s="21">
        <f>IF(H$12=0,0,H77/H$12)</f>
        <v>-0.44287985751246883</v>
      </c>
      <c r="K77" s="16"/>
      <c r="L77" s="20">
        <f>+D77-H77</f>
        <v>-3170.0242512999994</v>
      </c>
      <c r="M77" s="16"/>
      <c r="N77" s="21">
        <f>IF(H77=0,0,L77/H77)</f>
        <v>0.7437398324749076</v>
      </c>
      <c r="O77" s="25"/>
      <c r="P77" s="20">
        <f>+P21-P23+P75</f>
        <v>-20579.84</v>
      </c>
      <c r="Q77" s="13"/>
      <c r="R77" s="21">
        <f>IF(P$12=0,0,P77/P$12)</f>
        <v>-8.310151142553714</v>
      </c>
      <c r="S77" s="13"/>
      <c r="T77" s="20">
        <f>+T21-T23+T75</f>
        <v>-12447.187230800002</v>
      </c>
      <c r="U77" s="13"/>
      <c r="V77" s="21">
        <f>IF(T$12=0,0,T77/T$12)</f>
        <v>-1.1232909692988</v>
      </c>
      <c r="W77" s="16"/>
      <c r="X77" s="20">
        <f>+P77-T77</f>
        <v>-8132.6527691999981</v>
      </c>
      <c r="Y77" s="16"/>
      <c r="Z77" s="21">
        <f>IF(T77=0,0,X77/T77)</f>
        <v>0.65337273541415986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>
        <v>338.23</v>
      </c>
      <c r="E79" s="4"/>
      <c r="F79" s="12">
        <f>IF(D$12=0,0,D79/D$12)</f>
        <v>0.19190681259822864</v>
      </c>
      <c r="G79" s="4"/>
      <c r="H79" s="4">
        <v>1364</v>
      </c>
      <c r="I79" s="4"/>
      <c r="J79" s="12">
        <f>IF(H$12=0,0,H79/H$12)</f>
        <v>0.14172901080631753</v>
      </c>
      <c r="K79" s="4"/>
      <c r="L79" s="4">
        <f>+D79-H79</f>
        <v>-1025.77</v>
      </c>
      <c r="M79" s="4"/>
      <c r="N79" s="12">
        <f>IF(H79=0,0,L79/H79)</f>
        <v>-0.75203079178885635</v>
      </c>
      <c r="O79" s="10"/>
      <c r="P79" s="4">
        <v>458.78</v>
      </c>
      <c r="Q79" s="4"/>
      <c r="R79" s="12">
        <f>IF(P$12=0,0,P79/P$12)</f>
        <v>0.18525562595145506</v>
      </c>
      <c r="S79" s="4"/>
      <c r="T79" s="4">
        <v>1602</v>
      </c>
      <c r="U79" s="4"/>
      <c r="V79" s="12">
        <f>IF(T$12=0,0,T79/T$12)</f>
        <v>0.14457178954967964</v>
      </c>
      <c r="W79" s="4"/>
      <c r="X79" s="4">
        <f>+P79-T79</f>
        <v>-1143.22</v>
      </c>
      <c r="Y79" s="4"/>
      <c r="Z79" s="12">
        <f>IF(T79=0,0,X79/T79)</f>
        <v>-0.71362047440699128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4</v>
      </c>
      <c r="C81" s="26"/>
      <c r="D81" s="33">
        <f>+D77-D79</f>
        <v>-7770.5299999999988</v>
      </c>
      <c r="E81" s="13"/>
      <c r="F81" s="34">
        <f>IF(D$12=0,0,D81/D$12)</f>
        <v>-4.4088863923924944</v>
      </c>
      <c r="G81" s="13"/>
      <c r="H81" s="33">
        <f>+H77-H79</f>
        <v>-5626.2757486999999</v>
      </c>
      <c r="I81" s="13"/>
      <c r="J81" s="34">
        <f>IF(H$12=0,0,H81/H$12)</f>
        <v>-0.58460886831878633</v>
      </c>
      <c r="K81" s="16"/>
      <c r="L81" s="33">
        <f>D81-H81</f>
        <v>-2144.2542512999989</v>
      </c>
      <c r="M81" s="16"/>
      <c r="N81" s="34">
        <f>IF(H81=0,0,L81/H81)</f>
        <v>0.38111431914716365</v>
      </c>
      <c r="O81" s="25"/>
      <c r="P81" s="33">
        <f>+P77-P79</f>
        <v>-21038.62</v>
      </c>
      <c r="Q81" s="13"/>
      <c r="R81" s="34">
        <f>IF(P$12=0,0,P81/P$12)</f>
        <v>-8.4954067685051697</v>
      </c>
      <c r="S81" s="13"/>
      <c r="T81" s="33">
        <f>+T77-T79</f>
        <v>-14049.187230800002</v>
      </c>
      <c r="U81" s="13"/>
      <c r="V81" s="34">
        <f>IF(T$12=0,0,T81/T$12)</f>
        <v>-1.2678627588484797</v>
      </c>
      <c r="W81" s="16"/>
      <c r="X81" s="33">
        <f>P81-T81</f>
        <v>-6989.432769199997</v>
      </c>
      <c r="Y81" s="16"/>
      <c r="Z81" s="34">
        <f>IF(T81=0,0,X81/T81)</f>
        <v>0.49749730389221941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5</v>
      </c>
      <c r="C84" s="26"/>
      <c r="D84" s="31">
        <f>SUM(D81:D83)</f>
        <v>-7770.5299999999988</v>
      </c>
      <c r="E84" s="13"/>
      <c r="F84" s="32">
        <f>IF(D$12=0,0,D84/D$12)</f>
        <v>-4.4088863923924944</v>
      </c>
      <c r="G84" s="13"/>
      <c r="H84" s="31">
        <f>SUM(H81:H83)</f>
        <v>-5626.2757486999999</v>
      </c>
      <c r="I84" s="13"/>
      <c r="J84" s="32">
        <f>IF(H$12=0,0,H84/H$12)</f>
        <v>-0.58460886831878633</v>
      </c>
      <c r="K84" s="16"/>
      <c r="L84" s="31">
        <f>+D84-H84</f>
        <v>-2144.2542512999989</v>
      </c>
      <c r="M84" s="16"/>
      <c r="N84" s="32">
        <f>IF(H84=0,0,L84/H84)</f>
        <v>0.38111431914716365</v>
      </c>
      <c r="O84" s="25"/>
      <c r="P84" s="31">
        <f>SUM(P81:P83)</f>
        <v>-21038.62</v>
      </c>
      <c r="Q84" s="13"/>
      <c r="R84" s="32">
        <f>IF(P$12=0,0,P84/P$12)</f>
        <v>-8.4954067685051697</v>
      </c>
      <c r="S84" s="13"/>
      <c r="T84" s="31">
        <f>SUM(T81:T83)</f>
        <v>-14049.187230800002</v>
      </c>
      <c r="U84" s="13"/>
      <c r="V84" s="32">
        <f>IF(T$12=0,0,T84/T$12)</f>
        <v>-1.2678627588484797</v>
      </c>
      <c r="W84" s="16"/>
      <c r="X84" s="31">
        <f>+P84-T84</f>
        <v>-6989.432769199997</v>
      </c>
      <c r="Y84" s="16"/>
      <c r="Z84" s="32">
        <f>IF(T84=0,0,X84/T84)</f>
        <v>0.49749730389221941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5">
        <v>44123.572111539354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3" t="s">
        <v>314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62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","322", " - ", "Beach Hut")</f>
        <v>Department 322 - Beach Hut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0</v>
      </c>
      <c r="I15" s="4"/>
      <c r="J15" s="12">
        <f t="shared" ref="J15:J17" si="5">IF(H$12=0,0,H15/H$12)</f>
        <v>0</v>
      </c>
      <c r="K15" s="4"/>
      <c r="L15" s="4">
        <f t="shared" ref="L15:L17" si="6">+D15-H15</f>
        <v>0</v>
      </c>
      <c r="M15" s="4"/>
      <c r="N15" s="12">
        <f t="shared" ref="N15:N17" si="7">IF(H15=0,0,L15/H15)</f>
        <v>0</v>
      </c>
      <c r="O15" s="10"/>
      <c r="P15" s="4">
        <f>SUM(OSRRefP16x_0)</f>
        <v>-1222.33</v>
      </c>
      <c r="Q15" s="4"/>
      <c r="R15" s="12">
        <f t="shared" ref="R15:R17" si="8">IF(P$12=0,0,P15/P$12)</f>
        <v>0</v>
      </c>
      <c r="S15" s="4"/>
      <c r="T15" s="4">
        <f>SUM(OSRRefT16x_0)</f>
        <v>0</v>
      </c>
      <c r="U15" s="4"/>
      <c r="V15" s="12">
        <f t="shared" ref="V15:V17" si="9">IF(T$12=0,0,T15/T$12)</f>
        <v>0</v>
      </c>
      <c r="W15" s="4"/>
      <c r="X15" s="4">
        <f t="shared" ref="X15:X17" si="10">+P15-T15</f>
        <v>-1222.33</v>
      </c>
      <c r="Y15" s="4"/>
      <c r="Z15" s="12">
        <f t="shared" ref="Z15:Z17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s="24" customFormat="1" hidden="1" outlineLevel="1" x14ac:dyDescent="0.25">
      <c r="A17" s="51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22">
        <f t="shared" si="4"/>
        <v>0</v>
      </c>
      <c r="G17" s="2"/>
      <c r="H17" s="2"/>
      <c r="I17" s="2"/>
      <c r="J17" s="22">
        <f t="shared" si="5"/>
        <v>0</v>
      </c>
      <c r="K17" s="2"/>
      <c r="L17" s="2">
        <f t="shared" si="6"/>
        <v>0</v>
      </c>
      <c r="M17" s="2"/>
      <c r="N17" s="22">
        <f t="shared" si="7"/>
        <v>0</v>
      </c>
      <c r="O17" s="11"/>
      <c r="P17" s="2">
        <v>-1222.33</v>
      </c>
      <c r="Q17" s="2"/>
      <c r="R17" s="22">
        <f t="shared" si="8"/>
        <v>0</v>
      </c>
      <c r="S17" s="2"/>
      <c r="T17" s="2"/>
      <c r="U17" s="2"/>
      <c r="V17" s="22">
        <f t="shared" si="9"/>
        <v>0</v>
      </c>
      <c r="W17" s="2"/>
      <c r="X17" s="2">
        <f t="shared" si="10"/>
        <v>-1222.33</v>
      </c>
      <c r="Y17" s="2"/>
      <c r="Z17" s="22">
        <f t="shared" si="11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D12-D15</f>
        <v>0</v>
      </c>
      <c r="E19" s="13"/>
      <c r="F19" s="21">
        <f>IF(D$12=0,0,D19/D$12)</f>
        <v>0</v>
      </c>
      <c r="G19" s="13"/>
      <c r="H19" s="20">
        <f>H12-H15</f>
        <v>0</v>
      </c>
      <c r="I19" s="13"/>
      <c r="J19" s="21">
        <f>IF(H$12=0,0,H19/H$12)</f>
        <v>0</v>
      </c>
      <c r="K19" s="16"/>
      <c r="L19" s="20">
        <f>+D19-H19</f>
        <v>0</v>
      </c>
      <c r="M19" s="16"/>
      <c r="N19" s="21">
        <f>IF(H19=0,0,L19/H19)</f>
        <v>0</v>
      </c>
      <c r="O19" s="25"/>
      <c r="P19" s="20">
        <f>P12-P15</f>
        <v>1222.33</v>
      </c>
      <c r="Q19" s="13"/>
      <c r="R19" s="21">
        <f>IF(P$12=0,0,P19/P$12)</f>
        <v>0</v>
      </c>
      <c r="S19" s="13"/>
      <c r="T19" s="20">
        <f>T12-T15</f>
        <v>0</v>
      </c>
      <c r="U19" s="13"/>
      <c r="V19" s="21">
        <f>IF(T$12=0,0,T19/T$12)</f>
        <v>0</v>
      </c>
      <c r="W19" s="16"/>
      <c r="X19" s="20">
        <f>+P19-T19</f>
        <v>1222.33</v>
      </c>
      <c r="Y19" s="16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19">
        <f>SUM(OSRRefD22x_0)</f>
        <v>2179.67</v>
      </c>
      <c r="E21" s="19"/>
      <c r="F21" s="35">
        <f t="shared" ref="F21:F30" si="12">IF(D$12=0,0,D21/D$12)</f>
        <v>0</v>
      </c>
      <c r="G21" s="19"/>
      <c r="H21" s="19">
        <f>SUM(OSRRefH22x_0)</f>
        <v>2017</v>
      </c>
      <c r="I21" s="19"/>
      <c r="J21" s="35">
        <f t="shared" ref="J21:J30" si="13">IF(H$12=0,0,H21/H$12)</f>
        <v>0</v>
      </c>
      <c r="K21" s="4"/>
      <c r="L21" s="19">
        <f t="shared" ref="L21:L30" si="14">+D21-H21</f>
        <v>162.67000000000007</v>
      </c>
      <c r="M21" s="4"/>
      <c r="N21" s="35">
        <f t="shared" ref="N21:N30" si="15">IF(H21=0,0,L21/H21)</f>
        <v>8.0649479424888482E-2</v>
      </c>
      <c r="O21" s="10"/>
      <c r="P21" s="19">
        <f>SUM(OSRRefP22x_0)</f>
        <v>9028.7199999999993</v>
      </c>
      <c r="Q21" s="19"/>
      <c r="R21" s="35">
        <f t="shared" ref="R21:R30" si="16">IF(P$12=0,0,P21/P$12)</f>
        <v>0</v>
      </c>
      <c r="S21" s="19"/>
      <c r="T21" s="19">
        <f>SUM(OSRRefT22x_0)</f>
        <v>6051</v>
      </c>
      <c r="U21" s="19"/>
      <c r="V21" s="35">
        <f t="shared" ref="V21:V30" si="17">IF(T$12=0,0,T21/T$12)</f>
        <v>0</v>
      </c>
      <c r="W21" s="4"/>
      <c r="X21" s="19">
        <f t="shared" ref="X21:X30" si="18">+P21-T21</f>
        <v>2977.7199999999993</v>
      </c>
      <c r="Y21" s="4"/>
      <c r="Z21" s="35">
        <f t="shared" ref="Z21:Z30" si="19">IF(T21=0,0,X21/T21)</f>
        <v>0.4921037844984299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0</v>
      </c>
      <c r="I22" s="1"/>
      <c r="J22" s="5">
        <f t="shared" si="13"/>
        <v>0</v>
      </c>
      <c r="K22" s="1"/>
      <c r="L22" s="1">
        <f t="shared" si="14"/>
        <v>0</v>
      </c>
      <c r="M22" s="1"/>
      <c r="N22" s="5">
        <f t="shared" si="15"/>
        <v>0</v>
      </c>
      <c r="O22" s="14"/>
      <c r="P22" s="1">
        <f>SUM(OSRRefP22_0x_0)</f>
        <v>1595.9699999999998</v>
      </c>
      <c r="Q22" s="1"/>
      <c r="R22" s="5">
        <f t="shared" si="16"/>
        <v>0</v>
      </c>
      <c r="S22" s="1"/>
      <c r="T22" s="1">
        <f>SUM(OSRRefT22_0x_0)</f>
        <v>0</v>
      </c>
      <c r="U22" s="1"/>
      <c r="V22" s="5">
        <f t="shared" si="17"/>
        <v>0</v>
      </c>
      <c r="W22" s="1"/>
      <c r="X22" s="1">
        <f t="shared" si="18"/>
        <v>1595.9699999999998</v>
      </c>
      <c r="Y22" s="1"/>
      <c r="Z22" s="5">
        <f t="shared" si="19"/>
        <v>0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2"/>
        <v>0</v>
      </c>
      <c r="G23" s="2"/>
      <c r="H23" s="6">
        <v>0</v>
      </c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>
        <v>159.12</v>
      </c>
      <c r="Q23" s="2"/>
      <c r="R23" s="7">
        <f t="shared" si="16"/>
        <v>0</v>
      </c>
      <c r="S23" s="2"/>
      <c r="T23" s="6">
        <v>0</v>
      </c>
      <c r="U23" s="2"/>
      <c r="V23" s="7">
        <f t="shared" si="17"/>
        <v>0</v>
      </c>
      <c r="W23" s="2"/>
      <c r="X23" s="6">
        <f t="shared" si="18"/>
        <v>159.12</v>
      </c>
      <c r="Y23" s="2"/>
      <c r="Z23" s="7">
        <f t="shared" si="19"/>
        <v>0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2"/>
        <v>0</v>
      </c>
      <c r="G24" s="2"/>
      <c r="H24" s="6">
        <v>0</v>
      </c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0</v>
      </c>
      <c r="U24" s="2"/>
      <c r="V24" s="7">
        <f t="shared" si="17"/>
        <v>0</v>
      </c>
      <c r="W24" s="2"/>
      <c r="X24" s="6">
        <f t="shared" si="18"/>
        <v>0</v>
      </c>
      <c r="Y24" s="2"/>
      <c r="Z24" s="7">
        <f t="shared" si="19"/>
        <v>0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2"/>
        <v>0</v>
      </c>
      <c r="G25" s="2"/>
      <c r="H25" s="6">
        <v>0</v>
      </c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>
        <v>683.68</v>
      </c>
      <c r="Q25" s="2"/>
      <c r="R25" s="7">
        <f t="shared" si="16"/>
        <v>0</v>
      </c>
      <c r="S25" s="2"/>
      <c r="T25" s="6">
        <v>0</v>
      </c>
      <c r="U25" s="2"/>
      <c r="V25" s="7">
        <f t="shared" si="17"/>
        <v>0</v>
      </c>
      <c r="W25" s="2"/>
      <c r="X25" s="6">
        <f t="shared" si="18"/>
        <v>683.68</v>
      </c>
      <c r="Y25" s="2"/>
      <c r="Z25" s="7">
        <f t="shared" si="19"/>
        <v>0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2"/>
        <v>0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0</v>
      </c>
      <c r="Y26" s="2"/>
      <c r="Z26" s="7">
        <f t="shared" si="19"/>
        <v>0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>
        <v>321.57</v>
      </c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321.57</v>
      </c>
      <c r="Y27" s="2"/>
      <c r="Z27" s="7">
        <f t="shared" si="19"/>
        <v>0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>
        <v>239.72</v>
      </c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239.72</v>
      </c>
      <c r="Y29" s="2"/>
      <c r="Z29" s="7">
        <f t="shared" si="19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2"/>
        <v>0</v>
      </c>
      <c r="G30" s="2"/>
      <c r="H30" s="6">
        <v>0</v>
      </c>
      <c r="I30" s="2"/>
      <c r="J30" s="7">
        <f t="shared" si="13"/>
        <v>0</v>
      </c>
      <c r="K30" s="2"/>
      <c r="L30" s="6">
        <f t="shared" si="14"/>
        <v>0</v>
      </c>
      <c r="M30" s="2"/>
      <c r="N30" s="7">
        <f t="shared" si="15"/>
        <v>0</v>
      </c>
      <c r="O30" s="11"/>
      <c r="P30" s="6">
        <v>191.88</v>
      </c>
      <c r="Q30" s="2"/>
      <c r="R30" s="7">
        <f t="shared" si="16"/>
        <v>0</v>
      </c>
      <c r="S30" s="2"/>
      <c r="T30" s="6">
        <v>0</v>
      </c>
      <c r="U30" s="2"/>
      <c r="V30" s="7">
        <f t="shared" si="17"/>
        <v>0</v>
      </c>
      <c r="W30" s="2"/>
      <c r="X30" s="6">
        <f t="shared" si="18"/>
        <v>191.88</v>
      </c>
      <c r="Y30" s="2"/>
      <c r="Z30" s="7">
        <f t="shared" si="19"/>
        <v>0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0">IF(D$12=0,0,D31/D$12)</f>
        <v>0</v>
      </c>
      <c r="G31" s="1"/>
      <c r="H31" s="1">
        <f>SUM(OSRRefH22_1x_0)</f>
        <v>0</v>
      </c>
      <c r="I31" s="1"/>
      <c r="J31" s="5">
        <f t="shared" ref="J31:J41" si="21">IF(H$12=0,0,H31/H$12)</f>
        <v>0</v>
      </c>
      <c r="K31" s="1"/>
      <c r="L31" s="1">
        <f t="shared" ref="L31:L41" si="22">+D31-H31</f>
        <v>0</v>
      </c>
      <c r="M31" s="1"/>
      <c r="N31" s="5">
        <f t="shared" ref="N31:N41" si="23">IF(H31=0,0,L31/H31)</f>
        <v>0</v>
      </c>
      <c r="O31" s="14"/>
      <c r="P31" s="1">
        <f>SUM(OSRRefP22_1x_0)</f>
        <v>2080</v>
      </c>
      <c r="Q31" s="1"/>
      <c r="R31" s="5">
        <f t="shared" ref="R31:R41" si="24">IF(P$12=0,0,P31/P$12)</f>
        <v>0</v>
      </c>
      <c r="S31" s="1"/>
      <c r="T31" s="1">
        <f>SUM(OSRRefT22_1x_0)</f>
        <v>0</v>
      </c>
      <c r="U31" s="1"/>
      <c r="V31" s="5">
        <f t="shared" ref="V31:V41" si="25">IF(T$12=0,0,T31/T$12)</f>
        <v>0</v>
      </c>
      <c r="W31" s="1"/>
      <c r="X31" s="1">
        <f t="shared" ref="X31:X41" si="26">+P31-T31</f>
        <v>2080</v>
      </c>
      <c r="Y31" s="1"/>
      <c r="Z31" s="5">
        <f t="shared" ref="Z31:Z41" si="27">IF(T31=0,0,X31/T31)</f>
        <v>0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20"/>
        <v>0</v>
      </c>
      <c r="G32" s="2"/>
      <c r="H32" s="6">
        <v>0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/>
      <c r="Q32" s="2"/>
      <c r="R32" s="7">
        <f t="shared" si="24"/>
        <v>0</v>
      </c>
      <c r="S32" s="2"/>
      <c r="T32" s="6">
        <v>0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0"/>
        <v>0</v>
      </c>
      <c r="G33" s="2"/>
      <c r="H33" s="6">
        <v>0</v>
      </c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>
        <v>2080</v>
      </c>
      <c r="Q33" s="2"/>
      <c r="R33" s="7">
        <f t="shared" si="24"/>
        <v>0</v>
      </c>
      <c r="S33" s="2"/>
      <c r="T33" s="6">
        <v>0</v>
      </c>
      <c r="U33" s="2"/>
      <c r="V33" s="7">
        <f t="shared" si="25"/>
        <v>0</v>
      </c>
      <c r="W33" s="2"/>
      <c r="X33" s="6">
        <f t="shared" si="26"/>
        <v>2080</v>
      </c>
      <c r="Y33" s="2"/>
      <c r="Z33" s="7">
        <f t="shared" si="27"/>
        <v>0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20"/>
        <v>0</v>
      </c>
      <c r="G41" s="2"/>
      <c r="H41" s="6">
        <v>0</v>
      </c>
      <c r="I41" s="2"/>
      <c r="J41" s="7">
        <f t="shared" si="21"/>
        <v>0</v>
      </c>
      <c r="K41" s="2"/>
      <c r="L41" s="6">
        <f t="shared" si="22"/>
        <v>0</v>
      </c>
      <c r="M41" s="2"/>
      <c r="N41" s="7">
        <f t="shared" si="23"/>
        <v>0</v>
      </c>
      <c r="O41" s="11"/>
      <c r="P41" s="6"/>
      <c r="Q41" s="2"/>
      <c r="R41" s="7">
        <f t="shared" si="24"/>
        <v>0</v>
      </c>
      <c r="S41" s="2"/>
      <c r="T41" s="6">
        <v>0</v>
      </c>
      <c r="U41" s="2"/>
      <c r="V41" s="7">
        <f t="shared" si="25"/>
        <v>0</v>
      </c>
      <c r="W41" s="2"/>
      <c r="X41" s="6">
        <f t="shared" si="26"/>
        <v>0</v>
      </c>
      <c r="Y41" s="2"/>
      <c r="Z41" s="7">
        <f t="shared" si="27"/>
        <v>0</v>
      </c>
    </row>
    <row r="42" spans="1:26" s="28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4" si="28">IF(D$12=0,0,D42/D$12)</f>
        <v>0</v>
      </c>
      <c r="G42" s="1"/>
      <c r="H42" s="1">
        <f>SUM(OSRRefH22_2x_0)</f>
        <v>0</v>
      </c>
      <c r="I42" s="1"/>
      <c r="J42" s="5">
        <f t="shared" ref="J42:J54" si="29">IF(H$12=0,0,H42/H$12)</f>
        <v>0</v>
      </c>
      <c r="K42" s="1"/>
      <c r="L42" s="1">
        <f t="shared" ref="L42:L54" si="30">+D42-H42</f>
        <v>0</v>
      </c>
      <c r="M42" s="1"/>
      <c r="N42" s="5">
        <f t="shared" ref="N42:N54" si="31">IF(H42=0,0,L42/H42)</f>
        <v>0</v>
      </c>
      <c r="O42" s="14"/>
      <c r="P42" s="1">
        <f>SUM(OSRRefP22_2x_0)</f>
        <v>0</v>
      </c>
      <c r="Q42" s="1"/>
      <c r="R42" s="5">
        <f t="shared" ref="R42:R54" si="32">IF(P$12=0,0,P42/P$12)</f>
        <v>0</v>
      </c>
      <c r="S42" s="1"/>
      <c r="T42" s="1">
        <f>SUM(OSRRefT22_2x_0)</f>
        <v>0</v>
      </c>
      <c r="U42" s="1"/>
      <c r="V42" s="5">
        <f t="shared" ref="V42:V54" si="33">IF(T$12=0,0,T42/T$12)</f>
        <v>0</v>
      </c>
      <c r="W42" s="1"/>
      <c r="X42" s="1">
        <f t="shared" ref="X42:X54" si="34">+P42-T42</f>
        <v>0</v>
      </c>
      <c r="Y42" s="1"/>
      <c r="Z42" s="5">
        <f t="shared" ref="Z42:Z54" si="35">IF(T42=0,0,X42/T42)</f>
        <v>0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8"/>
        <v>0</v>
      </c>
      <c r="G43" s="2"/>
      <c r="H43" s="6">
        <v>0</v>
      </c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/>
      <c r="Q43" s="2"/>
      <c r="R43" s="7">
        <f t="shared" si="32"/>
        <v>0</v>
      </c>
      <c r="S43" s="2"/>
      <c r="T43" s="6">
        <v>0</v>
      </c>
      <c r="U43" s="2"/>
      <c r="V43" s="7">
        <f t="shared" si="33"/>
        <v>0</v>
      </c>
      <c r="W43" s="2"/>
      <c r="X43" s="6">
        <f t="shared" si="34"/>
        <v>0</v>
      </c>
      <c r="Y43" s="2"/>
      <c r="Z43" s="7">
        <f t="shared" si="35"/>
        <v>0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28"/>
        <v>0</v>
      </c>
      <c r="G44" s="1"/>
      <c r="H44" s="1">
        <f>SUM(OSRRefH22_3x_0)</f>
        <v>0</v>
      </c>
      <c r="I44" s="1"/>
      <c r="J44" s="5">
        <f t="shared" si="29"/>
        <v>0</v>
      </c>
      <c r="K44" s="1"/>
      <c r="L44" s="1">
        <f t="shared" si="30"/>
        <v>0</v>
      </c>
      <c r="M44" s="1"/>
      <c r="N44" s="5">
        <f t="shared" si="31"/>
        <v>0</v>
      </c>
      <c r="O44" s="14"/>
      <c r="P44" s="1">
        <f>SUM(OSRRefP22_3x_0)</f>
        <v>0</v>
      </c>
      <c r="Q44" s="1"/>
      <c r="R44" s="5">
        <f t="shared" si="32"/>
        <v>0</v>
      </c>
      <c r="S44" s="1"/>
      <c r="T44" s="1">
        <f>SUM(OSRRefT22_3x_0)</f>
        <v>0</v>
      </c>
      <c r="U44" s="1"/>
      <c r="V44" s="5">
        <f t="shared" si="33"/>
        <v>0</v>
      </c>
      <c r="W44" s="1"/>
      <c r="X44" s="1">
        <f t="shared" si="34"/>
        <v>0</v>
      </c>
      <c r="Y44" s="1"/>
      <c r="Z44" s="5">
        <f t="shared" si="35"/>
        <v>0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28"/>
        <v>0</v>
      </c>
      <c r="G45" s="2"/>
      <c r="H45" s="6">
        <v>0</v>
      </c>
      <c r="I45" s="2"/>
      <c r="J45" s="7">
        <f t="shared" si="29"/>
        <v>0</v>
      </c>
      <c r="K45" s="2"/>
      <c r="L45" s="6">
        <f t="shared" si="30"/>
        <v>0</v>
      </c>
      <c r="M45" s="2"/>
      <c r="N45" s="7">
        <f t="shared" si="31"/>
        <v>0</v>
      </c>
      <c r="O45" s="11"/>
      <c r="P45" s="6"/>
      <c r="Q45" s="2"/>
      <c r="R45" s="7">
        <f t="shared" si="32"/>
        <v>0</v>
      </c>
      <c r="S45" s="2"/>
      <c r="T45" s="6">
        <v>0</v>
      </c>
      <c r="U45" s="2"/>
      <c r="V45" s="7">
        <f t="shared" si="33"/>
        <v>0</v>
      </c>
      <c r="W45" s="2"/>
      <c r="X45" s="6">
        <f t="shared" si="34"/>
        <v>0</v>
      </c>
      <c r="Y45" s="2"/>
      <c r="Z45" s="7">
        <f t="shared" si="35"/>
        <v>0</v>
      </c>
    </row>
    <row r="46" spans="1:26" s="28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2017.34</v>
      </c>
      <c r="E46" s="1"/>
      <c r="F46" s="5">
        <f t="shared" si="28"/>
        <v>0</v>
      </c>
      <c r="G46" s="1"/>
      <c r="H46" s="1">
        <f>SUM(OSRRefH22_4x_0)</f>
        <v>2017</v>
      </c>
      <c r="I46" s="1"/>
      <c r="J46" s="5">
        <f t="shared" si="29"/>
        <v>0</v>
      </c>
      <c r="K46" s="1"/>
      <c r="L46" s="1">
        <f t="shared" si="30"/>
        <v>0.33999999999991815</v>
      </c>
      <c r="M46" s="1"/>
      <c r="N46" s="5">
        <f t="shared" si="31"/>
        <v>1.6856717897864064E-4</v>
      </c>
      <c r="O46" s="14"/>
      <c r="P46" s="1">
        <f>SUM(OSRRefP22_4x_0)</f>
        <v>6052.02</v>
      </c>
      <c r="Q46" s="1"/>
      <c r="R46" s="5">
        <f t="shared" si="32"/>
        <v>0</v>
      </c>
      <c r="S46" s="1"/>
      <c r="T46" s="1">
        <f>SUM(OSRRefT22_4x_0)</f>
        <v>6051</v>
      </c>
      <c r="U46" s="1"/>
      <c r="V46" s="5">
        <f t="shared" si="33"/>
        <v>0</v>
      </c>
      <c r="W46" s="1"/>
      <c r="X46" s="1">
        <f t="shared" si="34"/>
        <v>1.0200000000004366</v>
      </c>
      <c r="Y46" s="1"/>
      <c r="Z46" s="5">
        <f t="shared" si="35"/>
        <v>1.6856717897875337E-4</v>
      </c>
    </row>
    <row r="47" spans="1:26" s="24" customFormat="1" hidden="1" outlineLevel="2" x14ac:dyDescent="0.25">
      <c r="A47" s="29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2017.34</v>
      </c>
      <c r="E47" s="2"/>
      <c r="F47" s="7">
        <f t="shared" si="28"/>
        <v>0</v>
      </c>
      <c r="G47" s="2"/>
      <c r="H47" s="6">
        <v>2017</v>
      </c>
      <c r="I47" s="2"/>
      <c r="J47" s="7">
        <f t="shared" si="29"/>
        <v>0</v>
      </c>
      <c r="K47" s="2"/>
      <c r="L47" s="6">
        <f t="shared" si="30"/>
        <v>0.33999999999991815</v>
      </c>
      <c r="M47" s="2"/>
      <c r="N47" s="7">
        <f t="shared" si="31"/>
        <v>1.6856717897864064E-4</v>
      </c>
      <c r="O47" s="11"/>
      <c r="P47" s="6">
        <v>6052.02</v>
      </c>
      <c r="Q47" s="2"/>
      <c r="R47" s="7">
        <f t="shared" si="32"/>
        <v>0</v>
      </c>
      <c r="S47" s="2"/>
      <c r="T47" s="6">
        <v>6051</v>
      </c>
      <c r="U47" s="2"/>
      <c r="V47" s="7">
        <f t="shared" si="33"/>
        <v>0</v>
      </c>
      <c r="W47" s="2"/>
      <c r="X47" s="6">
        <f t="shared" si="34"/>
        <v>1.0200000000004366</v>
      </c>
      <c r="Y47" s="2"/>
      <c r="Z47" s="7">
        <f t="shared" si="35"/>
        <v>1.6856717897875337E-4</v>
      </c>
    </row>
    <row r="48" spans="1:26" s="28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SUM(OSRRefD22_5x_0)</f>
        <v>0</v>
      </c>
      <c r="E48" s="1"/>
      <c r="F48" s="5">
        <f t="shared" si="28"/>
        <v>0</v>
      </c>
      <c r="G48" s="1"/>
      <c r="H48" s="1">
        <f>SUM(OSRRefH22_5x_0)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4"/>
      <c r="P48" s="1">
        <f>SUM(OSRRefP22_5x_0)</f>
        <v>0</v>
      </c>
      <c r="Q48" s="1"/>
      <c r="R48" s="5">
        <f t="shared" si="32"/>
        <v>0</v>
      </c>
      <c r="S48" s="1"/>
      <c r="T48" s="1">
        <f>SUM(OSRRefT22_5x_0)</f>
        <v>0</v>
      </c>
      <c r="U48" s="1"/>
      <c r="V48" s="5">
        <f t="shared" si="33"/>
        <v>0</v>
      </c>
      <c r="W48" s="1"/>
      <c r="X48" s="1">
        <f t="shared" si="34"/>
        <v>0</v>
      </c>
      <c r="Y48" s="1"/>
      <c r="Z48" s="5">
        <f t="shared" si="35"/>
        <v>0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/>
      <c r="Q49" s="2"/>
      <c r="R49" s="7">
        <f t="shared" si="32"/>
        <v>0</v>
      </c>
      <c r="S49" s="2"/>
      <c r="T49" s="6">
        <v>0</v>
      </c>
      <c r="U49" s="2"/>
      <c r="V49" s="7">
        <f t="shared" si="33"/>
        <v>0</v>
      </c>
      <c r="W49" s="2"/>
      <c r="X49" s="6">
        <f t="shared" si="34"/>
        <v>0</v>
      </c>
      <c r="Y49" s="2"/>
      <c r="Z49" s="7">
        <f t="shared" si="35"/>
        <v>0</v>
      </c>
    </row>
    <row r="50" spans="1:26" s="28" customFormat="1" outlineLevel="1" collapsed="1" x14ac:dyDescent="0.25">
      <c r="A50" s="27"/>
      <c r="B50" s="14" t="str">
        <f>CONCATENATE("     ","Rent                                              ")</f>
        <v xml:space="preserve">     Rent                                              </v>
      </c>
      <c r="C50" s="14"/>
      <c r="D50" s="1">
        <f>SUM(OSRRefD22_6x_0)</f>
        <v>0</v>
      </c>
      <c r="E50" s="1"/>
      <c r="F50" s="5">
        <f t="shared" si="28"/>
        <v>0</v>
      </c>
      <c r="G50" s="1"/>
      <c r="H50" s="1">
        <f>SUM(OSRRefH22_6x_0)</f>
        <v>0</v>
      </c>
      <c r="I50" s="1"/>
      <c r="J50" s="5">
        <f t="shared" si="29"/>
        <v>0</v>
      </c>
      <c r="K50" s="1"/>
      <c r="L50" s="1">
        <f t="shared" si="30"/>
        <v>0</v>
      </c>
      <c r="M50" s="1"/>
      <c r="N50" s="5">
        <f t="shared" si="31"/>
        <v>0</v>
      </c>
      <c r="O50" s="14"/>
      <c r="P50" s="1">
        <f>SUM(OSRRefP22_6x_0)</f>
        <v>0</v>
      </c>
      <c r="Q50" s="1"/>
      <c r="R50" s="5">
        <f t="shared" si="32"/>
        <v>0</v>
      </c>
      <c r="S50" s="1"/>
      <c r="T50" s="1">
        <f>SUM(OSRRefT22_6x_0)</f>
        <v>0</v>
      </c>
      <c r="U50" s="1"/>
      <c r="V50" s="5">
        <f t="shared" si="33"/>
        <v>0</v>
      </c>
      <c r="W50" s="1"/>
      <c r="X50" s="1">
        <f t="shared" si="34"/>
        <v>0</v>
      </c>
      <c r="Y50" s="1"/>
      <c r="Z50" s="5">
        <f t="shared" si="35"/>
        <v>0</v>
      </c>
    </row>
    <row r="51" spans="1:26" s="24" customFormat="1" hidden="1" outlineLevel="2" x14ac:dyDescent="0.25">
      <c r="A51" s="29"/>
      <c r="B51" s="11" t="str">
        <f>CONCATENATE("          ", "6273", " - ", "RENT")</f>
        <v xml:space="preserve">          6273 - RENT</v>
      </c>
      <c r="C51" s="11"/>
      <c r="D51" s="6"/>
      <c r="E51" s="2"/>
      <c r="F51" s="7">
        <f t="shared" si="28"/>
        <v>0</v>
      </c>
      <c r="G51" s="2"/>
      <c r="H51" s="6">
        <v>0</v>
      </c>
      <c r="I51" s="2"/>
      <c r="J51" s="7">
        <f t="shared" si="29"/>
        <v>0</v>
      </c>
      <c r="K51" s="2"/>
      <c r="L51" s="6">
        <f t="shared" si="30"/>
        <v>0</v>
      </c>
      <c r="M51" s="2"/>
      <c r="N51" s="7">
        <f t="shared" si="31"/>
        <v>0</v>
      </c>
      <c r="O51" s="11"/>
      <c r="P51" s="6"/>
      <c r="Q51" s="2"/>
      <c r="R51" s="7">
        <f t="shared" si="32"/>
        <v>0</v>
      </c>
      <c r="S51" s="2"/>
      <c r="T51" s="6">
        <v>0</v>
      </c>
      <c r="U51" s="2"/>
      <c r="V51" s="7">
        <f t="shared" si="33"/>
        <v>0</v>
      </c>
      <c r="W51" s="2"/>
      <c r="X51" s="6">
        <f t="shared" si="34"/>
        <v>0</v>
      </c>
      <c r="Y51" s="2"/>
      <c r="Z51" s="7">
        <f t="shared" si="35"/>
        <v>0</v>
      </c>
    </row>
    <row r="52" spans="1:26" s="28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SUM(OSRRefD22_7x_0)</f>
        <v>72.349999999999994</v>
      </c>
      <c r="E52" s="1"/>
      <c r="F52" s="5">
        <f t="shared" si="28"/>
        <v>0</v>
      </c>
      <c r="G52" s="1"/>
      <c r="H52" s="1">
        <f>SUM(OSRRefH22_7x_0)</f>
        <v>0</v>
      </c>
      <c r="I52" s="1"/>
      <c r="J52" s="5">
        <f t="shared" si="29"/>
        <v>0</v>
      </c>
      <c r="K52" s="1"/>
      <c r="L52" s="1">
        <f t="shared" si="30"/>
        <v>72.349999999999994</v>
      </c>
      <c r="M52" s="1"/>
      <c r="N52" s="5">
        <f t="shared" si="31"/>
        <v>0</v>
      </c>
      <c r="O52" s="14"/>
      <c r="P52" s="1">
        <f>SUM(OSRRefP22_7x_0)</f>
        <v>150.94999999999999</v>
      </c>
      <c r="Q52" s="1"/>
      <c r="R52" s="5">
        <f t="shared" si="32"/>
        <v>0</v>
      </c>
      <c r="S52" s="1"/>
      <c r="T52" s="1">
        <f>SUM(OSRRefT22_7x_0)</f>
        <v>0</v>
      </c>
      <c r="U52" s="1"/>
      <c r="V52" s="5">
        <f t="shared" si="33"/>
        <v>0</v>
      </c>
      <c r="W52" s="1"/>
      <c r="X52" s="1">
        <f t="shared" si="34"/>
        <v>150.94999999999999</v>
      </c>
      <c r="Y52" s="1"/>
      <c r="Z52" s="5">
        <f t="shared" si="35"/>
        <v>0</v>
      </c>
    </row>
    <row r="53" spans="1:26" s="24" customFormat="1" hidden="1" outlineLevel="2" x14ac:dyDescent="0.25">
      <c r="A53" s="29"/>
      <c r="B53" s="11" t="str">
        <f>CONCATENATE("          ", "6373", " - ", "MAINTENANCE CONTRACTS")</f>
        <v xml:space="preserve">          6373 - MAINTENANCE CONTRACTS</v>
      </c>
      <c r="C53" s="11"/>
      <c r="D53" s="6">
        <v>72.349999999999994</v>
      </c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72.349999999999994</v>
      </c>
      <c r="M53" s="2"/>
      <c r="N53" s="7">
        <f t="shared" si="31"/>
        <v>0</v>
      </c>
      <c r="O53" s="11"/>
      <c r="P53" s="6">
        <v>150.94999999999999</v>
      </c>
      <c r="Q53" s="2"/>
      <c r="R53" s="7">
        <f t="shared" si="32"/>
        <v>0</v>
      </c>
      <c r="S53" s="2"/>
      <c r="T53" s="6"/>
      <c r="U53" s="2"/>
      <c r="V53" s="7">
        <f t="shared" si="33"/>
        <v>0</v>
      </c>
      <c r="W53" s="2"/>
      <c r="X53" s="6">
        <f t="shared" si="34"/>
        <v>150.94999999999999</v>
      </c>
      <c r="Y53" s="2"/>
      <c r="Z53" s="7">
        <f t="shared" si="35"/>
        <v>0</v>
      </c>
    </row>
    <row r="54" spans="1:26" s="24" customFormat="1" hidden="1" outlineLevel="2" x14ac:dyDescent="0.25">
      <c r="A54" s="29"/>
      <c r="B54" s="11" t="str">
        <f>CONCATENATE("          ", "6375", " - ", "OUTSIDE REPAIRS &amp; MAINTENANCE")</f>
        <v xml:space="preserve">          6375 - OUTSIDE REPAIRS &amp; MAINTENANCE</v>
      </c>
      <c r="C54" s="11"/>
      <c r="D54" s="6"/>
      <c r="E54" s="2"/>
      <c r="F54" s="7">
        <f t="shared" si="28"/>
        <v>0</v>
      </c>
      <c r="G54" s="2"/>
      <c r="H54" s="6">
        <v>0</v>
      </c>
      <c r="I54" s="2"/>
      <c r="J54" s="7">
        <f t="shared" si="29"/>
        <v>0</v>
      </c>
      <c r="K54" s="2"/>
      <c r="L54" s="6">
        <f t="shared" si="30"/>
        <v>0</v>
      </c>
      <c r="M54" s="2"/>
      <c r="N54" s="7">
        <f t="shared" si="31"/>
        <v>0</v>
      </c>
      <c r="O54" s="11"/>
      <c r="P54" s="6"/>
      <c r="Q54" s="2"/>
      <c r="R54" s="7">
        <f t="shared" si="32"/>
        <v>0</v>
      </c>
      <c r="S54" s="2"/>
      <c r="T54" s="6">
        <v>0</v>
      </c>
      <c r="U54" s="2"/>
      <c r="V54" s="7">
        <f t="shared" si="33"/>
        <v>0</v>
      </c>
      <c r="W54" s="2"/>
      <c r="X54" s="6">
        <f t="shared" si="34"/>
        <v>0</v>
      </c>
      <c r="Y54" s="2"/>
      <c r="Z54" s="7">
        <f t="shared" si="35"/>
        <v>0</v>
      </c>
    </row>
    <row r="55" spans="1:26" s="28" customFormat="1" outlineLevel="1" collapsed="1" x14ac:dyDescent="0.2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SUM(OSRRefD22_8x_0)</f>
        <v>0</v>
      </c>
      <c r="E55" s="1"/>
      <c r="F55" s="5">
        <f t="shared" ref="F55:F57" si="36">IF(D$12=0,0,D55/D$12)</f>
        <v>0</v>
      </c>
      <c r="G55" s="1"/>
      <c r="H55" s="1">
        <f>SUM(OSRRefH22_8x_0)</f>
        <v>0</v>
      </c>
      <c r="I55" s="1"/>
      <c r="J55" s="5">
        <f t="shared" ref="J55:J57" si="37">IF(H$12=0,0,H55/H$12)</f>
        <v>0</v>
      </c>
      <c r="K55" s="1"/>
      <c r="L55" s="1">
        <f t="shared" ref="L55:L57" si="38">+D55-H55</f>
        <v>0</v>
      </c>
      <c r="M55" s="1"/>
      <c r="N55" s="5">
        <f t="shared" ref="N55:N57" si="39">IF(H55=0,0,L55/H55)</f>
        <v>0</v>
      </c>
      <c r="O55" s="14"/>
      <c r="P55" s="1">
        <f>SUM(OSRRefP22_8x_0)</f>
        <v>-1053.52</v>
      </c>
      <c r="Q55" s="1"/>
      <c r="R55" s="5">
        <f t="shared" ref="R55:R57" si="40">IF(P$12=0,0,P55/P$12)</f>
        <v>0</v>
      </c>
      <c r="S55" s="1"/>
      <c r="T55" s="1">
        <f>SUM(OSRRefT22_8x_0)</f>
        <v>0</v>
      </c>
      <c r="U55" s="1"/>
      <c r="V55" s="5">
        <f t="shared" ref="V55:V57" si="41">IF(T$12=0,0,T55/T$12)</f>
        <v>0</v>
      </c>
      <c r="W55" s="1"/>
      <c r="X55" s="1">
        <f t="shared" ref="X55:X57" si="42">+P55-T55</f>
        <v>-1053.52</v>
      </c>
      <c r="Y55" s="1"/>
      <c r="Z55" s="5">
        <f t="shared" ref="Z55:Z57" si="43">IF(T55=0,0,X55/T55)</f>
        <v>0</v>
      </c>
    </row>
    <row r="56" spans="1:26" s="24" customFormat="1" hidden="1" outlineLevel="2" x14ac:dyDescent="0.25">
      <c r="A56" s="29"/>
      <c r="B56" s="11" t="str">
        <f>CONCATENATE("          ", "6282", " - ", "JANITORIAL/EXTERMINATOR EXPENS")</f>
        <v xml:space="preserve">          6282 - JANITORIAL/EXTERMINATOR EXPENS</v>
      </c>
      <c r="C56" s="11"/>
      <c r="D56" s="6"/>
      <c r="E56" s="2"/>
      <c r="F56" s="7">
        <f t="shared" si="36"/>
        <v>0</v>
      </c>
      <c r="G56" s="2"/>
      <c r="H56" s="6"/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>
        <v>-567.28</v>
      </c>
      <c r="Q56" s="2"/>
      <c r="R56" s="7">
        <f t="shared" si="40"/>
        <v>0</v>
      </c>
      <c r="S56" s="2"/>
      <c r="T56" s="6"/>
      <c r="U56" s="2"/>
      <c r="V56" s="7">
        <f t="shared" si="41"/>
        <v>0</v>
      </c>
      <c r="W56" s="2"/>
      <c r="X56" s="6">
        <f t="shared" si="42"/>
        <v>-567.28</v>
      </c>
      <c r="Y56" s="2"/>
      <c r="Z56" s="7">
        <f t="shared" si="43"/>
        <v>0</v>
      </c>
    </row>
    <row r="57" spans="1:26" s="24" customFormat="1" hidden="1" outlineLevel="2" x14ac:dyDescent="0.25">
      <c r="A57" s="29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36"/>
        <v>0</v>
      </c>
      <c r="G57" s="2"/>
      <c r="H57" s="6">
        <v>0</v>
      </c>
      <c r="I57" s="2"/>
      <c r="J57" s="7">
        <f t="shared" si="37"/>
        <v>0</v>
      </c>
      <c r="K57" s="2"/>
      <c r="L57" s="6">
        <f t="shared" si="38"/>
        <v>0</v>
      </c>
      <c r="M57" s="2"/>
      <c r="N57" s="7">
        <f t="shared" si="39"/>
        <v>0</v>
      </c>
      <c r="O57" s="11"/>
      <c r="P57" s="6">
        <v>-486.24</v>
      </c>
      <c r="Q57" s="2"/>
      <c r="R57" s="7">
        <f t="shared" si="40"/>
        <v>0</v>
      </c>
      <c r="S57" s="2"/>
      <c r="T57" s="6">
        <v>0</v>
      </c>
      <c r="U57" s="2"/>
      <c r="V57" s="7">
        <f t="shared" si="41"/>
        <v>0</v>
      </c>
      <c r="W57" s="2"/>
      <c r="X57" s="6">
        <f t="shared" si="42"/>
        <v>-486.24</v>
      </c>
      <c r="Y57" s="2"/>
      <c r="Z57" s="7">
        <f t="shared" si="43"/>
        <v>0</v>
      </c>
    </row>
    <row r="58" spans="1:26" s="28" customFormat="1" outlineLevel="1" collapsed="1" x14ac:dyDescent="0.25">
      <c r="A58" s="27"/>
      <c r="B58" s="14" t="str">
        <f>CONCATENATE("     ","Supplies                                          ")</f>
        <v xml:space="preserve">     Supplies                                          </v>
      </c>
      <c r="C58" s="14"/>
      <c r="D58" s="1">
        <f>SUM(OSRRefD22_9x_0)</f>
        <v>89.98</v>
      </c>
      <c r="E58" s="1"/>
      <c r="F58" s="5">
        <f t="shared" ref="F58:F62" si="44">IF(D$12=0,0,D58/D$12)</f>
        <v>0</v>
      </c>
      <c r="G58" s="1"/>
      <c r="H58" s="1">
        <f>SUM(OSRRefH22_9x_0)</f>
        <v>0</v>
      </c>
      <c r="I58" s="1"/>
      <c r="J58" s="5">
        <f t="shared" ref="J58:J62" si="45">IF(H$12=0,0,H58/H$12)</f>
        <v>0</v>
      </c>
      <c r="K58" s="1"/>
      <c r="L58" s="1">
        <f t="shared" ref="L58:L62" si="46">+D58-H58</f>
        <v>89.98</v>
      </c>
      <c r="M58" s="1"/>
      <c r="N58" s="5">
        <f t="shared" ref="N58:N62" si="47">IF(H58=0,0,L58/H58)</f>
        <v>0</v>
      </c>
      <c r="O58" s="14"/>
      <c r="P58" s="1">
        <f>SUM(OSRRefP22_9x_0)</f>
        <v>131.30000000000001</v>
      </c>
      <c r="Q58" s="1"/>
      <c r="R58" s="5">
        <f t="shared" ref="R58:R62" si="48">IF(P$12=0,0,P58/P$12)</f>
        <v>0</v>
      </c>
      <c r="S58" s="1"/>
      <c r="T58" s="1">
        <f>SUM(OSRRefT22_9x_0)</f>
        <v>0</v>
      </c>
      <c r="U58" s="1"/>
      <c r="V58" s="5">
        <f t="shared" ref="V58:V62" si="49">IF(T$12=0,0,T58/T$12)</f>
        <v>0</v>
      </c>
      <c r="W58" s="1"/>
      <c r="X58" s="1">
        <f t="shared" ref="X58:X62" si="50">+P58-T58</f>
        <v>131.30000000000001</v>
      </c>
      <c r="Y58" s="1"/>
      <c r="Z58" s="5">
        <f t="shared" ref="Z58:Z62" si="51">IF(T58=0,0,X58/T58)</f>
        <v>0</v>
      </c>
    </row>
    <row r="59" spans="1:26" s="24" customFormat="1" hidden="1" outlineLevel="2" x14ac:dyDescent="0.25">
      <c r="A59" s="29"/>
      <c r="B59" s="11" t="str">
        <f>CONCATENATE("          ", "6235", " - ", "COVID-19 EXPENSES")</f>
        <v xml:space="preserve">          6235 - COVID-19 EXPENSES</v>
      </c>
      <c r="C59" s="11"/>
      <c r="D59" s="6"/>
      <c r="E59" s="2"/>
      <c r="F59" s="7">
        <f t="shared" si="44"/>
        <v>0</v>
      </c>
      <c r="G59" s="2"/>
      <c r="H59" s="6">
        <v>0</v>
      </c>
      <c r="I59" s="2"/>
      <c r="J59" s="7">
        <f t="shared" si="45"/>
        <v>0</v>
      </c>
      <c r="K59" s="2"/>
      <c r="L59" s="6">
        <f t="shared" si="46"/>
        <v>0</v>
      </c>
      <c r="M59" s="2"/>
      <c r="N59" s="7">
        <f t="shared" si="47"/>
        <v>0</v>
      </c>
      <c r="O59" s="11"/>
      <c r="P59" s="6"/>
      <c r="Q59" s="2"/>
      <c r="R59" s="7">
        <f t="shared" si="48"/>
        <v>0</v>
      </c>
      <c r="S59" s="2"/>
      <c r="T59" s="6">
        <v>0</v>
      </c>
      <c r="U59" s="2"/>
      <c r="V59" s="7">
        <f t="shared" si="49"/>
        <v>0</v>
      </c>
      <c r="W59" s="2"/>
      <c r="X59" s="6">
        <f t="shared" si="50"/>
        <v>0</v>
      </c>
      <c r="Y59" s="2"/>
      <c r="Z59" s="7">
        <f t="shared" si="51"/>
        <v>0</v>
      </c>
    </row>
    <row r="60" spans="1:26" s="24" customFormat="1" hidden="1" outlineLevel="2" x14ac:dyDescent="0.25">
      <c r="A60" s="29"/>
      <c r="B60" s="11" t="str">
        <f>CONCATENATE("          ", "6241", " - ", "OFFICE EXPENSE")</f>
        <v xml:space="preserve">          6241 - OFFICE EXPENSE</v>
      </c>
      <c r="C60" s="11"/>
      <c r="D60" s="6">
        <v>89.98</v>
      </c>
      <c r="E60" s="2"/>
      <c r="F60" s="7">
        <f t="shared" si="44"/>
        <v>0</v>
      </c>
      <c r="G60" s="2"/>
      <c r="H60" s="6"/>
      <c r="I60" s="2"/>
      <c r="J60" s="7">
        <f t="shared" si="45"/>
        <v>0</v>
      </c>
      <c r="K60" s="2"/>
      <c r="L60" s="6">
        <f t="shared" si="46"/>
        <v>89.98</v>
      </c>
      <c r="M60" s="2"/>
      <c r="N60" s="7">
        <f t="shared" si="47"/>
        <v>0</v>
      </c>
      <c r="O60" s="11"/>
      <c r="P60" s="6">
        <v>131.30000000000001</v>
      </c>
      <c r="Q60" s="2"/>
      <c r="R60" s="7">
        <f t="shared" si="48"/>
        <v>0</v>
      </c>
      <c r="S60" s="2"/>
      <c r="T60" s="6"/>
      <c r="U60" s="2"/>
      <c r="V60" s="7">
        <f t="shared" si="49"/>
        <v>0</v>
      </c>
      <c r="W60" s="2"/>
      <c r="X60" s="6">
        <f t="shared" si="50"/>
        <v>131.30000000000001</v>
      </c>
      <c r="Y60" s="2"/>
      <c r="Z60" s="7">
        <f t="shared" si="51"/>
        <v>0</v>
      </c>
    </row>
    <row r="61" spans="1:26" s="24" customFormat="1" hidden="1" outlineLevel="2" x14ac:dyDescent="0.25">
      <c r="A61" s="29"/>
      <c r="B61" s="11" t="str">
        <f>CONCATENATE("          ", "6247", " - ", "STORE SUPPLIES")</f>
        <v xml:space="preserve">          6247 - STORE SUPPLIES</v>
      </c>
      <c r="C61" s="11"/>
      <c r="D61" s="6"/>
      <c r="E61" s="2"/>
      <c r="F61" s="7">
        <f t="shared" si="44"/>
        <v>0</v>
      </c>
      <c r="G61" s="2"/>
      <c r="H61" s="6">
        <v>0</v>
      </c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/>
      <c r="Q61" s="2"/>
      <c r="R61" s="7">
        <f t="shared" si="48"/>
        <v>0</v>
      </c>
      <c r="S61" s="2"/>
      <c r="T61" s="6">
        <v>0</v>
      </c>
      <c r="U61" s="2"/>
      <c r="V61" s="7">
        <f t="shared" si="49"/>
        <v>0</v>
      </c>
      <c r="W61" s="2"/>
      <c r="X61" s="6">
        <f t="shared" si="50"/>
        <v>0</v>
      </c>
      <c r="Y61" s="2"/>
      <c r="Z61" s="7">
        <f t="shared" si="51"/>
        <v>0</v>
      </c>
    </row>
    <row r="62" spans="1:26" s="24" customFormat="1" hidden="1" outlineLevel="2" x14ac:dyDescent="0.25">
      <c r="A62" s="29"/>
      <c r="B62" s="11" t="str">
        <f>CONCATENATE("          ", "6248", " - ", "UNIFORMS")</f>
        <v xml:space="preserve">          6248 - UNIFORMS</v>
      </c>
      <c r="C62" s="11"/>
      <c r="D62" s="6"/>
      <c r="E62" s="2"/>
      <c r="F62" s="7">
        <f t="shared" si="44"/>
        <v>0</v>
      </c>
      <c r="G62" s="2"/>
      <c r="H62" s="6"/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0</v>
      </c>
      <c r="U62" s="2"/>
      <c r="V62" s="7">
        <f t="shared" si="49"/>
        <v>0</v>
      </c>
      <c r="W62" s="2"/>
      <c r="X62" s="6">
        <f t="shared" si="50"/>
        <v>0</v>
      </c>
      <c r="Y62" s="2"/>
      <c r="Z62" s="7">
        <f t="shared" si="51"/>
        <v>0</v>
      </c>
    </row>
    <row r="63" spans="1:26" s="28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SUM(OSRRefD22_10x_0)</f>
        <v>0</v>
      </c>
      <c r="E63" s="1"/>
      <c r="F63" s="5">
        <f t="shared" ref="F63:F66" si="52">IF(D$12=0,0,D63/D$12)</f>
        <v>0</v>
      </c>
      <c r="G63" s="1"/>
      <c r="H63" s="1">
        <f>SUM(OSRRefH22_10x_0)</f>
        <v>0</v>
      </c>
      <c r="I63" s="1"/>
      <c r="J63" s="5">
        <f t="shared" ref="J63:J66" si="53">IF(H$12=0,0,H63/H$12)</f>
        <v>0</v>
      </c>
      <c r="K63" s="1"/>
      <c r="L63" s="1">
        <f t="shared" ref="L63:L66" si="54">+D63-H63</f>
        <v>0</v>
      </c>
      <c r="M63" s="1"/>
      <c r="N63" s="5">
        <f t="shared" ref="N63:N66" si="55">IF(H63=0,0,L63/H63)</f>
        <v>0</v>
      </c>
      <c r="O63" s="14"/>
      <c r="P63" s="1">
        <f>SUM(OSRRefP22_10x_0)</f>
        <v>72</v>
      </c>
      <c r="Q63" s="1"/>
      <c r="R63" s="5">
        <f t="shared" ref="R63:R66" si="56">IF(P$12=0,0,P63/P$12)</f>
        <v>0</v>
      </c>
      <c r="S63" s="1"/>
      <c r="T63" s="1">
        <f>SUM(OSRRefT22_10x_0)</f>
        <v>0</v>
      </c>
      <c r="U63" s="1"/>
      <c r="V63" s="5">
        <f t="shared" ref="V63:V66" si="57">IF(T$12=0,0,T63/T$12)</f>
        <v>0</v>
      </c>
      <c r="W63" s="1"/>
      <c r="X63" s="1">
        <f t="shared" ref="X63:X66" si="58">+P63-T63</f>
        <v>72</v>
      </c>
      <c r="Y63" s="1"/>
      <c r="Z63" s="5">
        <f t="shared" ref="Z63:Z66" si="59">IF(T63=0,0,X63/T63)</f>
        <v>0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6"/>
      <c r="E64" s="2"/>
      <c r="F64" s="7">
        <f t="shared" si="52"/>
        <v>0</v>
      </c>
      <c r="G64" s="2"/>
      <c r="H64" s="6"/>
      <c r="I64" s="2"/>
      <c r="J64" s="7">
        <f t="shared" si="53"/>
        <v>0</v>
      </c>
      <c r="K64" s="2"/>
      <c r="L64" s="6">
        <f t="shared" si="54"/>
        <v>0</v>
      </c>
      <c r="M64" s="2"/>
      <c r="N64" s="7">
        <f t="shared" si="55"/>
        <v>0</v>
      </c>
      <c r="O64" s="11"/>
      <c r="P64" s="6">
        <v>72</v>
      </c>
      <c r="Q64" s="2"/>
      <c r="R64" s="7">
        <f t="shared" si="56"/>
        <v>0</v>
      </c>
      <c r="S64" s="2"/>
      <c r="T64" s="6"/>
      <c r="U64" s="2"/>
      <c r="V64" s="7">
        <f t="shared" si="57"/>
        <v>0</v>
      </c>
      <c r="W64" s="2"/>
      <c r="X64" s="6">
        <f t="shared" si="58"/>
        <v>72</v>
      </c>
      <c r="Y64" s="2"/>
      <c r="Z64" s="7">
        <f t="shared" si="59"/>
        <v>0</v>
      </c>
    </row>
    <row r="65" spans="1:26" s="28" customFormat="1" outlineLevel="1" collapsed="1" x14ac:dyDescent="0.25">
      <c r="A65" s="27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SUM(OSRRefD22_11x_0)</f>
        <v>0</v>
      </c>
      <c r="E65" s="1"/>
      <c r="F65" s="5">
        <f t="shared" si="52"/>
        <v>0</v>
      </c>
      <c r="G65" s="1"/>
      <c r="H65" s="1">
        <f>SUM(OSRRefH22_11x_0)</f>
        <v>0</v>
      </c>
      <c r="I65" s="1"/>
      <c r="J65" s="5">
        <f t="shared" si="53"/>
        <v>0</v>
      </c>
      <c r="K65" s="1"/>
      <c r="L65" s="1">
        <f t="shared" si="54"/>
        <v>0</v>
      </c>
      <c r="M65" s="1"/>
      <c r="N65" s="5">
        <f t="shared" si="55"/>
        <v>0</v>
      </c>
      <c r="O65" s="14"/>
      <c r="P65" s="1">
        <f>SUM(OSRRefP22_11x_0)</f>
        <v>0</v>
      </c>
      <c r="Q65" s="1"/>
      <c r="R65" s="5">
        <f t="shared" si="56"/>
        <v>0</v>
      </c>
      <c r="S65" s="1"/>
      <c r="T65" s="1">
        <f>SUM(OSRRefT22_11x_0)</f>
        <v>0</v>
      </c>
      <c r="U65" s="1"/>
      <c r="V65" s="5">
        <f t="shared" si="57"/>
        <v>0</v>
      </c>
      <c r="W65" s="1"/>
      <c r="X65" s="1">
        <f t="shared" si="58"/>
        <v>0</v>
      </c>
      <c r="Y65" s="1"/>
      <c r="Z65" s="5">
        <f t="shared" si="59"/>
        <v>0</v>
      </c>
    </row>
    <row r="66" spans="1:26" s="24" customFormat="1" hidden="1" outlineLevel="2" x14ac:dyDescent="0.25">
      <c r="A66" s="29"/>
      <c r="B66" s="11" t="str">
        <f>CONCATENATE("          ", "6274", " - ", "UTILITIES")</f>
        <v xml:space="preserve">          6274 - UTILITIES</v>
      </c>
      <c r="C66" s="11"/>
      <c r="D66" s="6"/>
      <c r="E66" s="2"/>
      <c r="F66" s="7">
        <f t="shared" si="52"/>
        <v>0</v>
      </c>
      <c r="G66" s="2"/>
      <c r="H66" s="6">
        <v>0</v>
      </c>
      <c r="I66" s="2"/>
      <c r="J66" s="7">
        <f t="shared" si="53"/>
        <v>0</v>
      </c>
      <c r="K66" s="2"/>
      <c r="L66" s="6">
        <f t="shared" si="54"/>
        <v>0</v>
      </c>
      <c r="M66" s="2"/>
      <c r="N66" s="7">
        <f t="shared" si="55"/>
        <v>0</v>
      </c>
      <c r="O66" s="11"/>
      <c r="P66" s="6"/>
      <c r="Q66" s="2"/>
      <c r="R66" s="7">
        <f t="shared" si="56"/>
        <v>0</v>
      </c>
      <c r="S66" s="2"/>
      <c r="T66" s="6">
        <v>0</v>
      </c>
      <c r="U66" s="2"/>
      <c r="V66" s="7">
        <f t="shared" si="57"/>
        <v>0</v>
      </c>
      <c r="W66" s="2"/>
      <c r="X66" s="6">
        <f t="shared" si="58"/>
        <v>0</v>
      </c>
      <c r="Y66" s="2"/>
      <c r="Z66" s="7">
        <f t="shared" si="59"/>
        <v>0</v>
      </c>
    </row>
    <row r="67" spans="1:26" s="61" customFormat="1" x14ac:dyDescent="0.25">
      <c r="A67" s="36"/>
      <c r="B67" s="36"/>
      <c r="C67" s="36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6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5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6" t="s">
        <v>3</v>
      </c>
      <c r="C70" s="26"/>
      <c r="D70" s="20">
        <f>+D19-D21+D68</f>
        <v>-2179.67</v>
      </c>
      <c r="E70" s="13"/>
      <c r="F70" s="21">
        <f>IF(D$12=0,0,D70/D$12)</f>
        <v>0</v>
      </c>
      <c r="G70" s="13"/>
      <c r="H70" s="20">
        <f>+H19-H21+H68</f>
        <v>-2017</v>
      </c>
      <c r="I70" s="13"/>
      <c r="J70" s="21">
        <f>IF(H$12=0,0,H70/H$12)</f>
        <v>0</v>
      </c>
      <c r="K70" s="16"/>
      <c r="L70" s="20">
        <f>+D70-H70</f>
        <v>-162.67000000000007</v>
      </c>
      <c r="M70" s="16"/>
      <c r="N70" s="21">
        <f>IF(H70=0,0,L70/H70)</f>
        <v>8.0649479424888482E-2</v>
      </c>
      <c r="O70" s="25"/>
      <c r="P70" s="20">
        <f>+P19-P21+P68</f>
        <v>-7806.3899999999994</v>
      </c>
      <c r="Q70" s="13"/>
      <c r="R70" s="21">
        <f>IF(P$12=0,0,P70/P$12)</f>
        <v>0</v>
      </c>
      <c r="S70" s="13"/>
      <c r="T70" s="20">
        <f>+T19-T21+T68</f>
        <v>-6051</v>
      </c>
      <c r="U70" s="13"/>
      <c r="V70" s="21">
        <f>IF(T$12=0,0,T70/T$12)</f>
        <v>0</v>
      </c>
      <c r="W70" s="16"/>
      <c r="X70" s="20">
        <f>+P70-T70</f>
        <v>-1755.3899999999994</v>
      </c>
      <c r="Y70" s="16"/>
      <c r="Z70" s="21">
        <f>IF(T70=0,0,X70/T70)</f>
        <v>0.290099157164105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4</v>
      </c>
      <c r="C74" s="26"/>
      <c r="D74" s="33">
        <f>+D70-D72</f>
        <v>-2179.67</v>
      </c>
      <c r="E74" s="13"/>
      <c r="F74" s="34">
        <f>IF(D$12=0,0,D74/D$12)</f>
        <v>0</v>
      </c>
      <c r="G74" s="13"/>
      <c r="H74" s="33">
        <f>+H70-H72</f>
        <v>-2017</v>
      </c>
      <c r="I74" s="13"/>
      <c r="J74" s="34">
        <f>IF(H$12=0,0,H74/H$12)</f>
        <v>0</v>
      </c>
      <c r="K74" s="16"/>
      <c r="L74" s="33">
        <f>D74-H74</f>
        <v>-162.67000000000007</v>
      </c>
      <c r="M74" s="16"/>
      <c r="N74" s="34">
        <f>IF(H74=0,0,L74/H74)</f>
        <v>8.0649479424888482E-2</v>
      </c>
      <c r="O74" s="25"/>
      <c r="P74" s="33">
        <f>+P70-P72</f>
        <v>-7806.3899999999994</v>
      </c>
      <c r="Q74" s="13"/>
      <c r="R74" s="34">
        <f>IF(P$12=0,0,P74/P$12)</f>
        <v>0</v>
      </c>
      <c r="S74" s="13"/>
      <c r="T74" s="33">
        <f>+T70-T72</f>
        <v>-6051</v>
      </c>
      <c r="U74" s="13"/>
      <c r="V74" s="34">
        <f>IF(T$12=0,0,T74/T$12)</f>
        <v>0</v>
      </c>
      <c r="W74" s="16"/>
      <c r="X74" s="33">
        <f>P74-T74</f>
        <v>-1755.3899999999994</v>
      </c>
      <c r="Y74" s="16"/>
      <c r="Z74" s="34">
        <f>IF(T74=0,0,X74/T74)</f>
        <v>0.290099157164105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5</v>
      </c>
      <c r="C77" s="26"/>
      <c r="D77" s="31">
        <f>SUM(D74:D76)</f>
        <v>-2179.67</v>
      </c>
      <c r="E77" s="13"/>
      <c r="F77" s="32">
        <f>IF(D$12=0,0,D77/D$12)</f>
        <v>0</v>
      </c>
      <c r="G77" s="13"/>
      <c r="H77" s="31">
        <f>SUM(H74:H76)</f>
        <v>-2017</v>
      </c>
      <c r="I77" s="13"/>
      <c r="J77" s="32">
        <f>IF(H$12=0,0,H77/H$12)</f>
        <v>0</v>
      </c>
      <c r="K77" s="16"/>
      <c r="L77" s="31">
        <f>+D77-H77</f>
        <v>-162.67000000000007</v>
      </c>
      <c r="M77" s="16"/>
      <c r="N77" s="32">
        <f>IF(H77=0,0,L77/H77)</f>
        <v>8.0649479424888482E-2</v>
      </c>
      <c r="O77" s="25"/>
      <c r="P77" s="31">
        <f>SUM(P74:P76)</f>
        <v>-7806.3899999999994</v>
      </c>
      <c r="Q77" s="13"/>
      <c r="R77" s="32">
        <f>IF(P$12=0,0,P77/P$12)</f>
        <v>0</v>
      </c>
      <c r="S77" s="13"/>
      <c r="T77" s="31">
        <f>SUM(T74:T76)</f>
        <v>-6051</v>
      </c>
      <c r="U77" s="13"/>
      <c r="V77" s="32">
        <f>IF(T$12=0,0,T77/T$12)</f>
        <v>0</v>
      </c>
      <c r="W77" s="16"/>
      <c r="X77" s="31">
        <f>+P77-T77</f>
        <v>-1755.3899999999994</v>
      </c>
      <c r="Y77" s="16"/>
      <c r="Z77" s="32">
        <f>IF(T77=0,0,X77/T77)</f>
        <v>0.290099157164105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5">
        <v>44123.572128900465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3" t="s">
        <v>314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2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","325", " - ", "Outpost C-Store")</f>
        <v>Department 325 - Outpost C-Store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24226</v>
      </c>
      <c r="I12" s="4"/>
      <c r="J12" s="12"/>
      <c r="K12" s="4"/>
      <c r="L12" s="4">
        <f t="shared" ref="L12:L14" si="0">+D12-H12</f>
        <v>-24226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24226</v>
      </c>
      <c r="U12" s="4"/>
      <c r="V12" s="12"/>
      <c r="W12" s="4"/>
      <c r="X12" s="4">
        <f t="shared" ref="X12:X14" si="2">+P12-T12</f>
        <v>-24226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4294</v>
      </c>
      <c r="I13" s="2"/>
      <c r="J13" s="22"/>
      <c r="K13" s="2"/>
      <c r="L13" s="2">
        <f t="shared" si="0"/>
        <v>-4294</v>
      </c>
      <c r="M13" s="2"/>
      <c r="N13" s="22">
        <f t="shared" si="1"/>
        <v>-1</v>
      </c>
      <c r="O13" s="11"/>
      <c r="P13" s="2">
        <f t="shared" ref="P13:P14" si="5">0</f>
        <v>0</v>
      </c>
      <c r="Q13" s="2"/>
      <c r="R13" s="22"/>
      <c r="S13" s="2"/>
      <c r="T13" s="2">
        <v>4294</v>
      </c>
      <c r="U13" s="2"/>
      <c r="V13" s="22"/>
      <c r="W13" s="2"/>
      <c r="X13" s="2">
        <f t="shared" si="2"/>
        <v>-4294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19932</v>
      </c>
      <c r="I14" s="2"/>
      <c r="J14" s="22"/>
      <c r="K14" s="2"/>
      <c r="L14" s="2">
        <f t="shared" si="0"/>
        <v>-19932</v>
      </c>
      <c r="M14" s="2"/>
      <c r="N14" s="22">
        <f t="shared" si="1"/>
        <v>-1</v>
      </c>
      <c r="O14" s="11"/>
      <c r="P14" s="2">
        <f t="shared" si="5"/>
        <v>0</v>
      </c>
      <c r="Q14" s="2"/>
      <c r="R14" s="22"/>
      <c r="S14" s="2"/>
      <c r="T14" s="2">
        <v>19932</v>
      </c>
      <c r="U14" s="2"/>
      <c r="V14" s="22"/>
      <c r="W14" s="2"/>
      <c r="X14" s="2">
        <f t="shared" si="2"/>
        <v>-19932</v>
      </c>
      <c r="Y14" s="2"/>
      <c r="Z14" s="22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8140</v>
      </c>
      <c r="I16" s="4"/>
      <c r="J16" s="12">
        <f t="shared" ref="J16:J18" si="7">IF(H$12=0,0,H16/H$12)</f>
        <v>0.33600264178981259</v>
      </c>
      <c r="K16" s="4"/>
      <c r="L16" s="4">
        <f t="shared" ref="L16:L18" si="8">+D16-H16</f>
        <v>-8140</v>
      </c>
      <c r="M16" s="4"/>
      <c r="N16" s="12">
        <f t="shared" ref="N16:N18" si="9">IF(H16=0,0,L16/H16)</f>
        <v>-1</v>
      </c>
      <c r="O16" s="10"/>
      <c r="P16" s="4">
        <f>SUM(OSRRefP16x_0)</f>
        <v>-688.96</v>
      </c>
      <c r="Q16" s="4"/>
      <c r="R16" s="12">
        <f t="shared" ref="R16:R18" si="10">IF(P$12=0,0,P16/P$12)</f>
        <v>0</v>
      </c>
      <c r="S16" s="4"/>
      <c r="T16" s="4">
        <f>SUM(OSRRefT16x_0)</f>
        <v>8140</v>
      </c>
      <c r="U16" s="4"/>
      <c r="V16" s="12">
        <f t="shared" ref="V16:V18" si="11">IF(T$12=0,0,T16/T$12)</f>
        <v>0.33600264178981259</v>
      </c>
      <c r="W16" s="4"/>
      <c r="X16" s="4">
        <f t="shared" ref="X16:X18" si="12">+P16-T16</f>
        <v>-8828.9599999999991</v>
      </c>
      <c r="Y16" s="4"/>
      <c r="Z16" s="12">
        <f t="shared" ref="Z16:Z18" si="13">IF(T16=0,0,X16/T16)</f>
        <v>-1.0846388206388204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8140</v>
      </c>
      <c r="I17" s="2"/>
      <c r="J17" s="22">
        <f t="shared" si="7"/>
        <v>0.33600264178981259</v>
      </c>
      <c r="K17" s="2"/>
      <c r="L17" s="2">
        <f t="shared" si="8"/>
        <v>-8140</v>
      </c>
      <c r="M17" s="2"/>
      <c r="N17" s="22">
        <f t="shared" si="9"/>
        <v>-1</v>
      </c>
      <c r="O17" s="11"/>
      <c r="P17" s="2"/>
      <c r="Q17" s="2"/>
      <c r="R17" s="22">
        <f t="shared" si="10"/>
        <v>0</v>
      </c>
      <c r="S17" s="2"/>
      <c r="T17" s="2">
        <v>8140</v>
      </c>
      <c r="U17" s="2"/>
      <c r="V17" s="22">
        <f t="shared" si="11"/>
        <v>0.33600264178981259</v>
      </c>
      <c r="W17" s="2"/>
      <c r="X17" s="2">
        <f t="shared" si="12"/>
        <v>-8140</v>
      </c>
      <c r="Y17" s="2"/>
      <c r="Z17" s="22">
        <f t="shared" si="13"/>
        <v>-1</v>
      </c>
    </row>
    <row r="18" spans="1:26" s="24" customFormat="1" hidden="1" outlineLevel="1" x14ac:dyDescent="0.25">
      <c r="A18" s="51"/>
      <c r="B18" s="11" t="str">
        <f>CONCATENATE("          ", "5053", " - ", "PURCHASES @ COST-FOOD")</f>
        <v xml:space="preserve">          5053 - PURCHASES @ COST-FOOD</v>
      </c>
      <c r="C18" s="11"/>
      <c r="D18" s="2"/>
      <c r="E18" s="2"/>
      <c r="F18" s="22">
        <f t="shared" si="6"/>
        <v>0</v>
      </c>
      <c r="G18" s="2"/>
      <c r="H18" s="2"/>
      <c r="I18" s="2"/>
      <c r="J18" s="22">
        <f t="shared" si="7"/>
        <v>0</v>
      </c>
      <c r="K18" s="2"/>
      <c r="L18" s="2">
        <f t="shared" si="8"/>
        <v>0</v>
      </c>
      <c r="M18" s="2"/>
      <c r="N18" s="22">
        <f t="shared" si="9"/>
        <v>0</v>
      </c>
      <c r="O18" s="11"/>
      <c r="P18" s="2">
        <v>-688.96</v>
      </c>
      <c r="Q18" s="2"/>
      <c r="R18" s="22">
        <f t="shared" si="10"/>
        <v>0</v>
      </c>
      <c r="S18" s="2"/>
      <c r="T18" s="2"/>
      <c r="U18" s="2"/>
      <c r="V18" s="22">
        <f t="shared" si="11"/>
        <v>0</v>
      </c>
      <c r="W18" s="2"/>
      <c r="X18" s="2">
        <f t="shared" si="12"/>
        <v>-688.96</v>
      </c>
      <c r="Y18" s="2"/>
      <c r="Z18" s="22">
        <f t="shared" si="13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0</v>
      </c>
      <c r="E20" s="13"/>
      <c r="F20" s="21">
        <f>IF(D$12=0,0,D20/D$12)</f>
        <v>0</v>
      </c>
      <c r="G20" s="13"/>
      <c r="H20" s="20">
        <f>H12-H16</f>
        <v>16086</v>
      </c>
      <c r="I20" s="13"/>
      <c r="J20" s="21">
        <f>IF(H$12=0,0,H20/H$12)</f>
        <v>0.66399735821018735</v>
      </c>
      <c r="K20" s="16"/>
      <c r="L20" s="20">
        <f>+D20-H20</f>
        <v>-16086</v>
      </c>
      <c r="M20" s="16"/>
      <c r="N20" s="21">
        <f>IF(H20=0,0,L20/H20)</f>
        <v>-1</v>
      </c>
      <c r="O20" s="25"/>
      <c r="P20" s="20">
        <f>P12-P16</f>
        <v>688.96</v>
      </c>
      <c r="Q20" s="13"/>
      <c r="R20" s="21">
        <f>IF(P$12=0,0,P20/P$12)</f>
        <v>0</v>
      </c>
      <c r="S20" s="13"/>
      <c r="T20" s="20">
        <f>T12-T16</f>
        <v>16086</v>
      </c>
      <c r="U20" s="13"/>
      <c r="V20" s="21">
        <f>IF(T$12=0,0,T20/T$12)</f>
        <v>0.66399735821018735</v>
      </c>
      <c r="W20" s="16"/>
      <c r="X20" s="20">
        <f>+P20-T20</f>
        <v>-15397.04</v>
      </c>
      <c r="Y20" s="16"/>
      <c r="Z20" s="21">
        <f>IF(T20=0,0,X20/T20)</f>
        <v>-0.95717021012060177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19">
        <f>SUM(OSRRefD22x_0)</f>
        <v>10652.890000000001</v>
      </c>
      <c r="E22" s="19"/>
      <c r="F22" s="35">
        <f t="shared" ref="F22:F31" si="14">IF(D$12=0,0,D22/D$12)</f>
        <v>0</v>
      </c>
      <c r="G22" s="19"/>
      <c r="H22" s="19">
        <f>SUM(OSRRefH22x_0)</f>
        <v>33222.497239999997</v>
      </c>
      <c r="I22" s="19"/>
      <c r="J22" s="35">
        <f t="shared" ref="J22:J31" si="15">IF(H$12=0,0,H22/H$12)</f>
        <v>1.3713571055890363</v>
      </c>
      <c r="K22" s="4"/>
      <c r="L22" s="19">
        <f t="shared" ref="L22:L31" si="16">+D22-H22</f>
        <v>-22569.607239999998</v>
      </c>
      <c r="M22" s="4"/>
      <c r="N22" s="35">
        <f t="shared" ref="N22:N31" si="17">IF(H22=0,0,L22/H22)</f>
        <v>-0.67934710256597197</v>
      </c>
      <c r="O22" s="10"/>
      <c r="P22" s="19">
        <f>SUM(OSRRefP22x_0)</f>
        <v>35076.020000000004</v>
      </c>
      <c r="Q22" s="19"/>
      <c r="R22" s="35">
        <f t="shared" ref="R22:R31" si="18">IF(P$12=0,0,P22/P$12)</f>
        <v>0</v>
      </c>
      <c r="S22" s="19"/>
      <c r="T22" s="19">
        <f>SUM(OSRRefT22x_0)</f>
        <v>77060.394159999996</v>
      </c>
      <c r="U22" s="19"/>
      <c r="V22" s="35">
        <f t="shared" ref="V22:V31" si="19">IF(T$12=0,0,T22/T$12)</f>
        <v>3.18089631635433</v>
      </c>
      <c r="W22" s="4"/>
      <c r="X22" s="19">
        <f t="shared" ref="X22:X31" si="20">+P22-T22</f>
        <v>-41984.374159999992</v>
      </c>
      <c r="Y22" s="4"/>
      <c r="Z22" s="35">
        <f t="shared" ref="Z22:Z31" si="21">IF(T22=0,0,X22/T22)</f>
        <v>-0.54482428512924697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3419.5092399999999</v>
      </c>
      <c r="I23" s="1"/>
      <c r="J23" s="5">
        <f t="shared" si="15"/>
        <v>0.14115038553620077</v>
      </c>
      <c r="K23" s="1"/>
      <c r="L23" s="1">
        <f t="shared" si="16"/>
        <v>-3419.5092399999999</v>
      </c>
      <c r="M23" s="1"/>
      <c r="N23" s="5">
        <f t="shared" si="17"/>
        <v>-1</v>
      </c>
      <c r="O23" s="14"/>
      <c r="P23" s="1">
        <f>SUM(OSRRefP22_0x_0)</f>
        <v>2889.72</v>
      </c>
      <c r="Q23" s="1"/>
      <c r="R23" s="5">
        <f t="shared" si="18"/>
        <v>0</v>
      </c>
      <c r="S23" s="1"/>
      <c r="T23" s="1">
        <f>SUM(OSRRefT22_0x_0)</f>
        <v>10220.462159999999</v>
      </c>
      <c r="U23" s="1"/>
      <c r="V23" s="5">
        <f t="shared" si="19"/>
        <v>0.42187988772393292</v>
      </c>
      <c r="W23" s="1"/>
      <c r="X23" s="1">
        <f t="shared" si="20"/>
        <v>-7330.7421599999998</v>
      </c>
      <c r="Y23" s="1"/>
      <c r="Z23" s="5">
        <f t="shared" si="21"/>
        <v>-0.71726131805374249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4"/>
        <v>0</v>
      </c>
      <c r="G24" s="2"/>
      <c r="H24" s="6">
        <v>318.3648</v>
      </c>
      <c r="I24" s="2"/>
      <c r="J24" s="7">
        <f t="shared" si="15"/>
        <v>1.3141451333278296E-2</v>
      </c>
      <c r="K24" s="2"/>
      <c r="L24" s="6">
        <f t="shared" si="16"/>
        <v>-318.3648</v>
      </c>
      <c r="M24" s="2"/>
      <c r="N24" s="7">
        <f t="shared" si="17"/>
        <v>-1</v>
      </c>
      <c r="O24" s="11"/>
      <c r="P24" s="6">
        <v>159.12</v>
      </c>
      <c r="Q24" s="2"/>
      <c r="R24" s="7">
        <f t="shared" si="18"/>
        <v>0</v>
      </c>
      <c r="S24" s="2"/>
      <c r="T24" s="6">
        <v>1094.3789999999999</v>
      </c>
      <c r="U24" s="2"/>
      <c r="V24" s="7">
        <f t="shared" si="19"/>
        <v>4.5173738958144138E-2</v>
      </c>
      <c r="W24" s="2"/>
      <c r="X24" s="6">
        <f t="shared" si="20"/>
        <v>-935.2589999999999</v>
      </c>
      <c r="Y24" s="2"/>
      <c r="Z24" s="7">
        <f t="shared" si="21"/>
        <v>-0.85460247318342186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4"/>
        <v>0</v>
      </c>
      <c r="G25" s="2"/>
      <c r="H25" s="6">
        <v>170.94739999999999</v>
      </c>
      <c r="I25" s="2"/>
      <c r="J25" s="7">
        <f t="shared" si="15"/>
        <v>7.0563609345331455E-3</v>
      </c>
      <c r="K25" s="2"/>
      <c r="L25" s="6">
        <f t="shared" si="16"/>
        <v>-170.94739999999999</v>
      </c>
      <c r="M25" s="2"/>
      <c r="N25" s="7">
        <f t="shared" si="17"/>
        <v>-1</v>
      </c>
      <c r="O25" s="11"/>
      <c r="P25" s="6"/>
      <c r="Q25" s="2"/>
      <c r="R25" s="7">
        <f t="shared" si="18"/>
        <v>0</v>
      </c>
      <c r="S25" s="2"/>
      <c r="T25" s="6">
        <v>389.89859999999999</v>
      </c>
      <c r="U25" s="2"/>
      <c r="V25" s="7">
        <f t="shared" si="19"/>
        <v>1.6094221084784942E-2</v>
      </c>
      <c r="W25" s="2"/>
      <c r="X25" s="6">
        <f t="shared" si="20"/>
        <v>-389.89859999999999</v>
      </c>
      <c r="Y25" s="2"/>
      <c r="Z25" s="7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>
        <v>1980</v>
      </c>
      <c r="I26" s="2"/>
      <c r="J26" s="7">
        <f t="shared" si="15"/>
        <v>8.1730372327251707E-2</v>
      </c>
      <c r="K26" s="2"/>
      <c r="L26" s="6">
        <f t="shared" si="16"/>
        <v>-1980</v>
      </c>
      <c r="M26" s="2"/>
      <c r="N26" s="7">
        <f t="shared" si="17"/>
        <v>-1</v>
      </c>
      <c r="O26" s="11"/>
      <c r="P26" s="6">
        <v>1915.63</v>
      </c>
      <c r="Q26" s="2"/>
      <c r="R26" s="7">
        <f t="shared" si="18"/>
        <v>0</v>
      </c>
      <c r="S26" s="2"/>
      <c r="T26" s="6">
        <v>5940</v>
      </c>
      <c r="U26" s="2"/>
      <c r="V26" s="7">
        <f t="shared" si="19"/>
        <v>0.24519111698175514</v>
      </c>
      <c r="W26" s="2"/>
      <c r="X26" s="6">
        <f t="shared" si="20"/>
        <v>-4024.37</v>
      </c>
      <c r="Y26" s="2"/>
      <c r="Z26" s="7">
        <f t="shared" si="21"/>
        <v>-0.677503367003367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4"/>
        <v>0</v>
      </c>
      <c r="G27" s="2"/>
      <c r="H27" s="6">
        <v>24.025040000000001</v>
      </c>
      <c r="I27" s="2"/>
      <c r="J27" s="7">
        <f t="shared" si="15"/>
        <v>9.9170477998844226E-4</v>
      </c>
      <c r="K27" s="2"/>
      <c r="L27" s="6">
        <f t="shared" si="16"/>
        <v>-24.025040000000001</v>
      </c>
      <c r="M27" s="2"/>
      <c r="N27" s="7">
        <f t="shared" si="17"/>
        <v>-1</v>
      </c>
      <c r="O27" s="11"/>
      <c r="P27" s="6"/>
      <c r="Q27" s="2"/>
      <c r="R27" s="7">
        <f t="shared" si="18"/>
        <v>0</v>
      </c>
      <c r="S27" s="2"/>
      <c r="T27" s="6">
        <v>54.796559999999999</v>
      </c>
      <c r="U27" s="2"/>
      <c r="V27" s="7">
        <f t="shared" si="19"/>
        <v>2.2618905308346405E-3</v>
      </c>
      <c r="W27" s="2"/>
      <c r="X27" s="6">
        <f t="shared" si="20"/>
        <v>-54.796559999999999</v>
      </c>
      <c r="Y27" s="2"/>
      <c r="Z27" s="7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>
        <v>357.76</v>
      </c>
      <c r="I28" s="2"/>
      <c r="J28" s="7">
        <f t="shared" si="15"/>
        <v>1.4767605052423017E-2</v>
      </c>
      <c r="K28" s="2"/>
      <c r="L28" s="6">
        <f t="shared" si="16"/>
        <v>-357.76</v>
      </c>
      <c r="M28" s="2"/>
      <c r="N28" s="7">
        <f t="shared" si="17"/>
        <v>-1</v>
      </c>
      <c r="O28" s="11"/>
      <c r="P28" s="6">
        <v>458.89</v>
      </c>
      <c r="Q28" s="2"/>
      <c r="R28" s="7">
        <f t="shared" si="18"/>
        <v>0</v>
      </c>
      <c r="S28" s="2"/>
      <c r="T28" s="6">
        <v>1162.72</v>
      </c>
      <c r="U28" s="2"/>
      <c r="V28" s="7">
        <f t="shared" si="19"/>
        <v>4.7994716420374804E-2</v>
      </c>
      <c r="W28" s="2"/>
      <c r="X28" s="6">
        <f t="shared" si="20"/>
        <v>-703.83</v>
      </c>
      <c r="Y28" s="2"/>
      <c r="Z28" s="7">
        <f t="shared" si="21"/>
        <v>-0.60533060410072936</v>
      </c>
    </row>
    <row r="29" spans="1:26" s="24" customFormat="1" hidden="1" outlineLevel="2" x14ac:dyDescent="0.25">
      <c r="A29" s="29"/>
      <c r="B29" s="11" t="str">
        <f>CONCATENATE("          ", "6116", " - ", "EDUCATIONAL BENEFITS")</f>
        <v xml:space="preserve">          6116 - EDUCATIONAL BENEFITS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25">
      <c r="A30" s="29"/>
      <c r="B30" s="11" t="str">
        <f>CONCATENATE("          ", "6118", " - ", "VACATION")</f>
        <v xml:space="preserve">          6118 - VACATION</v>
      </c>
      <c r="C30" s="11"/>
      <c r="D30" s="6"/>
      <c r="E30" s="2"/>
      <c r="F30" s="7">
        <f t="shared" si="14"/>
        <v>0</v>
      </c>
      <c r="G30" s="2"/>
      <c r="H30" s="6">
        <v>208</v>
      </c>
      <c r="I30" s="2"/>
      <c r="J30" s="7">
        <f t="shared" si="15"/>
        <v>8.5858168909436136E-3</v>
      </c>
      <c r="K30" s="2"/>
      <c r="L30" s="6">
        <f t="shared" si="16"/>
        <v>-208</v>
      </c>
      <c r="M30" s="2"/>
      <c r="N30" s="7">
        <f t="shared" si="17"/>
        <v>-1</v>
      </c>
      <c r="O30" s="11"/>
      <c r="P30" s="6">
        <v>152.1</v>
      </c>
      <c r="Q30" s="2"/>
      <c r="R30" s="7">
        <f t="shared" si="18"/>
        <v>0</v>
      </c>
      <c r="S30" s="2"/>
      <c r="T30" s="6">
        <v>676</v>
      </c>
      <c r="U30" s="2"/>
      <c r="V30" s="7">
        <f t="shared" si="19"/>
        <v>2.7903904895566746E-2</v>
      </c>
      <c r="W30" s="2"/>
      <c r="X30" s="6">
        <f t="shared" si="20"/>
        <v>-523.9</v>
      </c>
      <c r="Y30" s="2"/>
      <c r="Z30" s="7">
        <f t="shared" si="21"/>
        <v>-0.77499999999999991</v>
      </c>
    </row>
    <row r="31" spans="1:26" s="24" customFormat="1" hidden="1" outlineLevel="2" x14ac:dyDescent="0.25">
      <c r="A31" s="29"/>
      <c r="B31" s="11" t="str">
        <f>CONCATENATE("          ", "6119", " - ", "SICK LEAVE")</f>
        <v xml:space="preserve">          6119 - SICK LEAVE</v>
      </c>
      <c r="C31" s="11"/>
      <c r="D31" s="6"/>
      <c r="E31" s="2"/>
      <c r="F31" s="7">
        <f t="shared" si="14"/>
        <v>0</v>
      </c>
      <c r="G31" s="2"/>
      <c r="H31" s="6">
        <v>360.41199999999998</v>
      </c>
      <c r="I31" s="2"/>
      <c r="J31" s="7">
        <f t="shared" si="15"/>
        <v>1.4877074217782546E-2</v>
      </c>
      <c r="K31" s="2"/>
      <c r="L31" s="6">
        <f t="shared" si="16"/>
        <v>-360.41199999999998</v>
      </c>
      <c r="M31" s="2"/>
      <c r="N31" s="7">
        <f t="shared" si="17"/>
        <v>-1</v>
      </c>
      <c r="O31" s="11"/>
      <c r="P31" s="6">
        <v>203.98</v>
      </c>
      <c r="Q31" s="2"/>
      <c r="R31" s="7">
        <f t="shared" si="18"/>
        <v>0</v>
      </c>
      <c r="S31" s="2"/>
      <c r="T31" s="6">
        <v>902.66800000000001</v>
      </c>
      <c r="U31" s="2"/>
      <c r="V31" s="7">
        <f t="shared" si="19"/>
        <v>3.7260298852472548E-2</v>
      </c>
      <c r="W31" s="2"/>
      <c r="X31" s="6">
        <f t="shared" si="20"/>
        <v>-698.68799999999999</v>
      </c>
      <c r="Y31" s="2"/>
      <c r="Z31" s="7">
        <f t="shared" si="21"/>
        <v>-0.77402544457098288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8671.9879999999994</v>
      </c>
      <c r="I32" s="1"/>
      <c r="J32" s="5">
        <f t="shared" ref="J32:J42" si="23">IF(H$12=0,0,H32/H$12)</f>
        <v>0.35796202427144386</v>
      </c>
      <c r="K32" s="1"/>
      <c r="L32" s="1">
        <f t="shared" ref="L32:L42" si="24">+D32-H32</f>
        <v>-8671.9879999999994</v>
      </c>
      <c r="M32" s="1"/>
      <c r="N32" s="5">
        <f t="shared" ref="N32:N42" si="25">IF(H32=0,0,L32/H32)</f>
        <v>-1</v>
      </c>
      <c r="O32" s="14"/>
      <c r="P32" s="1">
        <f>SUM(OSRRefP22_1x_0)</f>
        <v>884</v>
      </c>
      <c r="Q32" s="1"/>
      <c r="R32" s="5">
        <f t="shared" ref="R32:R42" si="26">IF(P$12=0,0,P32/P$12)</f>
        <v>0</v>
      </c>
      <c r="S32" s="1"/>
      <c r="T32" s="1">
        <f>SUM(OSRRefT22_1x_0)</f>
        <v>19496.932000000001</v>
      </c>
      <c r="U32" s="1"/>
      <c r="V32" s="5">
        <f t="shared" ref="V32:V42" si="27">IF(T$12=0,0,T32/T$12)</f>
        <v>0.80479369272682244</v>
      </c>
      <c r="W32" s="1"/>
      <c r="X32" s="1">
        <f t="shared" ref="X32:X42" si="28">+P32-T32</f>
        <v>-18612.932000000001</v>
      </c>
      <c r="Y32" s="1"/>
      <c r="Z32" s="5">
        <f t="shared" ref="Z32:Z42" si="29">IF(T32=0,0,X32/T32)</f>
        <v>-0.95465953309987439</v>
      </c>
    </row>
    <row r="33" spans="1:26" s="24" customFormat="1" hidden="1" outlineLevel="2" x14ac:dyDescent="0.25">
      <c r="A33" s="29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0</v>
      </c>
      <c r="Y33" s="2"/>
      <c r="Z33" s="7">
        <f t="shared" si="29"/>
        <v>0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2"/>
        <v>0</v>
      </c>
      <c r="G34" s="2"/>
      <c r="H34" s="6">
        <v>3744</v>
      </c>
      <c r="I34" s="2"/>
      <c r="J34" s="7">
        <f t="shared" si="23"/>
        <v>0.15454470403698506</v>
      </c>
      <c r="K34" s="2"/>
      <c r="L34" s="6">
        <f t="shared" si="24"/>
        <v>-3744</v>
      </c>
      <c r="M34" s="2"/>
      <c r="N34" s="7">
        <f t="shared" si="25"/>
        <v>-1</v>
      </c>
      <c r="O34" s="11"/>
      <c r="P34" s="6">
        <v>884</v>
      </c>
      <c r="Q34" s="2"/>
      <c r="R34" s="7">
        <f t="shared" si="26"/>
        <v>0</v>
      </c>
      <c r="S34" s="2"/>
      <c r="T34" s="6">
        <v>12168</v>
      </c>
      <c r="U34" s="2"/>
      <c r="V34" s="7">
        <f t="shared" si="27"/>
        <v>0.50227028812020147</v>
      </c>
      <c r="W34" s="2"/>
      <c r="X34" s="6">
        <f t="shared" si="28"/>
        <v>-11284</v>
      </c>
      <c r="Y34" s="2"/>
      <c r="Z34" s="7">
        <f t="shared" si="29"/>
        <v>-0.92735042735042739</v>
      </c>
    </row>
    <row r="35" spans="1:26" s="24" customFormat="1" hidden="1" outlineLevel="2" x14ac:dyDescent="0.25">
      <c r="A35" s="29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1725.048</v>
      </c>
      <c r="I37" s="2"/>
      <c r="J37" s="7">
        <f t="shared" si="23"/>
        <v>7.1206472385040867E-2</v>
      </c>
      <c r="K37" s="2"/>
      <c r="L37" s="6">
        <f t="shared" si="24"/>
        <v>-1725.048</v>
      </c>
      <c r="M37" s="2"/>
      <c r="N37" s="7">
        <f t="shared" si="25"/>
        <v>-1</v>
      </c>
      <c r="O37" s="11"/>
      <c r="P37" s="6"/>
      <c r="Q37" s="2"/>
      <c r="R37" s="7">
        <f t="shared" si="26"/>
        <v>0</v>
      </c>
      <c r="S37" s="2"/>
      <c r="T37" s="6">
        <v>2587.5720000000001</v>
      </c>
      <c r="U37" s="2"/>
      <c r="V37" s="7">
        <f t="shared" si="27"/>
        <v>0.10680970857756131</v>
      </c>
      <c r="W37" s="2"/>
      <c r="X37" s="6">
        <f t="shared" si="28"/>
        <v>-2587.5720000000001</v>
      </c>
      <c r="Y37" s="2"/>
      <c r="Z37" s="7">
        <f t="shared" si="29"/>
        <v>-1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756.6</v>
      </c>
      <c r="U39" s="2"/>
      <c r="V39" s="7">
        <f t="shared" si="27"/>
        <v>3.1230908940807399E-2</v>
      </c>
      <c r="W39" s="2"/>
      <c r="X39" s="6">
        <f t="shared" si="28"/>
        <v>-756.6</v>
      </c>
      <c r="Y39" s="2"/>
      <c r="Z39" s="7">
        <f t="shared" si="29"/>
        <v>-1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3202.94</v>
      </c>
      <c r="I40" s="2"/>
      <c r="J40" s="7">
        <f t="shared" si="23"/>
        <v>0.13221084784941797</v>
      </c>
      <c r="K40" s="2"/>
      <c r="L40" s="6">
        <f t="shared" si="24"/>
        <v>-3202.94</v>
      </c>
      <c r="M40" s="2"/>
      <c r="N40" s="7">
        <f t="shared" si="25"/>
        <v>-1</v>
      </c>
      <c r="O40" s="11"/>
      <c r="P40" s="6"/>
      <c r="Q40" s="2"/>
      <c r="R40" s="7">
        <f t="shared" si="26"/>
        <v>0</v>
      </c>
      <c r="S40" s="2"/>
      <c r="T40" s="6">
        <v>3984.76</v>
      </c>
      <c r="U40" s="2"/>
      <c r="V40" s="7">
        <f t="shared" si="27"/>
        <v>0.16448278708825231</v>
      </c>
      <c r="W40" s="2"/>
      <c r="X40" s="6">
        <f t="shared" si="28"/>
        <v>-3984.76</v>
      </c>
      <c r="Y40" s="2"/>
      <c r="Z40" s="7">
        <f t="shared" si="29"/>
        <v>-1</v>
      </c>
    </row>
    <row r="41" spans="1:26" s="24" customFormat="1" hidden="1" outlineLevel="2" x14ac:dyDescent="0.25">
      <c r="A41" s="29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25">
      <c r="A42" s="29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8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1" si="30">IF(D$12=0,0,D43/D$12)</f>
        <v>0</v>
      </c>
      <c r="G43" s="1"/>
      <c r="H43" s="1">
        <f>SUM(OSRRefH22_2x_0)</f>
        <v>0</v>
      </c>
      <c r="I43" s="1"/>
      <c r="J43" s="5">
        <f t="shared" ref="J43:J51" si="31">IF(H$12=0,0,H43/H$12)</f>
        <v>0</v>
      </c>
      <c r="K43" s="1"/>
      <c r="L43" s="1">
        <f t="shared" ref="L43:L51" si="32">+D43-H43</f>
        <v>0</v>
      </c>
      <c r="M43" s="1"/>
      <c r="N43" s="5">
        <f t="shared" ref="N43:N51" si="33">IF(H43=0,0,L43/H43)</f>
        <v>0</v>
      </c>
      <c r="O43" s="14"/>
      <c r="P43" s="1">
        <f>SUM(OSRRefP22_2x_0)</f>
        <v>0</v>
      </c>
      <c r="Q43" s="1"/>
      <c r="R43" s="5">
        <f t="shared" ref="R43:R51" si="34">IF(P$12=0,0,P43/P$12)</f>
        <v>0</v>
      </c>
      <c r="S43" s="1"/>
      <c r="T43" s="1">
        <f>SUM(OSRRefT22_2x_0)</f>
        <v>80</v>
      </c>
      <c r="U43" s="1"/>
      <c r="V43" s="5">
        <f t="shared" ref="V43:V51" si="35">IF(T$12=0,0,T43/T$12)</f>
        <v>3.3022372657475442E-3</v>
      </c>
      <c r="W43" s="1"/>
      <c r="X43" s="1">
        <f t="shared" ref="X43:X51" si="36">+P43-T43</f>
        <v>-80</v>
      </c>
      <c r="Y43" s="1"/>
      <c r="Z43" s="5">
        <f t="shared" ref="Z43:Z51" si="37">IF(T43=0,0,X43/T43)</f>
        <v>-1</v>
      </c>
    </row>
    <row r="44" spans="1:26" s="24" customFormat="1" hidden="1" outlineLevel="2" x14ac:dyDescent="0.25">
      <c r="A44" s="29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30"/>
        <v>0</v>
      </c>
      <c r="G44" s="2"/>
      <c r="H44" s="6"/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/>
      <c r="Q44" s="2"/>
      <c r="R44" s="7">
        <f t="shared" si="34"/>
        <v>0</v>
      </c>
      <c r="S44" s="2"/>
      <c r="T44" s="6">
        <v>80</v>
      </c>
      <c r="U44" s="2"/>
      <c r="V44" s="7">
        <f t="shared" si="35"/>
        <v>3.3022372657475442E-3</v>
      </c>
      <c r="W44" s="2"/>
      <c r="X44" s="6">
        <f t="shared" si="36"/>
        <v>-80</v>
      </c>
      <c r="Y44" s="2"/>
      <c r="Z44" s="7">
        <f t="shared" si="37"/>
        <v>-1</v>
      </c>
    </row>
    <row r="45" spans="1:26" s="28" customFormat="1" outlineLevel="1" collapsed="1" x14ac:dyDescent="0.25">
      <c r="A45" s="27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8</v>
      </c>
      <c r="I45" s="1"/>
      <c r="J45" s="5">
        <f t="shared" si="31"/>
        <v>3.3022372657475439E-4</v>
      </c>
      <c r="K45" s="1"/>
      <c r="L45" s="1">
        <f t="shared" si="32"/>
        <v>-8</v>
      </c>
      <c r="M45" s="1"/>
      <c r="N45" s="5">
        <f t="shared" si="33"/>
        <v>-1</v>
      </c>
      <c r="O45" s="14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23</v>
      </c>
      <c r="U45" s="1"/>
      <c r="V45" s="5">
        <f t="shared" si="35"/>
        <v>9.4939321390241887E-4</v>
      </c>
      <c r="W45" s="1"/>
      <c r="X45" s="1">
        <f t="shared" si="36"/>
        <v>-23</v>
      </c>
      <c r="Y45" s="1"/>
      <c r="Z45" s="5">
        <f t="shared" si="37"/>
        <v>-1</v>
      </c>
    </row>
    <row r="46" spans="1:26" s="24" customFormat="1" hidden="1" outlineLevel="2" x14ac:dyDescent="0.25">
      <c r="A46" s="29"/>
      <c r="B46" s="11" t="str">
        <f>CONCATENATE("          ", "6272", " - ", "CASH (OVER/SHORT)")</f>
        <v xml:space="preserve">          6272 - CASH (OVER/SHORT)</v>
      </c>
      <c r="C46" s="11"/>
      <c r="D46" s="6"/>
      <c r="E46" s="2"/>
      <c r="F46" s="7">
        <f t="shared" si="30"/>
        <v>0</v>
      </c>
      <c r="G46" s="2"/>
      <c r="H46" s="6">
        <v>8</v>
      </c>
      <c r="I46" s="2"/>
      <c r="J46" s="7">
        <f t="shared" si="31"/>
        <v>3.3022372657475439E-4</v>
      </c>
      <c r="K46" s="2"/>
      <c r="L46" s="6">
        <f t="shared" si="32"/>
        <v>-8</v>
      </c>
      <c r="M46" s="2"/>
      <c r="N46" s="7">
        <f t="shared" si="33"/>
        <v>-1</v>
      </c>
      <c r="O46" s="11"/>
      <c r="P46" s="6"/>
      <c r="Q46" s="2"/>
      <c r="R46" s="7">
        <f t="shared" si="34"/>
        <v>0</v>
      </c>
      <c r="S46" s="2"/>
      <c r="T46" s="6">
        <v>23</v>
      </c>
      <c r="U46" s="2"/>
      <c r="V46" s="7">
        <f t="shared" si="35"/>
        <v>9.4939321390241887E-4</v>
      </c>
      <c r="W46" s="2"/>
      <c r="X46" s="6">
        <f t="shared" si="36"/>
        <v>-23</v>
      </c>
      <c r="Y46" s="2"/>
      <c r="Z46" s="7">
        <f t="shared" si="37"/>
        <v>-1</v>
      </c>
    </row>
    <row r="47" spans="1:26" s="28" customFormat="1" outlineLevel="1" collapsed="1" x14ac:dyDescent="0.25">
      <c r="A47" s="27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3523</v>
      </c>
      <c r="I47" s="1"/>
      <c r="J47" s="5">
        <f t="shared" si="31"/>
        <v>0.14542227359035748</v>
      </c>
      <c r="K47" s="1"/>
      <c r="L47" s="1">
        <f t="shared" si="32"/>
        <v>-3523</v>
      </c>
      <c r="M47" s="1"/>
      <c r="N47" s="5">
        <f t="shared" si="33"/>
        <v>-1</v>
      </c>
      <c r="O47" s="14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5006</v>
      </c>
      <c r="U47" s="1"/>
      <c r="V47" s="5">
        <f t="shared" si="35"/>
        <v>0.20663749690415256</v>
      </c>
      <c r="W47" s="1"/>
      <c r="X47" s="1">
        <f t="shared" si="36"/>
        <v>-5006</v>
      </c>
      <c r="Y47" s="1"/>
      <c r="Z47" s="5">
        <f t="shared" si="37"/>
        <v>-1</v>
      </c>
    </row>
    <row r="48" spans="1:26" s="24" customFormat="1" hidden="1" outlineLevel="2" x14ac:dyDescent="0.25">
      <c r="A48" s="29"/>
      <c r="B48" s="11" t="str">
        <f>CONCATENATE("          ", "6381", " - ", "BANK/CREDIT CARD FEES")</f>
        <v xml:space="preserve">          6381 - BANK/CREDIT CARD FEES</v>
      </c>
      <c r="C48" s="11"/>
      <c r="D48" s="6"/>
      <c r="E48" s="2"/>
      <c r="F48" s="7">
        <f t="shared" si="30"/>
        <v>0</v>
      </c>
      <c r="G48" s="2"/>
      <c r="H48" s="6">
        <v>3523</v>
      </c>
      <c r="I48" s="2"/>
      <c r="J48" s="7">
        <f t="shared" si="31"/>
        <v>0.14542227359035748</v>
      </c>
      <c r="K48" s="2"/>
      <c r="L48" s="6">
        <f t="shared" si="32"/>
        <v>-3523</v>
      </c>
      <c r="M48" s="2"/>
      <c r="N48" s="7">
        <f t="shared" si="33"/>
        <v>-1</v>
      </c>
      <c r="O48" s="11"/>
      <c r="P48" s="6"/>
      <c r="Q48" s="2"/>
      <c r="R48" s="7">
        <f t="shared" si="34"/>
        <v>0</v>
      </c>
      <c r="S48" s="2"/>
      <c r="T48" s="6">
        <v>5006</v>
      </c>
      <c r="U48" s="2"/>
      <c r="V48" s="7">
        <f t="shared" si="35"/>
        <v>0.20663749690415256</v>
      </c>
      <c r="W48" s="2"/>
      <c r="X48" s="6">
        <f t="shared" si="36"/>
        <v>-5006</v>
      </c>
      <c r="Y48" s="2"/>
      <c r="Z48" s="7">
        <f t="shared" si="37"/>
        <v>-1</v>
      </c>
    </row>
    <row r="49" spans="1:26" s="28" customFormat="1" outlineLevel="1" collapsed="1" x14ac:dyDescent="0.25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5582.59</v>
      </c>
      <c r="E49" s="1"/>
      <c r="F49" s="5">
        <f t="shared" si="30"/>
        <v>0</v>
      </c>
      <c r="G49" s="1"/>
      <c r="H49" s="1">
        <f>SUM(OSRRefH22_5x_0)</f>
        <v>5583</v>
      </c>
      <c r="I49" s="1"/>
      <c r="J49" s="5">
        <f t="shared" si="31"/>
        <v>0.23045488318335672</v>
      </c>
      <c r="K49" s="1"/>
      <c r="L49" s="1">
        <f t="shared" si="32"/>
        <v>-0.40999999999985448</v>
      </c>
      <c r="M49" s="1"/>
      <c r="N49" s="5">
        <f t="shared" si="33"/>
        <v>-7.3437220132519155E-5</v>
      </c>
      <c r="O49" s="14"/>
      <c r="P49" s="1">
        <f>SUM(OSRRefP22_5x_0)</f>
        <v>16747.77</v>
      </c>
      <c r="Q49" s="1"/>
      <c r="R49" s="5">
        <f t="shared" si="34"/>
        <v>0</v>
      </c>
      <c r="S49" s="1"/>
      <c r="T49" s="1">
        <f>SUM(OSRRefT22_5x_0)</f>
        <v>16749</v>
      </c>
      <c r="U49" s="1"/>
      <c r="V49" s="5">
        <f t="shared" si="35"/>
        <v>0.69136464955007015</v>
      </c>
      <c r="W49" s="1"/>
      <c r="X49" s="1">
        <f t="shared" si="36"/>
        <v>-1.2299999999995634</v>
      </c>
      <c r="Y49" s="1"/>
      <c r="Z49" s="5">
        <f t="shared" si="37"/>
        <v>-7.3437220132519155E-5</v>
      </c>
    </row>
    <row r="50" spans="1:26" s="24" customFormat="1" hidden="1" outlineLevel="2" x14ac:dyDescent="0.25">
      <c r="A50" s="29"/>
      <c r="B50" s="11" t="str">
        <f>CONCATENATE("          ", "6321", " - ", "BUILDING DEPRECIATION")</f>
        <v xml:space="preserve">          6321 - BUILDING DEPRECIATION</v>
      </c>
      <c r="C50" s="11"/>
      <c r="D50" s="6">
        <v>5080.51</v>
      </c>
      <c r="E50" s="2"/>
      <c r="F50" s="7">
        <f t="shared" si="30"/>
        <v>0</v>
      </c>
      <c r="G50" s="2"/>
      <c r="H50" s="6"/>
      <c r="I50" s="2"/>
      <c r="J50" s="7">
        <f t="shared" si="31"/>
        <v>0</v>
      </c>
      <c r="K50" s="2"/>
      <c r="L50" s="6">
        <f t="shared" si="32"/>
        <v>5080.51</v>
      </c>
      <c r="M50" s="2"/>
      <c r="N50" s="7">
        <f t="shared" si="33"/>
        <v>0</v>
      </c>
      <c r="O50" s="11"/>
      <c r="P50" s="6">
        <v>15241.529999999999</v>
      </c>
      <c r="Q50" s="2"/>
      <c r="R50" s="7">
        <f t="shared" si="34"/>
        <v>0</v>
      </c>
      <c r="S50" s="2"/>
      <c r="T50" s="6"/>
      <c r="U50" s="2"/>
      <c r="V50" s="7">
        <f t="shared" si="35"/>
        <v>0</v>
      </c>
      <c r="W50" s="2"/>
      <c r="X50" s="6">
        <f t="shared" si="36"/>
        <v>15241.529999999999</v>
      </c>
      <c r="Y50" s="2"/>
      <c r="Z50" s="7">
        <f t="shared" si="37"/>
        <v>0</v>
      </c>
    </row>
    <row r="51" spans="1:26" s="24" customFormat="1" hidden="1" outlineLevel="2" x14ac:dyDescent="0.25">
      <c r="A51" s="29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502.08</v>
      </c>
      <c r="E51" s="2"/>
      <c r="F51" s="7">
        <f t="shared" si="30"/>
        <v>0</v>
      </c>
      <c r="G51" s="2"/>
      <c r="H51" s="6">
        <v>5583</v>
      </c>
      <c r="I51" s="2"/>
      <c r="J51" s="7">
        <f t="shared" si="31"/>
        <v>0.23045488318335672</v>
      </c>
      <c r="K51" s="2"/>
      <c r="L51" s="6">
        <f t="shared" si="32"/>
        <v>-5080.92</v>
      </c>
      <c r="M51" s="2"/>
      <c r="N51" s="7">
        <f t="shared" si="33"/>
        <v>-0.91006985491671144</v>
      </c>
      <c r="O51" s="11"/>
      <c r="P51" s="6">
        <v>1506.24</v>
      </c>
      <c r="Q51" s="2"/>
      <c r="R51" s="7">
        <f t="shared" si="34"/>
        <v>0</v>
      </c>
      <c r="S51" s="2"/>
      <c r="T51" s="6">
        <v>16749</v>
      </c>
      <c r="U51" s="2"/>
      <c r="V51" s="7">
        <f t="shared" si="35"/>
        <v>0.69136464955007015</v>
      </c>
      <c r="W51" s="2"/>
      <c r="X51" s="6">
        <f t="shared" si="36"/>
        <v>-15242.76</v>
      </c>
      <c r="Y51" s="2"/>
      <c r="Z51" s="7">
        <f t="shared" si="37"/>
        <v>-0.91006985491671144</v>
      </c>
    </row>
    <row r="52" spans="1:26" s="28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SUM(OSRRefD22_6x_0)</f>
        <v>0</v>
      </c>
      <c r="E52" s="1"/>
      <c r="F52" s="5">
        <f t="shared" ref="F52:F62" si="38">IF(D$12=0,0,D52/D$12)</f>
        <v>0</v>
      </c>
      <c r="G52" s="1"/>
      <c r="H52" s="1">
        <f>SUM(OSRRefH22_6x_0)</f>
        <v>0</v>
      </c>
      <c r="I52" s="1"/>
      <c r="J52" s="5">
        <f t="shared" ref="J52:J62" si="39">IF(H$12=0,0,H52/H$12)</f>
        <v>0</v>
      </c>
      <c r="K52" s="1"/>
      <c r="L52" s="1">
        <f t="shared" ref="L52:L62" si="40">+D52-H52</f>
        <v>0</v>
      </c>
      <c r="M52" s="1"/>
      <c r="N52" s="5">
        <f t="shared" ref="N52:N62" si="41">IF(H52=0,0,L52/H52)</f>
        <v>0</v>
      </c>
      <c r="O52" s="14"/>
      <c r="P52" s="1">
        <f>SUM(OSRRefP22_6x_0)</f>
        <v>754.55</v>
      </c>
      <c r="Q52" s="1"/>
      <c r="R52" s="5">
        <f t="shared" ref="R52:R62" si="42">IF(P$12=0,0,P52/P$12)</f>
        <v>0</v>
      </c>
      <c r="S52" s="1"/>
      <c r="T52" s="1">
        <f>SUM(OSRRefT22_6x_0)</f>
        <v>800</v>
      </c>
      <c r="U52" s="1"/>
      <c r="V52" s="5">
        <f t="shared" ref="V52:V62" si="43">IF(T$12=0,0,T52/T$12)</f>
        <v>3.3022372657475436E-2</v>
      </c>
      <c r="W52" s="1"/>
      <c r="X52" s="1">
        <f t="shared" ref="X52:X62" si="44">+P52-T52</f>
        <v>-45.450000000000045</v>
      </c>
      <c r="Y52" s="1"/>
      <c r="Z52" s="5">
        <f t="shared" ref="Z52:Z62" si="45">IF(T52=0,0,X52/T52)</f>
        <v>-5.6812500000000057E-2</v>
      </c>
    </row>
    <row r="53" spans="1:26" s="24" customFormat="1" hidden="1" outlineLevel="2" x14ac:dyDescent="0.25">
      <c r="A53" s="29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1"/>
      <c r="P53" s="6">
        <v>754.55</v>
      </c>
      <c r="Q53" s="2"/>
      <c r="R53" s="7">
        <f t="shared" si="42"/>
        <v>0</v>
      </c>
      <c r="S53" s="2"/>
      <c r="T53" s="6">
        <v>800</v>
      </c>
      <c r="U53" s="2"/>
      <c r="V53" s="7">
        <f t="shared" si="43"/>
        <v>3.3022372657475436E-2</v>
      </c>
      <c r="W53" s="2"/>
      <c r="X53" s="6">
        <f t="shared" si="44"/>
        <v>-45.450000000000045</v>
      </c>
      <c r="Y53" s="2"/>
      <c r="Z53" s="7">
        <f t="shared" si="45"/>
        <v>-5.6812500000000057E-2</v>
      </c>
    </row>
    <row r="54" spans="1:26" s="28" customFormat="1" outlineLevel="1" collapsed="1" x14ac:dyDescent="0.25">
      <c r="A54" s="27"/>
      <c r="B54" s="14" t="str">
        <f>CONCATENATE("     ","Insurance                                         ")</f>
        <v xml:space="preserve">     Insurance                                         </v>
      </c>
      <c r="C54" s="14"/>
      <c r="D54" s="1">
        <f>SUM(OSRRefD22_7x_0)</f>
        <v>243.54</v>
      </c>
      <c r="E54" s="1"/>
      <c r="F54" s="5">
        <f t="shared" si="38"/>
        <v>0</v>
      </c>
      <c r="G54" s="1"/>
      <c r="H54" s="1">
        <f>SUM(OSRRefH22_7x_0)</f>
        <v>270</v>
      </c>
      <c r="I54" s="1"/>
      <c r="J54" s="5">
        <f t="shared" si="39"/>
        <v>1.1145050771897961E-2</v>
      </c>
      <c r="K54" s="1"/>
      <c r="L54" s="1">
        <f t="shared" si="40"/>
        <v>-26.460000000000008</v>
      </c>
      <c r="M54" s="1"/>
      <c r="N54" s="5">
        <f t="shared" si="41"/>
        <v>-9.8000000000000032E-2</v>
      </c>
      <c r="O54" s="14"/>
      <c r="P54" s="1">
        <f>SUM(OSRRefP22_7x_0)</f>
        <v>730.62</v>
      </c>
      <c r="Q54" s="1"/>
      <c r="R54" s="5">
        <f t="shared" si="42"/>
        <v>0</v>
      </c>
      <c r="S54" s="1"/>
      <c r="T54" s="1">
        <f>SUM(OSRRefT22_7x_0)</f>
        <v>810</v>
      </c>
      <c r="U54" s="1"/>
      <c r="V54" s="5">
        <f t="shared" si="43"/>
        <v>3.3435152315693883E-2</v>
      </c>
      <c r="W54" s="1"/>
      <c r="X54" s="1">
        <f t="shared" si="44"/>
        <v>-79.38</v>
      </c>
      <c r="Y54" s="1"/>
      <c r="Z54" s="5">
        <f t="shared" si="45"/>
        <v>-9.799999999999999E-2</v>
      </c>
    </row>
    <row r="55" spans="1:26" s="24" customFormat="1" hidden="1" outlineLevel="2" x14ac:dyDescent="0.25">
      <c r="A55" s="29"/>
      <c r="B55" s="11" t="str">
        <f>CONCATENATE("          ", "6314", " - ", "LIABILITY INSURANCE")</f>
        <v xml:space="preserve">          6314 - LIABILITY INSURANCE</v>
      </c>
      <c r="C55" s="11"/>
      <c r="D55" s="6">
        <v>243.54</v>
      </c>
      <c r="E55" s="2"/>
      <c r="F55" s="7">
        <f t="shared" si="38"/>
        <v>0</v>
      </c>
      <c r="G55" s="2"/>
      <c r="H55" s="6">
        <v>270</v>
      </c>
      <c r="I55" s="2"/>
      <c r="J55" s="7">
        <f t="shared" si="39"/>
        <v>1.1145050771897961E-2</v>
      </c>
      <c r="K55" s="2"/>
      <c r="L55" s="6">
        <f t="shared" si="40"/>
        <v>-26.460000000000008</v>
      </c>
      <c r="M55" s="2"/>
      <c r="N55" s="7">
        <f t="shared" si="41"/>
        <v>-9.8000000000000032E-2</v>
      </c>
      <c r="O55" s="11"/>
      <c r="P55" s="6">
        <v>730.62</v>
      </c>
      <c r="Q55" s="2"/>
      <c r="R55" s="7">
        <f t="shared" si="42"/>
        <v>0</v>
      </c>
      <c r="S55" s="2"/>
      <c r="T55" s="6">
        <v>810</v>
      </c>
      <c r="U55" s="2"/>
      <c r="V55" s="7">
        <f t="shared" si="43"/>
        <v>3.3435152315693883E-2</v>
      </c>
      <c r="W55" s="2"/>
      <c r="X55" s="6">
        <f t="shared" si="44"/>
        <v>-79.38</v>
      </c>
      <c r="Y55" s="2"/>
      <c r="Z55" s="7">
        <f t="shared" si="45"/>
        <v>-9.799999999999999E-2</v>
      </c>
    </row>
    <row r="56" spans="1:26" s="28" customFormat="1" outlineLevel="1" collapsed="1" x14ac:dyDescent="0.25">
      <c r="A56" s="27"/>
      <c r="B56" s="14" t="str">
        <f>CONCATENATE("     ","Interest                                          ")</f>
        <v xml:space="preserve">     Interest                                          </v>
      </c>
      <c r="C56" s="14"/>
      <c r="D56" s="1">
        <f>SUM(OSRRefD22_8x_0)</f>
        <v>4044</v>
      </c>
      <c r="E56" s="1"/>
      <c r="F56" s="5">
        <f t="shared" si="38"/>
        <v>0</v>
      </c>
      <c r="G56" s="1"/>
      <c r="H56" s="1">
        <f>SUM(OSRRefH22_8x_0)</f>
        <v>4044</v>
      </c>
      <c r="I56" s="1"/>
      <c r="J56" s="5">
        <f t="shared" si="39"/>
        <v>0.16692809378353834</v>
      </c>
      <c r="K56" s="1"/>
      <c r="L56" s="1">
        <f t="shared" si="40"/>
        <v>0</v>
      </c>
      <c r="M56" s="1"/>
      <c r="N56" s="5">
        <f t="shared" si="41"/>
        <v>0</v>
      </c>
      <c r="O56" s="14"/>
      <c r="P56" s="1">
        <f>SUM(OSRRefP22_8x_0)</f>
        <v>12132</v>
      </c>
      <c r="Q56" s="1"/>
      <c r="R56" s="5">
        <f t="shared" si="42"/>
        <v>0</v>
      </c>
      <c r="S56" s="1"/>
      <c r="T56" s="1">
        <f>SUM(OSRRefT22_8x_0)</f>
        <v>12132</v>
      </c>
      <c r="U56" s="1"/>
      <c r="V56" s="5">
        <f t="shared" si="43"/>
        <v>0.50078428135061503</v>
      </c>
      <c r="W56" s="1"/>
      <c r="X56" s="1">
        <f t="shared" si="44"/>
        <v>0</v>
      </c>
      <c r="Y56" s="1"/>
      <c r="Z56" s="5">
        <f t="shared" si="45"/>
        <v>0</v>
      </c>
    </row>
    <row r="57" spans="1:26" s="24" customFormat="1" hidden="1" outlineLevel="2" x14ac:dyDescent="0.25">
      <c r="A57" s="29"/>
      <c r="B57" s="11" t="str">
        <f>CONCATENATE("          ", "6401", " - ", "INTEREST EXPENSE")</f>
        <v xml:space="preserve">          6401 - INTEREST EXPENSE</v>
      </c>
      <c r="C57" s="11"/>
      <c r="D57" s="6">
        <v>4044</v>
      </c>
      <c r="E57" s="2"/>
      <c r="F57" s="7">
        <f t="shared" si="38"/>
        <v>0</v>
      </c>
      <c r="G57" s="2"/>
      <c r="H57" s="6">
        <v>4044</v>
      </c>
      <c r="I57" s="2"/>
      <c r="J57" s="7">
        <f t="shared" si="39"/>
        <v>0.16692809378353834</v>
      </c>
      <c r="K57" s="2"/>
      <c r="L57" s="6">
        <f t="shared" si="40"/>
        <v>0</v>
      </c>
      <c r="M57" s="2"/>
      <c r="N57" s="7">
        <f t="shared" si="41"/>
        <v>0</v>
      </c>
      <c r="O57" s="11"/>
      <c r="P57" s="6">
        <v>12132</v>
      </c>
      <c r="Q57" s="2"/>
      <c r="R57" s="7">
        <f t="shared" si="42"/>
        <v>0</v>
      </c>
      <c r="S57" s="2"/>
      <c r="T57" s="6">
        <v>12132</v>
      </c>
      <c r="U57" s="2"/>
      <c r="V57" s="7">
        <f t="shared" si="43"/>
        <v>0.50078428135061503</v>
      </c>
      <c r="W57" s="2"/>
      <c r="X57" s="6">
        <f t="shared" si="44"/>
        <v>0</v>
      </c>
      <c r="Y57" s="2"/>
      <c r="Z57" s="7">
        <f t="shared" si="45"/>
        <v>0</v>
      </c>
    </row>
    <row r="58" spans="1:26" s="28" customFormat="1" outlineLevel="1" collapsed="1" x14ac:dyDescent="0.25">
      <c r="A58" s="27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SUM(OSRRefD22_9x_0)</f>
        <v>108.52</v>
      </c>
      <c r="E58" s="1"/>
      <c r="F58" s="5">
        <f t="shared" si="38"/>
        <v>0</v>
      </c>
      <c r="G58" s="1"/>
      <c r="H58" s="1">
        <f>SUM(OSRRefH22_9x_0)</f>
        <v>489</v>
      </c>
      <c r="I58" s="1"/>
      <c r="J58" s="5">
        <f t="shared" si="39"/>
        <v>2.0184925286881861E-2</v>
      </c>
      <c r="K58" s="1"/>
      <c r="L58" s="1">
        <f t="shared" si="40"/>
        <v>-380.48</v>
      </c>
      <c r="M58" s="1"/>
      <c r="N58" s="5">
        <f t="shared" si="41"/>
        <v>-0.77807770961145195</v>
      </c>
      <c r="O58" s="14"/>
      <c r="P58" s="1">
        <f>SUM(OSRRefP22_9x_0)</f>
        <v>187.12</v>
      </c>
      <c r="Q58" s="1"/>
      <c r="R58" s="5">
        <f t="shared" si="42"/>
        <v>0</v>
      </c>
      <c r="S58" s="1"/>
      <c r="T58" s="1">
        <f>SUM(OSRRefT22_9x_0)</f>
        <v>639</v>
      </c>
      <c r="U58" s="1"/>
      <c r="V58" s="5">
        <f t="shared" si="43"/>
        <v>2.6376620160158508E-2</v>
      </c>
      <c r="W58" s="1"/>
      <c r="X58" s="1">
        <f t="shared" si="44"/>
        <v>-451.88</v>
      </c>
      <c r="Y58" s="1"/>
      <c r="Z58" s="5">
        <f t="shared" si="45"/>
        <v>-0.70716744913928009</v>
      </c>
    </row>
    <row r="59" spans="1:26" s="24" customFormat="1" hidden="1" outlineLevel="2" x14ac:dyDescent="0.25">
      <c r="A59" s="29"/>
      <c r="B59" s="11" t="str">
        <f>CONCATENATE("          ", "6371", " - ", "COMPUTER SOFTWARE MAINTENANCE")</f>
        <v xml:space="preserve">          6371 - COMPUTER SOFTWARE MAINTENANCE</v>
      </c>
      <c r="C59" s="11"/>
      <c r="D59" s="6"/>
      <c r="E59" s="2"/>
      <c r="F59" s="7">
        <f t="shared" si="38"/>
        <v>0</v>
      </c>
      <c r="G59" s="2"/>
      <c r="H59" s="6">
        <v>43</v>
      </c>
      <c r="I59" s="2"/>
      <c r="J59" s="7">
        <f t="shared" si="39"/>
        <v>1.7749525303393048E-3</v>
      </c>
      <c r="K59" s="2"/>
      <c r="L59" s="6">
        <f t="shared" si="40"/>
        <v>-43</v>
      </c>
      <c r="M59" s="2"/>
      <c r="N59" s="7">
        <f t="shared" si="41"/>
        <v>-1</v>
      </c>
      <c r="O59" s="11"/>
      <c r="P59" s="6"/>
      <c r="Q59" s="2"/>
      <c r="R59" s="7">
        <f t="shared" si="42"/>
        <v>0</v>
      </c>
      <c r="S59" s="2"/>
      <c r="T59" s="6">
        <v>43</v>
      </c>
      <c r="U59" s="2"/>
      <c r="V59" s="7">
        <f t="shared" si="43"/>
        <v>1.7749525303393048E-3</v>
      </c>
      <c r="W59" s="2"/>
      <c r="X59" s="6">
        <f t="shared" si="44"/>
        <v>-43</v>
      </c>
      <c r="Y59" s="2"/>
      <c r="Z59" s="7">
        <f t="shared" si="45"/>
        <v>-1</v>
      </c>
    </row>
    <row r="60" spans="1:26" s="24" customFormat="1" hidden="1" outlineLevel="2" x14ac:dyDescent="0.25">
      <c r="A60" s="29"/>
      <c r="B60" s="11" t="str">
        <f>CONCATENATE("          ", "6372", " - ", "COMPUTER HARDWARE MAINTENANCE")</f>
        <v xml:space="preserve">          6372 - COMPUTER HARDWARE MAINTENANCE</v>
      </c>
      <c r="C60" s="11"/>
      <c r="D60" s="6"/>
      <c r="E60" s="2"/>
      <c r="F60" s="7">
        <f t="shared" si="38"/>
        <v>0</v>
      </c>
      <c r="G60" s="2"/>
      <c r="H60" s="6">
        <v>437</v>
      </c>
      <c r="I60" s="2"/>
      <c r="J60" s="7">
        <f t="shared" si="39"/>
        <v>1.803847106414596E-2</v>
      </c>
      <c r="K60" s="2"/>
      <c r="L60" s="6">
        <f t="shared" si="40"/>
        <v>-437</v>
      </c>
      <c r="M60" s="2"/>
      <c r="N60" s="7">
        <f t="shared" si="41"/>
        <v>-1</v>
      </c>
      <c r="O60" s="11"/>
      <c r="P60" s="6"/>
      <c r="Q60" s="2"/>
      <c r="R60" s="7">
        <f t="shared" si="42"/>
        <v>0</v>
      </c>
      <c r="S60" s="2"/>
      <c r="T60" s="6">
        <v>437</v>
      </c>
      <c r="U60" s="2"/>
      <c r="V60" s="7">
        <f t="shared" si="43"/>
        <v>1.803847106414596E-2</v>
      </c>
      <c r="W60" s="2"/>
      <c r="X60" s="6">
        <f t="shared" si="44"/>
        <v>-437</v>
      </c>
      <c r="Y60" s="2"/>
      <c r="Z60" s="7">
        <f t="shared" si="45"/>
        <v>-1</v>
      </c>
    </row>
    <row r="61" spans="1:26" s="24" customFormat="1" hidden="1" outlineLevel="2" x14ac:dyDescent="0.25">
      <c r="A61" s="29"/>
      <c r="B61" s="11" t="str">
        <f>CONCATENATE("          ", "6373", " - ", "MAINTENANCE CONTRACTS")</f>
        <v xml:space="preserve">          6373 - MAINTENANCE CONTRACTS</v>
      </c>
      <c r="C61" s="11"/>
      <c r="D61" s="6">
        <v>108.52</v>
      </c>
      <c r="E61" s="2"/>
      <c r="F61" s="7">
        <f t="shared" si="38"/>
        <v>0</v>
      </c>
      <c r="G61" s="2"/>
      <c r="H61" s="6"/>
      <c r="I61" s="2"/>
      <c r="J61" s="7">
        <f t="shared" si="39"/>
        <v>0</v>
      </c>
      <c r="K61" s="2"/>
      <c r="L61" s="6">
        <f t="shared" si="40"/>
        <v>108.52</v>
      </c>
      <c r="M61" s="2"/>
      <c r="N61" s="7">
        <f t="shared" si="41"/>
        <v>0</v>
      </c>
      <c r="O61" s="11"/>
      <c r="P61" s="6">
        <v>187.12</v>
      </c>
      <c r="Q61" s="2"/>
      <c r="R61" s="7">
        <f t="shared" si="42"/>
        <v>0</v>
      </c>
      <c r="S61" s="2"/>
      <c r="T61" s="6"/>
      <c r="U61" s="2"/>
      <c r="V61" s="7">
        <f t="shared" si="43"/>
        <v>0</v>
      </c>
      <c r="W61" s="2"/>
      <c r="X61" s="6">
        <f t="shared" si="44"/>
        <v>187.12</v>
      </c>
      <c r="Y61" s="2"/>
      <c r="Z61" s="7">
        <f t="shared" si="45"/>
        <v>0</v>
      </c>
    </row>
    <row r="62" spans="1:26" s="24" customFormat="1" hidden="1" outlineLevel="2" x14ac:dyDescent="0.25">
      <c r="A62" s="29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38"/>
        <v>0</v>
      </c>
      <c r="G62" s="2"/>
      <c r="H62" s="6">
        <v>9</v>
      </c>
      <c r="I62" s="2"/>
      <c r="J62" s="7">
        <f t="shared" si="39"/>
        <v>3.7150169239659871E-4</v>
      </c>
      <c r="K62" s="2"/>
      <c r="L62" s="6">
        <f t="shared" si="40"/>
        <v>-9</v>
      </c>
      <c r="M62" s="2"/>
      <c r="N62" s="7">
        <f t="shared" si="41"/>
        <v>-1</v>
      </c>
      <c r="O62" s="11"/>
      <c r="P62" s="6"/>
      <c r="Q62" s="2"/>
      <c r="R62" s="7">
        <f t="shared" si="42"/>
        <v>0</v>
      </c>
      <c r="S62" s="2"/>
      <c r="T62" s="6">
        <v>159</v>
      </c>
      <c r="U62" s="2"/>
      <c r="V62" s="7">
        <f t="shared" si="43"/>
        <v>6.5631965656732438E-3</v>
      </c>
      <c r="W62" s="2"/>
      <c r="X62" s="6">
        <f t="shared" si="44"/>
        <v>-159</v>
      </c>
      <c r="Y62" s="2"/>
      <c r="Z62" s="7">
        <f t="shared" si="45"/>
        <v>-1</v>
      </c>
    </row>
    <row r="63" spans="1:26" s="28" customFormat="1" outlineLevel="1" collapsed="1" x14ac:dyDescent="0.25">
      <c r="A63" s="27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SUM(OSRRefD22_10x_0)</f>
        <v>0</v>
      </c>
      <c r="E63" s="1"/>
      <c r="F63" s="5">
        <f t="shared" ref="F63:F66" si="46">IF(D$12=0,0,D63/D$12)</f>
        <v>0</v>
      </c>
      <c r="G63" s="1"/>
      <c r="H63" s="1">
        <f>SUM(OSRRefH22_10x_0)</f>
        <v>341</v>
      </c>
      <c r="I63" s="1"/>
      <c r="J63" s="5">
        <f t="shared" ref="J63:J66" si="47">IF(H$12=0,0,H63/H$12)</f>
        <v>1.4075786345248906E-2</v>
      </c>
      <c r="K63" s="1"/>
      <c r="L63" s="1">
        <f t="shared" ref="L63:L66" si="48">+D63-H63</f>
        <v>-341</v>
      </c>
      <c r="M63" s="1"/>
      <c r="N63" s="5">
        <f t="shared" ref="N63:N66" si="49">IF(H63=0,0,L63/H63)</f>
        <v>-1</v>
      </c>
      <c r="O63" s="14"/>
      <c r="P63" s="1">
        <f>SUM(OSRRefP22_10x_0)</f>
        <v>0</v>
      </c>
      <c r="Q63" s="1"/>
      <c r="R63" s="5">
        <f t="shared" ref="R63:R66" si="50">IF(P$12=0,0,P63/P$12)</f>
        <v>0</v>
      </c>
      <c r="S63" s="1"/>
      <c r="T63" s="1">
        <f>SUM(OSRRefT22_10x_0)</f>
        <v>1076</v>
      </c>
      <c r="U63" s="1"/>
      <c r="V63" s="5">
        <f t="shared" ref="V63:V66" si="51">IF(T$12=0,0,T63/T$12)</f>
        <v>4.4415091224304468E-2</v>
      </c>
      <c r="W63" s="1"/>
      <c r="X63" s="1">
        <f t="shared" ref="X63:X66" si="52">+P63-T63</f>
        <v>-1076</v>
      </c>
      <c r="Y63" s="1"/>
      <c r="Z63" s="5">
        <f t="shared" ref="Z63:Z66" si="53">IF(T63=0,0,X63/T63)</f>
        <v>-1</v>
      </c>
    </row>
    <row r="64" spans="1:26" s="24" customFormat="1" hidden="1" outlineLevel="2" x14ac:dyDescent="0.25">
      <c r="A64" s="29"/>
      <c r="B64" s="11" t="str">
        <f>CONCATENATE("          ", "6282", " - ", "JANITORIAL/EXTERMINATOR EXPENS")</f>
        <v xml:space="preserve">          6282 - JANITORIAL/EXTERMINATOR EXPENS</v>
      </c>
      <c r="C64" s="11"/>
      <c r="D64" s="6"/>
      <c r="E64" s="2"/>
      <c r="F64" s="7">
        <f t="shared" si="46"/>
        <v>0</v>
      </c>
      <c r="G64" s="2"/>
      <c r="H64" s="6"/>
      <c r="I64" s="2"/>
      <c r="J64" s="7">
        <f t="shared" si="47"/>
        <v>0</v>
      </c>
      <c r="K64" s="2"/>
      <c r="L64" s="6">
        <f t="shared" si="48"/>
        <v>0</v>
      </c>
      <c r="M64" s="2"/>
      <c r="N64" s="7">
        <f t="shared" si="49"/>
        <v>0</v>
      </c>
      <c r="O64" s="11"/>
      <c r="P64" s="6"/>
      <c r="Q64" s="2"/>
      <c r="R64" s="7">
        <f t="shared" si="50"/>
        <v>0</v>
      </c>
      <c r="S64" s="2"/>
      <c r="T64" s="6">
        <v>314</v>
      </c>
      <c r="U64" s="2"/>
      <c r="V64" s="7">
        <f t="shared" si="51"/>
        <v>1.2961281268059109E-2</v>
      </c>
      <c r="W64" s="2"/>
      <c r="X64" s="6">
        <f t="shared" si="52"/>
        <v>-314</v>
      </c>
      <c r="Y64" s="2"/>
      <c r="Z64" s="7">
        <f t="shared" si="53"/>
        <v>-1</v>
      </c>
    </row>
    <row r="65" spans="1:26" s="24" customFormat="1" hidden="1" outlineLevel="2" x14ac:dyDescent="0.25">
      <c r="A65" s="29"/>
      <c r="B65" s="11" t="str">
        <f>CONCATENATE("          ", "6284", " - ", "TRASH REMOVAL EXPENSE")</f>
        <v xml:space="preserve">          6284 - TRASH REMOVAL EXPENSE</v>
      </c>
      <c r="C65" s="11"/>
      <c r="D65" s="6"/>
      <c r="E65" s="2"/>
      <c r="F65" s="7">
        <f t="shared" si="46"/>
        <v>0</v>
      </c>
      <c r="G65" s="2"/>
      <c r="H65" s="6">
        <v>237</v>
      </c>
      <c r="I65" s="2"/>
      <c r="J65" s="7">
        <f t="shared" si="47"/>
        <v>9.7828778997770989E-3</v>
      </c>
      <c r="K65" s="2"/>
      <c r="L65" s="6">
        <f t="shared" si="48"/>
        <v>-237</v>
      </c>
      <c r="M65" s="2"/>
      <c r="N65" s="7">
        <f t="shared" si="49"/>
        <v>-1</v>
      </c>
      <c r="O65" s="11"/>
      <c r="P65" s="6"/>
      <c r="Q65" s="2"/>
      <c r="R65" s="7">
        <f t="shared" si="50"/>
        <v>0</v>
      </c>
      <c r="S65" s="2"/>
      <c r="T65" s="6">
        <v>474</v>
      </c>
      <c r="U65" s="2"/>
      <c r="V65" s="7">
        <f t="shared" si="51"/>
        <v>1.9565755799554198E-2</v>
      </c>
      <c r="W65" s="2"/>
      <c r="X65" s="6">
        <f t="shared" si="52"/>
        <v>-474</v>
      </c>
      <c r="Y65" s="2"/>
      <c r="Z65" s="7">
        <f t="shared" si="53"/>
        <v>-1</v>
      </c>
    </row>
    <row r="66" spans="1:26" s="24" customFormat="1" hidden="1" outlineLevel="2" x14ac:dyDescent="0.25">
      <c r="A66" s="29"/>
      <c r="B66" s="11" t="str">
        <f>CONCATENATE("          ", "6286", " - ", "LAUNDRY EXPENSE")</f>
        <v xml:space="preserve">          6286 - LAUNDRY EXPENSE</v>
      </c>
      <c r="C66" s="11"/>
      <c r="D66" s="6"/>
      <c r="E66" s="2"/>
      <c r="F66" s="7">
        <f t="shared" si="46"/>
        <v>0</v>
      </c>
      <c r="G66" s="2"/>
      <c r="H66" s="6">
        <v>104</v>
      </c>
      <c r="I66" s="2"/>
      <c r="J66" s="7">
        <f t="shared" si="47"/>
        <v>4.2929084454718068E-3</v>
      </c>
      <c r="K66" s="2"/>
      <c r="L66" s="6">
        <f t="shared" si="48"/>
        <v>-104</v>
      </c>
      <c r="M66" s="2"/>
      <c r="N66" s="7">
        <f t="shared" si="49"/>
        <v>-1</v>
      </c>
      <c r="O66" s="11"/>
      <c r="P66" s="6"/>
      <c r="Q66" s="2"/>
      <c r="R66" s="7">
        <f t="shared" si="50"/>
        <v>0</v>
      </c>
      <c r="S66" s="2"/>
      <c r="T66" s="6">
        <v>288</v>
      </c>
      <c r="U66" s="2"/>
      <c r="V66" s="7">
        <f t="shared" si="51"/>
        <v>1.1888054156691159E-2</v>
      </c>
      <c r="W66" s="2"/>
      <c r="X66" s="6">
        <f t="shared" si="52"/>
        <v>-288</v>
      </c>
      <c r="Y66" s="2"/>
      <c r="Z66" s="7">
        <f t="shared" si="53"/>
        <v>-1</v>
      </c>
    </row>
    <row r="67" spans="1:26" s="28" customFormat="1" outlineLevel="1" collapsed="1" x14ac:dyDescent="0.25">
      <c r="A67" s="27"/>
      <c r="B67" s="14" t="str">
        <f>CONCATENATE("     ","Subscriptions &amp; Dues                              ")</f>
        <v xml:space="preserve">     Subscriptions &amp; Dues                              </v>
      </c>
      <c r="C67" s="14"/>
      <c r="D67" s="1">
        <f>SUM(OSRRefD22_11x_0)</f>
        <v>0</v>
      </c>
      <c r="E67" s="1"/>
      <c r="F67" s="5">
        <f t="shared" ref="F67:F74" si="54">IF(D$12=0,0,D67/D$12)</f>
        <v>0</v>
      </c>
      <c r="G67" s="1"/>
      <c r="H67" s="1">
        <f>SUM(OSRRefH22_11x_0)</f>
        <v>176</v>
      </c>
      <c r="I67" s="1"/>
      <c r="J67" s="5">
        <f t="shared" ref="J67:J74" si="55">IF(H$12=0,0,H67/H$12)</f>
        <v>7.2649219846445965E-3</v>
      </c>
      <c r="K67" s="1"/>
      <c r="L67" s="1">
        <f t="shared" ref="L67:L74" si="56">+D67-H67</f>
        <v>-176</v>
      </c>
      <c r="M67" s="1"/>
      <c r="N67" s="5">
        <f t="shared" ref="N67:N74" si="57">IF(H67=0,0,L67/H67)</f>
        <v>-1</v>
      </c>
      <c r="O67" s="14"/>
      <c r="P67" s="1">
        <f>SUM(OSRRefP22_11x_0)</f>
        <v>0</v>
      </c>
      <c r="Q67" s="1"/>
      <c r="R67" s="5">
        <f t="shared" ref="R67:R74" si="58">IF(P$12=0,0,P67/P$12)</f>
        <v>0</v>
      </c>
      <c r="S67" s="1"/>
      <c r="T67" s="1">
        <f>SUM(OSRRefT22_11x_0)</f>
        <v>528</v>
      </c>
      <c r="U67" s="1"/>
      <c r="V67" s="5">
        <f t="shared" ref="V67:V74" si="59">IF(T$12=0,0,T67/T$12)</f>
        <v>2.179476595393379E-2</v>
      </c>
      <c r="W67" s="1"/>
      <c r="X67" s="1">
        <f t="shared" ref="X67:X74" si="60">+P67-T67</f>
        <v>-528</v>
      </c>
      <c r="Y67" s="1"/>
      <c r="Z67" s="5">
        <f t="shared" ref="Z67:Z74" si="61">IF(T67=0,0,X67/T67)</f>
        <v>-1</v>
      </c>
    </row>
    <row r="68" spans="1:26" s="24" customFormat="1" hidden="1" outlineLevel="2" x14ac:dyDescent="0.25">
      <c r="A68" s="29"/>
      <c r="B68" s="11" t="str">
        <f>CONCATENATE("          ", "6275", " - ", "SUBSCRIPTIONS")</f>
        <v xml:space="preserve">          6275 - SUBSCRIPTIONS</v>
      </c>
      <c r="C68" s="11"/>
      <c r="D68" s="6"/>
      <c r="E68" s="2"/>
      <c r="F68" s="7">
        <f t="shared" si="54"/>
        <v>0</v>
      </c>
      <c r="G68" s="2"/>
      <c r="H68" s="6">
        <v>176</v>
      </c>
      <c r="I68" s="2"/>
      <c r="J68" s="7">
        <f t="shared" si="55"/>
        <v>7.2649219846445965E-3</v>
      </c>
      <c r="K68" s="2"/>
      <c r="L68" s="6">
        <f t="shared" si="56"/>
        <v>-176</v>
      </c>
      <c r="M68" s="2"/>
      <c r="N68" s="7">
        <f t="shared" si="57"/>
        <v>-1</v>
      </c>
      <c r="O68" s="11"/>
      <c r="P68" s="6"/>
      <c r="Q68" s="2"/>
      <c r="R68" s="7">
        <f t="shared" si="58"/>
        <v>0</v>
      </c>
      <c r="S68" s="2"/>
      <c r="T68" s="6">
        <v>528</v>
      </c>
      <c r="U68" s="2"/>
      <c r="V68" s="7">
        <f t="shared" si="59"/>
        <v>2.179476595393379E-2</v>
      </c>
      <c r="W68" s="2"/>
      <c r="X68" s="6">
        <f t="shared" si="60"/>
        <v>-528</v>
      </c>
      <c r="Y68" s="2"/>
      <c r="Z68" s="7">
        <f t="shared" si="61"/>
        <v>-1</v>
      </c>
    </row>
    <row r="69" spans="1:26" s="28" customFormat="1" outlineLevel="1" collapsed="1" x14ac:dyDescent="0.25">
      <c r="A69" s="27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SUM(OSRRefD22_12x_0)</f>
        <v>634.24</v>
      </c>
      <c r="E69" s="1"/>
      <c r="F69" s="5">
        <f t="shared" si="54"/>
        <v>0</v>
      </c>
      <c r="G69" s="1"/>
      <c r="H69" s="1">
        <f>SUM(OSRRefH22_12x_0)</f>
        <v>5886</v>
      </c>
      <c r="I69" s="1"/>
      <c r="J69" s="5">
        <f t="shared" si="55"/>
        <v>0.24296210682737554</v>
      </c>
      <c r="K69" s="1"/>
      <c r="L69" s="1">
        <f t="shared" si="56"/>
        <v>-5251.76</v>
      </c>
      <c r="M69" s="1"/>
      <c r="N69" s="5">
        <f t="shared" si="57"/>
        <v>-0.89224600747536531</v>
      </c>
      <c r="O69" s="14"/>
      <c r="P69" s="1">
        <f>SUM(OSRRefP22_12x_0)</f>
        <v>634.24</v>
      </c>
      <c r="Q69" s="1"/>
      <c r="R69" s="5">
        <f t="shared" si="58"/>
        <v>0</v>
      </c>
      <c r="S69" s="1"/>
      <c r="T69" s="1">
        <f>SUM(OSRRefT22_12x_0)</f>
        <v>7691</v>
      </c>
      <c r="U69" s="1"/>
      <c r="V69" s="5">
        <f t="shared" si="59"/>
        <v>0.31746883513580448</v>
      </c>
      <c r="W69" s="1"/>
      <c r="X69" s="1">
        <f t="shared" si="60"/>
        <v>-7056.76</v>
      </c>
      <c r="Y69" s="1"/>
      <c r="Z69" s="5">
        <f t="shared" si="61"/>
        <v>-0.9175347809127552</v>
      </c>
    </row>
    <row r="70" spans="1:26" s="24" customFormat="1" hidden="1" outlineLevel="2" x14ac:dyDescent="0.25">
      <c r="A70" s="29"/>
      <c r="B70" s="11" t="str">
        <f>CONCATENATE("          ", "6234", " - ", "EXPENDABLE SUPPLIES &amp; EQUIPMEN")</f>
        <v xml:space="preserve">          6234 - EXPENDABLE SUPPLIES &amp; EQUIPMEN</v>
      </c>
      <c r="C70" s="11"/>
      <c r="D70" s="6">
        <v>316.67</v>
      </c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316.67</v>
      </c>
      <c r="M70" s="2"/>
      <c r="N70" s="7">
        <f t="shared" si="57"/>
        <v>0</v>
      </c>
      <c r="O70" s="11"/>
      <c r="P70" s="6">
        <v>316.67</v>
      </c>
      <c r="Q70" s="2"/>
      <c r="R70" s="7">
        <f t="shared" si="58"/>
        <v>0</v>
      </c>
      <c r="S70" s="2"/>
      <c r="T70" s="6"/>
      <c r="U70" s="2"/>
      <c r="V70" s="7">
        <f t="shared" si="59"/>
        <v>0</v>
      </c>
      <c r="W70" s="2"/>
      <c r="X70" s="6">
        <f t="shared" si="60"/>
        <v>316.67</v>
      </c>
      <c r="Y70" s="2"/>
      <c r="Z70" s="7">
        <f t="shared" si="61"/>
        <v>0</v>
      </c>
    </row>
    <row r="71" spans="1:26" s="24" customFormat="1" hidden="1" outlineLevel="2" x14ac:dyDescent="0.25">
      <c r="A71" s="29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54"/>
        <v>0</v>
      </c>
      <c r="G71" s="2"/>
      <c r="H71" s="6">
        <v>300</v>
      </c>
      <c r="I71" s="2"/>
      <c r="J71" s="7">
        <f t="shared" si="55"/>
        <v>1.238338974655329E-2</v>
      </c>
      <c r="K71" s="2"/>
      <c r="L71" s="6">
        <f t="shared" si="56"/>
        <v>-300</v>
      </c>
      <c r="M71" s="2"/>
      <c r="N71" s="7">
        <f t="shared" si="57"/>
        <v>-1</v>
      </c>
      <c r="O71" s="11"/>
      <c r="P71" s="6"/>
      <c r="Q71" s="2"/>
      <c r="R71" s="7">
        <f t="shared" si="58"/>
        <v>0</v>
      </c>
      <c r="S71" s="2"/>
      <c r="T71" s="6">
        <v>1300</v>
      </c>
      <c r="U71" s="2"/>
      <c r="V71" s="7">
        <f t="shared" si="59"/>
        <v>5.3661355568397587E-2</v>
      </c>
      <c r="W71" s="2"/>
      <c r="X71" s="6">
        <f t="shared" si="60"/>
        <v>-1300</v>
      </c>
      <c r="Y71" s="2"/>
      <c r="Z71" s="7">
        <f t="shared" si="61"/>
        <v>-1</v>
      </c>
    </row>
    <row r="72" spans="1:26" s="24" customFormat="1" hidden="1" outlineLevel="2" x14ac:dyDescent="0.25">
      <c r="A72" s="29"/>
      <c r="B72" s="11" t="str">
        <f>CONCATENATE("          ", "6237", " - ", "JANITORIAL SUPPLIES")</f>
        <v xml:space="preserve">          6237 - JANITORIAL SUPPLIES</v>
      </c>
      <c r="C72" s="11"/>
      <c r="D72" s="6">
        <v>317.57</v>
      </c>
      <c r="E72" s="2"/>
      <c r="F72" s="7">
        <f t="shared" si="54"/>
        <v>0</v>
      </c>
      <c r="G72" s="2"/>
      <c r="H72" s="6"/>
      <c r="I72" s="2"/>
      <c r="J72" s="7">
        <f t="shared" si="55"/>
        <v>0</v>
      </c>
      <c r="K72" s="2"/>
      <c r="L72" s="6">
        <f t="shared" si="56"/>
        <v>317.57</v>
      </c>
      <c r="M72" s="2"/>
      <c r="N72" s="7">
        <f t="shared" si="57"/>
        <v>0</v>
      </c>
      <c r="O72" s="11"/>
      <c r="P72" s="6">
        <v>317.57</v>
      </c>
      <c r="Q72" s="2"/>
      <c r="R72" s="7">
        <f t="shared" si="58"/>
        <v>0</v>
      </c>
      <c r="S72" s="2"/>
      <c r="T72" s="6"/>
      <c r="U72" s="2"/>
      <c r="V72" s="7">
        <f t="shared" si="59"/>
        <v>0</v>
      </c>
      <c r="W72" s="2"/>
      <c r="X72" s="6">
        <f t="shared" si="60"/>
        <v>317.57</v>
      </c>
      <c r="Y72" s="2"/>
      <c r="Z72" s="7">
        <f t="shared" si="61"/>
        <v>0</v>
      </c>
    </row>
    <row r="73" spans="1:26" s="24" customFormat="1" hidden="1" outlineLevel="2" x14ac:dyDescent="0.25">
      <c r="A73" s="29"/>
      <c r="B73" s="11" t="str">
        <f>CONCATENATE("          ", "6243", " - ", "PAPER SUPPLIES")</f>
        <v xml:space="preserve">          6243 - PAPER SUPPLIES</v>
      </c>
      <c r="C73" s="11"/>
      <c r="D73" s="6"/>
      <c r="E73" s="2"/>
      <c r="F73" s="7">
        <f t="shared" si="54"/>
        <v>0</v>
      </c>
      <c r="G73" s="2"/>
      <c r="H73" s="6">
        <v>152</v>
      </c>
      <c r="I73" s="2"/>
      <c r="J73" s="7">
        <f t="shared" si="55"/>
        <v>6.2742508049203338E-3</v>
      </c>
      <c r="K73" s="2"/>
      <c r="L73" s="6">
        <f t="shared" si="56"/>
        <v>-152</v>
      </c>
      <c r="M73" s="2"/>
      <c r="N73" s="7">
        <f t="shared" si="57"/>
        <v>-1</v>
      </c>
      <c r="O73" s="11"/>
      <c r="P73" s="6"/>
      <c r="Q73" s="2"/>
      <c r="R73" s="7">
        <f t="shared" si="58"/>
        <v>0</v>
      </c>
      <c r="S73" s="2"/>
      <c r="T73" s="6">
        <v>345</v>
      </c>
      <c r="U73" s="2"/>
      <c r="V73" s="7">
        <f t="shared" si="59"/>
        <v>1.4240898208536284E-2</v>
      </c>
      <c r="W73" s="2"/>
      <c r="X73" s="6">
        <f t="shared" si="60"/>
        <v>-345</v>
      </c>
      <c r="Y73" s="2"/>
      <c r="Z73" s="7">
        <f t="shared" si="61"/>
        <v>-1</v>
      </c>
    </row>
    <row r="74" spans="1:26" s="24" customFormat="1" hidden="1" outlineLevel="2" x14ac:dyDescent="0.25">
      <c r="A74" s="29"/>
      <c r="B74" s="11" t="str">
        <f>CONCATENATE("          ", "6247", " - ", "STORE SUPPLIES")</f>
        <v xml:space="preserve">          6247 - STORE SUPPLIES</v>
      </c>
      <c r="C74" s="11"/>
      <c r="D74" s="6"/>
      <c r="E74" s="2"/>
      <c r="F74" s="7">
        <f t="shared" si="54"/>
        <v>0</v>
      </c>
      <c r="G74" s="2"/>
      <c r="H74" s="6">
        <v>5434</v>
      </c>
      <c r="I74" s="2"/>
      <c r="J74" s="7">
        <f t="shared" si="55"/>
        <v>0.22430446627590192</v>
      </c>
      <c r="K74" s="2"/>
      <c r="L74" s="6">
        <f t="shared" si="56"/>
        <v>-5434</v>
      </c>
      <c r="M74" s="2"/>
      <c r="N74" s="7">
        <f t="shared" si="57"/>
        <v>-1</v>
      </c>
      <c r="O74" s="11"/>
      <c r="P74" s="6"/>
      <c r="Q74" s="2"/>
      <c r="R74" s="7">
        <f t="shared" si="58"/>
        <v>0</v>
      </c>
      <c r="S74" s="2"/>
      <c r="T74" s="6">
        <v>6046</v>
      </c>
      <c r="U74" s="2"/>
      <c r="V74" s="7">
        <f t="shared" si="59"/>
        <v>0.24956658135887064</v>
      </c>
      <c r="W74" s="2"/>
      <c r="X74" s="6">
        <f t="shared" si="60"/>
        <v>-6046</v>
      </c>
      <c r="Y74" s="2"/>
      <c r="Z74" s="7">
        <f t="shared" si="61"/>
        <v>-1</v>
      </c>
    </row>
    <row r="75" spans="1:26" s="28" customFormat="1" outlineLevel="1" collapsed="1" x14ac:dyDescent="0.25">
      <c r="A75" s="27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SUM(OSRRefD22_13x_0)</f>
        <v>40</v>
      </c>
      <c r="E75" s="1"/>
      <c r="F75" s="5">
        <f t="shared" ref="F75:F77" si="62">IF(D$12=0,0,D75/D$12)</f>
        <v>0</v>
      </c>
      <c r="G75" s="1"/>
      <c r="H75" s="1">
        <f>SUM(OSRRefH22_13x_0)</f>
        <v>40</v>
      </c>
      <c r="I75" s="1"/>
      <c r="J75" s="5">
        <f t="shared" ref="J75:J77" si="63">IF(H$12=0,0,H75/H$12)</f>
        <v>1.6511186328737721E-3</v>
      </c>
      <c r="K75" s="1"/>
      <c r="L75" s="1">
        <f t="shared" ref="L75:L77" si="64">+D75-H75</f>
        <v>0</v>
      </c>
      <c r="M75" s="1"/>
      <c r="N75" s="5">
        <f t="shared" ref="N75:N77" si="65">IF(H75=0,0,L75/H75)</f>
        <v>0</v>
      </c>
      <c r="O75" s="14"/>
      <c r="P75" s="1">
        <f>SUM(OSRRefP22_13x_0)</f>
        <v>116</v>
      </c>
      <c r="Q75" s="1"/>
      <c r="R75" s="5">
        <f t="shared" ref="R75:R77" si="66">IF(P$12=0,0,P75/P$12)</f>
        <v>0</v>
      </c>
      <c r="S75" s="1"/>
      <c r="T75" s="1">
        <f>SUM(OSRRefT22_13x_0)</f>
        <v>267</v>
      </c>
      <c r="U75" s="1"/>
      <c r="V75" s="5">
        <f t="shared" ref="V75:V77" si="67">IF(T$12=0,0,T75/T$12)</f>
        <v>1.1021216874432428E-2</v>
      </c>
      <c r="W75" s="1"/>
      <c r="X75" s="1">
        <f t="shared" ref="X75:X77" si="68">+P75-T75</f>
        <v>-151</v>
      </c>
      <c r="Y75" s="1"/>
      <c r="Z75" s="5">
        <f t="shared" ref="Z75:Z77" si="69">IF(T75=0,0,X75/T75)</f>
        <v>-0.56554307116104874</v>
      </c>
    </row>
    <row r="76" spans="1:26" s="24" customFormat="1" hidden="1" outlineLevel="2" x14ac:dyDescent="0.25">
      <c r="A76" s="29"/>
      <c r="B76" s="11" t="str">
        <f>CONCATENATE("          ", "6303", " - ", "DATA PHONE LINES")</f>
        <v xml:space="preserve">          6303 - DATA PHONE LINES</v>
      </c>
      <c r="C76" s="11"/>
      <c r="D76" s="6"/>
      <c r="E76" s="2"/>
      <c r="F76" s="7">
        <f t="shared" si="62"/>
        <v>0</v>
      </c>
      <c r="G76" s="2"/>
      <c r="H76" s="6">
        <v>40</v>
      </c>
      <c r="I76" s="2"/>
      <c r="J76" s="7">
        <f t="shared" si="63"/>
        <v>1.6511186328737721E-3</v>
      </c>
      <c r="K76" s="2"/>
      <c r="L76" s="6">
        <f t="shared" si="64"/>
        <v>-40</v>
      </c>
      <c r="M76" s="2"/>
      <c r="N76" s="7">
        <f t="shared" si="65"/>
        <v>-1</v>
      </c>
      <c r="O76" s="11"/>
      <c r="P76" s="6"/>
      <c r="Q76" s="2"/>
      <c r="R76" s="7">
        <f t="shared" si="66"/>
        <v>0</v>
      </c>
      <c r="S76" s="2"/>
      <c r="T76" s="6">
        <v>117</v>
      </c>
      <c r="U76" s="2"/>
      <c r="V76" s="7">
        <f t="shared" si="67"/>
        <v>4.8295220011557831E-3</v>
      </c>
      <c r="W76" s="2"/>
      <c r="X76" s="6">
        <f t="shared" si="68"/>
        <v>-117</v>
      </c>
      <c r="Y76" s="2"/>
      <c r="Z76" s="7">
        <f t="shared" si="69"/>
        <v>-1</v>
      </c>
    </row>
    <row r="77" spans="1:26" s="24" customFormat="1" hidden="1" outlineLevel="2" x14ac:dyDescent="0.25">
      <c r="A77" s="29"/>
      <c r="B77" s="11" t="str">
        <f>CONCATENATE("          ", "6309", " - ", "TELEPHONE")</f>
        <v xml:space="preserve">          6309 - TELEPHONE</v>
      </c>
      <c r="C77" s="11"/>
      <c r="D77" s="6">
        <v>40</v>
      </c>
      <c r="E77" s="2"/>
      <c r="F77" s="7">
        <f t="shared" si="62"/>
        <v>0</v>
      </c>
      <c r="G77" s="2"/>
      <c r="H77" s="6"/>
      <c r="I77" s="2"/>
      <c r="J77" s="7">
        <f t="shared" si="63"/>
        <v>0</v>
      </c>
      <c r="K77" s="2"/>
      <c r="L77" s="6">
        <f t="shared" si="64"/>
        <v>40</v>
      </c>
      <c r="M77" s="2"/>
      <c r="N77" s="7">
        <f t="shared" si="65"/>
        <v>0</v>
      </c>
      <c r="O77" s="11"/>
      <c r="P77" s="6">
        <v>116</v>
      </c>
      <c r="Q77" s="2"/>
      <c r="R77" s="7">
        <f t="shared" si="66"/>
        <v>0</v>
      </c>
      <c r="S77" s="2"/>
      <c r="T77" s="6">
        <v>150</v>
      </c>
      <c r="U77" s="2"/>
      <c r="V77" s="7">
        <f t="shared" si="67"/>
        <v>6.1916948732766448E-3</v>
      </c>
      <c r="W77" s="2"/>
      <c r="X77" s="6">
        <f t="shared" si="68"/>
        <v>-34</v>
      </c>
      <c r="Y77" s="2"/>
      <c r="Z77" s="7">
        <f t="shared" si="69"/>
        <v>-0.22666666666666666</v>
      </c>
    </row>
    <row r="78" spans="1:26" s="28" customFormat="1" outlineLevel="1" collapsed="1" x14ac:dyDescent="0.25">
      <c r="A78" s="27"/>
      <c r="B78" s="14" t="str">
        <f>CONCATENATE("     ","Utilities                                         ")</f>
        <v xml:space="preserve">     Utilities                                         </v>
      </c>
      <c r="C78" s="14"/>
      <c r="D78" s="1">
        <f>SUM(OSRRefD22_14x_0)</f>
        <v>0</v>
      </c>
      <c r="E78" s="1"/>
      <c r="F78" s="5">
        <f t="shared" ref="F78:F79" si="70">IF(D$12=0,0,D78/D$12)</f>
        <v>0</v>
      </c>
      <c r="G78" s="1"/>
      <c r="H78" s="1">
        <f>SUM(OSRRefH22_14x_0)</f>
        <v>771</v>
      </c>
      <c r="I78" s="1"/>
      <c r="J78" s="5">
        <f t="shared" ref="J78:J79" si="71">IF(H$12=0,0,H78/H$12)</f>
        <v>3.1825311648641955E-2</v>
      </c>
      <c r="K78" s="1"/>
      <c r="L78" s="1">
        <f t="shared" ref="L78:L79" si="72">+D78-H78</f>
        <v>-771</v>
      </c>
      <c r="M78" s="1"/>
      <c r="N78" s="5">
        <f t="shared" ref="N78:N79" si="73">IF(H78=0,0,L78/H78)</f>
        <v>-1</v>
      </c>
      <c r="O78" s="14"/>
      <c r="P78" s="1">
        <f>SUM(OSRRefP22_14x_0)</f>
        <v>0</v>
      </c>
      <c r="Q78" s="1"/>
      <c r="R78" s="5">
        <f t="shared" ref="R78:R79" si="74">IF(P$12=0,0,P78/P$12)</f>
        <v>0</v>
      </c>
      <c r="S78" s="1"/>
      <c r="T78" s="1">
        <f>SUM(OSRRefT22_14x_0)</f>
        <v>1542</v>
      </c>
      <c r="U78" s="1"/>
      <c r="V78" s="5">
        <f t="shared" ref="V78:V79" si="75">IF(T$12=0,0,T78/T$12)</f>
        <v>6.3650623297283909E-2</v>
      </c>
      <c r="W78" s="1"/>
      <c r="X78" s="1">
        <f t="shared" ref="X78:X79" si="76">+P78-T78</f>
        <v>-1542</v>
      </c>
      <c r="Y78" s="1"/>
      <c r="Z78" s="5">
        <f t="shared" ref="Z78:Z79" si="77">IF(T78=0,0,X78/T78)</f>
        <v>-1</v>
      </c>
    </row>
    <row r="79" spans="1:26" s="24" customFormat="1" hidden="1" outlineLevel="2" x14ac:dyDescent="0.25">
      <c r="A79" s="29"/>
      <c r="B79" s="11" t="str">
        <f>CONCATENATE("          ", "6274", " - ", "UTILITIES")</f>
        <v xml:space="preserve">          6274 - UTILITIES</v>
      </c>
      <c r="C79" s="11"/>
      <c r="D79" s="6"/>
      <c r="E79" s="2"/>
      <c r="F79" s="7">
        <f t="shared" si="70"/>
        <v>0</v>
      </c>
      <c r="G79" s="2"/>
      <c r="H79" s="6">
        <v>771</v>
      </c>
      <c r="I79" s="2"/>
      <c r="J79" s="7">
        <f t="shared" si="71"/>
        <v>3.1825311648641955E-2</v>
      </c>
      <c r="K79" s="2"/>
      <c r="L79" s="6">
        <f t="shared" si="72"/>
        <v>-771</v>
      </c>
      <c r="M79" s="2"/>
      <c r="N79" s="7">
        <f t="shared" si="73"/>
        <v>-1</v>
      </c>
      <c r="O79" s="11"/>
      <c r="P79" s="6"/>
      <c r="Q79" s="2"/>
      <c r="R79" s="7">
        <f t="shared" si="74"/>
        <v>0</v>
      </c>
      <c r="S79" s="2"/>
      <c r="T79" s="6">
        <v>1542</v>
      </c>
      <c r="U79" s="2"/>
      <c r="V79" s="7">
        <f t="shared" si="75"/>
        <v>6.3650623297283909E-2</v>
      </c>
      <c r="W79" s="2"/>
      <c r="X79" s="6">
        <f t="shared" si="76"/>
        <v>-1542</v>
      </c>
      <c r="Y79" s="2"/>
      <c r="Z79" s="7">
        <f t="shared" si="77"/>
        <v>-1</v>
      </c>
    </row>
    <row r="80" spans="1:26" s="61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5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6" t="s">
        <v>3</v>
      </c>
      <c r="C83" s="26"/>
      <c r="D83" s="20">
        <f>+D20-D22+D81</f>
        <v>-10652.890000000001</v>
      </c>
      <c r="E83" s="13"/>
      <c r="F83" s="21">
        <f>IF(D$12=0,0,D83/D$12)</f>
        <v>0</v>
      </c>
      <c r="G83" s="13"/>
      <c r="H83" s="20">
        <f>+H20-H22+H81</f>
        <v>-17136.497239999997</v>
      </c>
      <c r="I83" s="13"/>
      <c r="J83" s="21">
        <f>IF(H$12=0,0,H83/H$12)</f>
        <v>-0.70735974737884899</v>
      </c>
      <c r="K83" s="16"/>
      <c r="L83" s="20">
        <f>+D83-H83</f>
        <v>6483.6072399999957</v>
      </c>
      <c r="M83" s="16"/>
      <c r="N83" s="21">
        <f>IF(H83=0,0,L83/H83)</f>
        <v>-0.37835078833181646</v>
      </c>
      <c r="O83" s="25"/>
      <c r="P83" s="20">
        <f>+P20-P22+P81</f>
        <v>-34387.060000000005</v>
      </c>
      <c r="Q83" s="13"/>
      <c r="R83" s="21">
        <f>IF(P$12=0,0,P83/P$12)</f>
        <v>0</v>
      </c>
      <c r="S83" s="13"/>
      <c r="T83" s="20">
        <f>+T20-T22+T81</f>
        <v>-60974.394159999996</v>
      </c>
      <c r="U83" s="13"/>
      <c r="V83" s="21">
        <f>IF(T$12=0,0,T83/T$12)</f>
        <v>-2.5168989581441426</v>
      </c>
      <c r="W83" s="16"/>
      <c r="X83" s="20">
        <f>+P83-T83</f>
        <v>26587.334159999991</v>
      </c>
      <c r="Y83" s="16"/>
      <c r="Z83" s="21">
        <f>IF(T83=0,0,X83/T83)</f>
        <v>-0.43604097303916522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2"/>
      <c r="B85" s="10" t="s">
        <v>14</v>
      </c>
      <c r="C85" s="10"/>
      <c r="D85" s="4"/>
      <c r="E85" s="4"/>
      <c r="F85" s="12">
        <f>IF(D$12=0,0,D85/D$12)</f>
        <v>0</v>
      </c>
      <c r="G85" s="4"/>
      <c r="H85" s="4">
        <v>3502</v>
      </c>
      <c r="I85" s="4"/>
      <c r="J85" s="12">
        <f>IF(H$12=0,0,H85/H$12)</f>
        <v>0.14455543630809875</v>
      </c>
      <c r="K85" s="4"/>
      <c r="L85" s="4">
        <f>+D85-H85</f>
        <v>-3502</v>
      </c>
      <c r="M85" s="4"/>
      <c r="N85" s="12">
        <f>IF(H85=0,0,L85/H85)</f>
        <v>-1</v>
      </c>
      <c r="O85" s="10"/>
      <c r="P85" s="4"/>
      <c r="Q85" s="4"/>
      <c r="R85" s="12">
        <f>IF(P$12=0,0,P85/P$12)</f>
        <v>0</v>
      </c>
      <c r="S85" s="4"/>
      <c r="T85" s="4">
        <v>3502</v>
      </c>
      <c r="U85" s="4"/>
      <c r="V85" s="12">
        <f>IF(T$12=0,0,T85/T$12)</f>
        <v>0.14455543630809875</v>
      </c>
      <c r="W85" s="4"/>
      <c r="X85" s="4">
        <f>+P85-T85</f>
        <v>-3502</v>
      </c>
      <c r="Y85" s="4"/>
      <c r="Z85" s="12">
        <f>IF(T85=0,0,X85/T85)</f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4</v>
      </c>
      <c r="C87" s="26"/>
      <c r="D87" s="33">
        <f>+D83-D85</f>
        <v>-10652.890000000001</v>
      </c>
      <c r="E87" s="13"/>
      <c r="F87" s="34">
        <f>IF(D$12=0,0,D87/D$12)</f>
        <v>0</v>
      </c>
      <c r="G87" s="13"/>
      <c r="H87" s="33">
        <f>+H83-H85</f>
        <v>-20638.497239999997</v>
      </c>
      <c r="I87" s="13"/>
      <c r="J87" s="34">
        <f>IF(H$12=0,0,H87/H$12)</f>
        <v>-0.85191518368694774</v>
      </c>
      <c r="K87" s="16"/>
      <c r="L87" s="33">
        <f>D87-H87</f>
        <v>9985.6072399999957</v>
      </c>
      <c r="M87" s="16"/>
      <c r="N87" s="34">
        <f>IF(H87=0,0,L87/H87)</f>
        <v>-0.48383402744297854</v>
      </c>
      <c r="O87" s="25"/>
      <c r="P87" s="33">
        <f>+P83-P85</f>
        <v>-34387.060000000005</v>
      </c>
      <c r="Q87" s="13"/>
      <c r="R87" s="34">
        <f>IF(P$12=0,0,P87/P$12)</f>
        <v>0</v>
      </c>
      <c r="S87" s="13"/>
      <c r="T87" s="33">
        <f>+T83-T85</f>
        <v>-64476.394159999996</v>
      </c>
      <c r="U87" s="13"/>
      <c r="V87" s="34">
        <f>IF(T$12=0,0,T87/T$12)</f>
        <v>-2.6614543944522411</v>
      </c>
      <c r="W87" s="16"/>
      <c r="X87" s="33">
        <f>P87-T87</f>
        <v>30089.334159999991</v>
      </c>
      <c r="Y87" s="16"/>
      <c r="Z87" s="34">
        <f>IF(T87=0,0,X87/T87)</f>
        <v>-0.46667209840135382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5</v>
      </c>
      <c r="C90" s="26"/>
      <c r="D90" s="31">
        <f>SUM(D87:D89)</f>
        <v>-10652.890000000001</v>
      </c>
      <c r="E90" s="13"/>
      <c r="F90" s="32">
        <f>IF(D$12=0,0,D90/D$12)</f>
        <v>0</v>
      </c>
      <c r="G90" s="13"/>
      <c r="H90" s="31">
        <f>SUM(H87:H89)</f>
        <v>-20638.497239999997</v>
      </c>
      <c r="I90" s="13"/>
      <c r="J90" s="32">
        <f>IF(H$12=0,0,H90/H$12)</f>
        <v>-0.85191518368694774</v>
      </c>
      <c r="K90" s="16"/>
      <c r="L90" s="31">
        <f>+D90-H90</f>
        <v>9985.6072399999957</v>
      </c>
      <c r="M90" s="16"/>
      <c r="N90" s="32">
        <f>IF(H90=0,0,L90/H90)</f>
        <v>-0.48383402744297854</v>
      </c>
      <c r="O90" s="25"/>
      <c r="P90" s="31">
        <f>SUM(P87:P89)</f>
        <v>-34387.060000000005</v>
      </c>
      <c r="Q90" s="13"/>
      <c r="R90" s="32">
        <f>IF(P$12=0,0,P90/P$12)</f>
        <v>0</v>
      </c>
      <c r="S90" s="13"/>
      <c r="T90" s="31">
        <f>SUM(T87:T89)</f>
        <v>-64476.394159999996</v>
      </c>
      <c r="U90" s="13"/>
      <c r="V90" s="32">
        <f>IF(T$12=0,0,T90/T$12)</f>
        <v>-2.6614543944522411</v>
      </c>
      <c r="W90" s="16"/>
      <c r="X90" s="31">
        <f>+P90-T90</f>
        <v>30089.334159999991</v>
      </c>
      <c r="Y90" s="16"/>
      <c r="Z90" s="32">
        <f>IF(T90=0,0,X90/T90)</f>
        <v>-0.46667209840135382</v>
      </c>
    </row>
    <row r="91" spans="1:26" ht="15.75" thickTop="1" x14ac:dyDescent="0.25">
      <c r="A91" s="9"/>
      <c r="C91" s="9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A92" s="9"/>
      <c r="B92" s="55">
        <v>44123.572177627313</v>
      </c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3" t="s">
        <v>314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62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299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","327", " - ", "C-Store Vending Machine(s)")</f>
        <v>Department 327 - C-Store Vending Machine(s)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388</v>
      </c>
      <c r="I12" s="4"/>
      <c r="J12" s="12"/>
      <c r="K12" s="4"/>
      <c r="L12" s="4">
        <f t="shared" ref="L12:L14" si="0">+D12-H12</f>
        <v>-388</v>
      </c>
      <c r="M12" s="4"/>
      <c r="N12" s="12">
        <f t="shared" ref="N12:N14" si="1">IF(H12=0,0,L12/H12)</f>
        <v>-1</v>
      </c>
      <c r="O12" s="10"/>
      <c r="P12" s="4">
        <f>SUM(OSRRefP13x_0)</f>
        <v>110</v>
      </c>
      <c r="Q12" s="4"/>
      <c r="R12" s="12"/>
      <c r="S12" s="4"/>
      <c r="T12" s="4">
        <f>SUM(OSRRefT13x_0)</f>
        <v>660</v>
      </c>
      <c r="U12" s="4"/>
      <c r="V12" s="12"/>
      <c r="W12" s="4"/>
      <c r="X12" s="4">
        <f t="shared" ref="X12:X14" si="2">+P12-T12</f>
        <v>-550</v>
      </c>
      <c r="Y12" s="4"/>
      <c r="Z12" s="12">
        <f t="shared" ref="Z12:Z14" si="3">IF(T12=0,0,X12/T12)</f>
        <v>-0.83333333333333337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 t="shared" ref="D13:D14" si="4">0</f>
        <v>0</v>
      </c>
      <c r="E13" s="2"/>
      <c r="F13" s="22"/>
      <c r="G13" s="2"/>
      <c r="H13" s="2">
        <v>388</v>
      </c>
      <c r="I13" s="2"/>
      <c r="J13" s="22"/>
      <c r="K13" s="2"/>
      <c r="L13" s="2">
        <f t="shared" si="0"/>
        <v>-388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660</v>
      </c>
      <c r="U13" s="2"/>
      <c r="V13" s="22"/>
      <c r="W13" s="2"/>
      <c r="X13" s="2">
        <f t="shared" si="2"/>
        <v>-660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--110</f>
        <v>110</v>
      </c>
      <c r="Q14" s="2"/>
      <c r="R14" s="22"/>
      <c r="S14" s="2"/>
      <c r="T14" s="2"/>
      <c r="U14" s="2"/>
      <c r="V14" s="22"/>
      <c r="W14" s="2"/>
      <c r="X14" s="2">
        <f t="shared" si="2"/>
        <v>110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194</v>
      </c>
      <c r="I16" s="4"/>
      <c r="J16" s="12">
        <f t="shared" ref="J16:J18" si="6">IF(H$12=0,0,H16/H$12)</f>
        <v>0.5</v>
      </c>
      <c r="K16" s="4"/>
      <c r="L16" s="4">
        <f t="shared" ref="L16:L18" si="7">+D16-H16</f>
        <v>-194</v>
      </c>
      <c r="M16" s="4"/>
      <c r="N16" s="12">
        <f t="shared" ref="N16:N18" si="8">IF(H16=0,0,L16/H16)</f>
        <v>-1</v>
      </c>
      <c r="O16" s="10"/>
      <c r="P16" s="4">
        <f>SUM(OSRRefP16x_0)</f>
        <v>68.91</v>
      </c>
      <c r="Q16" s="4"/>
      <c r="R16" s="12">
        <f t="shared" ref="R16:R18" si="9">IF(P$12=0,0,P16/P$12)</f>
        <v>0.62645454545454538</v>
      </c>
      <c r="S16" s="4"/>
      <c r="T16" s="4">
        <f>SUM(OSRRefT16x_0)</f>
        <v>330</v>
      </c>
      <c r="U16" s="4"/>
      <c r="V16" s="12">
        <f t="shared" ref="V16:V18" si="10">IF(T$12=0,0,T16/T$12)</f>
        <v>0.5</v>
      </c>
      <c r="W16" s="4"/>
      <c r="X16" s="4">
        <f t="shared" ref="X16:X18" si="11">+P16-T16</f>
        <v>-261.09000000000003</v>
      </c>
      <c r="Y16" s="4"/>
      <c r="Z16" s="12">
        <f t="shared" ref="Z16:Z18" si="12">IF(T16=0,0,X16/T16)</f>
        <v>-0.79118181818181832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5"/>
        <v>0</v>
      </c>
      <c r="G17" s="2"/>
      <c r="H17" s="2">
        <v>194</v>
      </c>
      <c r="I17" s="2"/>
      <c r="J17" s="22">
        <f t="shared" si="6"/>
        <v>0.5</v>
      </c>
      <c r="K17" s="2"/>
      <c r="L17" s="2">
        <f t="shared" si="7"/>
        <v>-194</v>
      </c>
      <c r="M17" s="2"/>
      <c r="N17" s="22">
        <f t="shared" si="8"/>
        <v>-1</v>
      </c>
      <c r="O17" s="11"/>
      <c r="P17" s="2"/>
      <c r="Q17" s="2"/>
      <c r="R17" s="22">
        <f t="shared" si="9"/>
        <v>0</v>
      </c>
      <c r="S17" s="2"/>
      <c r="T17" s="2">
        <v>330</v>
      </c>
      <c r="U17" s="2"/>
      <c r="V17" s="22">
        <f t="shared" si="10"/>
        <v>0.5</v>
      </c>
      <c r="W17" s="2"/>
      <c r="X17" s="2">
        <f t="shared" si="11"/>
        <v>-330</v>
      </c>
      <c r="Y17" s="2"/>
      <c r="Z17" s="22">
        <f t="shared" si="12"/>
        <v>-1</v>
      </c>
    </row>
    <row r="18" spans="1:26" s="24" customFormat="1" hidden="1" outlineLevel="1" x14ac:dyDescent="0.25">
      <c r="A18" s="51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22">
        <f t="shared" si="5"/>
        <v>0</v>
      </c>
      <c r="G18" s="2"/>
      <c r="H18" s="2"/>
      <c r="I18" s="2"/>
      <c r="J18" s="22">
        <f t="shared" si="6"/>
        <v>0</v>
      </c>
      <c r="K18" s="2"/>
      <c r="L18" s="2">
        <f t="shared" si="7"/>
        <v>0</v>
      </c>
      <c r="M18" s="2"/>
      <c r="N18" s="22">
        <f t="shared" si="8"/>
        <v>0</v>
      </c>
      <c r="O18" s="11"/>
      <c r="P18" s="2">
        <v>68.91</v>
      </c>
      <c r="Q18" s="2"/>
      <c r="R18" s="22">
        <f t="shared" si="9"/>
        <v>0.62645454545454538</v>
      </c>
      <c r="S18" s="2"/>
      <c r="T18" s="2"/>
      <c r="U18" s="2"/>
      <c r="V18" s="22">
        <f t="shared" si="10"/>
        <v>0</v>
      </c>
      <c r="W18" s="2"/>
      <c r="X18" s="2">
        <f t="shared" si="11"/>
        <v>68.91</v>
      </c>
      <c r="Y18" s="2"/>
      <c r="Z18" s="22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D12-D16</f>
        <v>0</v>
      </c>
      <c r="E20" s="13"/>
      <c r="F20" s="21">
        <f>IF(D$12=0,0,D20/D$12)</f>
        <v>0</v>
      </c>
      <c r="G20" s="13"/>
      <c r="H20" s="20">
        <f>H12-H16</f>
        <v>194</v>
      </c>
      <c r="I20" s="13"/>
      <c r="J20" s="21">
        <f>IF(H$12=0,0,H20/H$12)</f>
        <v>0.5</v>
      </c>
      <c r="K20" s="16"/>
      <c r="L20" s="20">
        <f>+D20-H20</f>
        <v>-194</v>
      </c>
      <c r="M20" s="16"/>
      <c r="N20" s="21">
        <f>IF(H20=0,0,L20/H20)</f>
        <v>-1</v>
      </c>
      <c r="O20" s="25"/>
      <c r="P20" s="20">
        <f>P12-P16</f>
        <v>41.09</v>
      </c>
      <c r="Q20" s="13"/>
      <c r="R20" s="21">
        <f>IF(P$12=0,0,P20/P$12)</f>
        <v>0.37354545454545457</v>
      </c>
      <c r="S20" s="13"/>
      <c r="T20" s="20">
        <f>T12-T16</f>
        <v>330</v>
      </c>
      <c r="U20" s="13"/>
      <c r="V20" s="21">
        <f>IF(T$12=0,0,T20/T$12)</f>
        <v>0.5</v>
      </c>
      <c r="W20" s="16"/>
      <c r="X20" s="20">
        <f>+P20-T20</f>
        <v>-288.90999999999997</v>
      </c>
      <c r="Y20" s="16"/>
      <c r="Z20" s="21">
        <f>IF(T20=0,0,X20/T20)</f>
        <v>-0.87548484848484842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19">
        <f>SUM(OSRRefD22x_0)</f>
        <v>0</v>
      </c>
      <c r="E22" s="19"/>
      <c r="F22" s="35">
        <f t="shared" ref="F22:F24" si="13">IF(D$12=0,0,D22/D$12)</f>
        <v>0</v>
      </c>
      <c r="G22" s="19"/>
      <c r="H22" s="19">
        <f>SUM(OSRRefH22x_0)</f>
        <v>34</v>
      </c>
      <c r="I22" s="19"/>
      <c r="J22" s="35">
        <f t="shared" ref="J22:J24" si="14">IF(H$12=0,0,H22/H$12)</f>
        <v>8.7628865979381437E-2</v>
      </c>
      <c r="K22" s="4"/>
      <c r="L22" s="19">
        <f t="shared" ref="L22:L24" si="15">+D22-H22</f>
        <v>-34</v>
      </c>
      <c r="M22" s="4"/>
      <c r="N22" s="35">
        <f t="shared" ref="N22:N24" si="16">IF(H22=0,0,L22/H22)</f>
        <v>-1</v>
      </c>
      <c r="O22" s="10"/>
      <c r="P22" s="19">
        <f>SUM(OSRRefP22x_0)</f>
        <v>0</v>
      </c>
      <c r="Q22" s="19"/>
      <c r="R22" s="35">
        <f t="shared" ref="R22:R24" si="17">IF(P$12=0,0,P22/P$12)</f>
        <v>0</v>
      </c>
      <c r="S22" s="19"/>
      <c r="T22" s="19">
        <f>SUM(OSRRefT22x_0)</f>
        <v>59</v>
      </c>
      <c r="U22" s="19"/>
      <c r="V22" s="35">
        <f t="shared" ref="V22:V24" si="18">IF(T$12=0,0,T22/T$12)</f>
        <v>8.9393939393939401E-2</v>
      </c>
      <c r="W22" s="4"/>
      <c r="X22" s="19">
        <f t="shared" ref="X22:X24" si="19">+P22-T22</f>
        <v>-59</v>
      </c>
      <c r="Y22" s="4"/>
      <c r="Z22" s="35">
        <f t="shared" ref="Z22:Z24" si="20">IF(T22=0,0,X22/T22)</f>
        <v>-1</v>
      </c>
    </row>
    <row r="23" spans="1:26" s="28" customFormat="1" outlineLevel="1" collapsed="1" x14ac:dyDescent="0.25">
      <c r="A23" s="27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34</v>
      </c>
      <c r="I23" s="1"/>
      <c r="J23" s="5">
        <f t="shared" si="14"/>
        <v>8.7628865979381437E-2</v>
      </c>
      <c r="K23" s="1"/>
      <c r="L23" s="1">
        <f t="shared" si="15"/>
        <v>-34</v>
      </c>
      <c r="M23" s="1"/>
      <c r="N23" s="5">
        <f t="shared" si="16"/>
        <v>-1</v>
      </c>
      <c r="O23" s="14"/>
      <c r="P23" s="1">
        <f>SUM(OSRRefP22_0x_0)</f>
        <v>0</v>
      </c>
      <c r="Q23" s="1"/>
      <c r="R23" s="5">
        <f t="shared" si="17"/>
        <v>0</v>
      </c>
      <c r="S23" s="1"/>
      <c r="T23" s="1">
        <f>SUM(OSRRefT22_0x_0)</f>
        <v>59</v>
      </c>
      <c r="U23" s="1"/>
      <c r="V23" s="5">
        <f t="shared" si="18"/>
        <v>8.9393939393939401E-2</v>
      </c>
      <c r="W23" s="1"/>
      <c r="X23" s="1">
        <f t="shared" si="19"/>
        <v>-59</v>
      </c>
      <c r="Y23" s="1"/>
      <c r="Z23" s="5">
        <f t="shared" si="20"/>
        <v>-1</v>
      </c>
    </row>
    <row r="24" spans="1:26" s="24" customFormat="1" hidden="1" outlineLevel="2" x14ac:dyDescent="0.25">
      <c r="A24" s="29"/>
      <c r="B24" s="11" t="str">
        <f>CONCATENATE("          ", "6381", " - ", "BANK/CREDIT CARD FEES")</f>
        <v xml:space="preserve">          6381 - BANK/CREDIT CARD FEES</v>
      </c>
      <c r="C24" s="11"/>
      <c r="D24" s="6"/>
      <c r="E24" s="2"/>
      <c r="F24" s="7">
        <f t="shared" si="13"/>
        <v>0</v>
      </c>
      <c r="G24" s="2"/>
      <c r="H24" s="6">
        <v>34</v>
      </c>
      <c r="I24" s="2"/>
      <c r="J24" s="7">
        <f t="shared" si="14"/>
        <v>8.7628865979381437E-2</v>
      </c>
      <c r="K24" s="2"/>
      <c r="L24" s="6">
        <f t="shared" si="15"/>
        <v>-34</v>
      </c>
      <c r="M24" s="2"/>
      <c r="N24" s="7">
        <f t="shared" si="16"/>
        <v>-1</v>
      </c>
      <c r="O24" s="11"/>
      <c r="P24" s="6"/>
      <c r="Q24" s="2"/>
      <c r="R24" s="7">
        <f t="shared" si="17"/>
        <v>0</v>
      </c>
      <c r="S24" s="2"/>
      <c r="T24" s="6">
        <v>59</v>
      </c>
      <c r="U24" s="2"/>
      <c r="V24" s="7">
        <f t="shared" si="18"/>
        <v>8.9393939393939401E-2</v>
      </c>
      <c r="W24" s="2"/>
      <c r="X24" s="6">
        <f t="shared" si="19"/>
        <v>-59</v>
      </c>
      <c r="Y24" s="2"/>
      <c r="Z24" s="7">
        <f t="shared" si="20"/>
        <v>-1</v>
      </c>
    </row>
    <row r="25" spans="1:26" s="61" customFormat="1" x14ac:dyDescent="0.25">
      <c r="A25" s="36"/>
      <c r="B25" s="36"/>
      <c r="C25" s="36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0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3</v>
      </c>
      <c r="C28" s="26"/>
      <c r="D28" s="20">
        <f>+D20-D22+D26</f>
        <v>0</v>
      </c>
      <c r="E28" s="13"/>
      <c r="F28" s="21">
        <f>IF(D$12=0,0,D28/D$12)</f>
        <v>0</v>
      </c>
      <c r="G28" s="13"/>
      <c r="H28" s="20">
        <f>+H20-H22+H26</f>
        <v>160</v>
      </c>
      <c r="I28" s="13"/>
      <c r="J28" s="21">
        <f>IF(H$12=0,0,H28/H$12)</f>
        <v>0.41237113402061853</v>
      </c>
      <c r="K28" s="16"/>
      <c r="L28" s="20">
        <f>+D28-H28</f>
        <v>-160</v>
      </c>
      <c r="M28" s="16"/>
      <c r="N28" s="21">
        <f>IF(H28=0,0,L28/H28)</f>
        <v>-1</v>
      </c>
      <c r="O28" s="25"/>
      <c r="P28" s="20">
        <f>+P20-P22+P26</f>
        <v>41.09</v>
      </c>
      <c r="Q28" s="13"/>
      <c r="R28" s="21">
        <f>IF(P$12=0,0,P28/P$12)</f>
        <v>0.37354545454545457</v>
      </c>
      <c r="S28" s="13"/>
      <c r="T28" s="20">
        <f>+T20-T22+T26</f>
        <v>271</v>
      </c>
      <c r="U28" s="13"/>
      <c r="V28" s="21">
        <f>IF(T$12=0,0,T28/T$12)</f>
        <v>0.41060606060606059</v>
      </c>
      <c r="W28" s="16"/>
      <c r="X28" s="20">
        <f>+P28-T28</f>
        <v>-229.91</v>
      </c>
      <c r="Y28" s="16"/>
      <c r="Z28" s="21">
        <f>IF(T28=0,0,X28/T28)</f>
        <v>-0.84837638376383762</v>
      </c>
    </row>
    <row r="29" spans="1:26" x14ac:dyDescent="0.25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52"/>
      <c r="B30" s="10" t="s">
        <v>14</v>
      </c>
      <c r="C30" s="10"/>
      <c r="D30" s="4">
        <v>1.81</v>
      </c>
      <c r="E30" s="4"/>
      <c r="F30" s="12">
        <f>IF(D$12=0,0,D30/D$12)</f>
        <v>0</v>
      </c>
      <c r="G30" s="4"/>
      <c r="H30" s="4">
        <v>51</v>
      </c>
      <c r="I30" s="4"/>
      <c r="J30" s="12">
        <f>IF(H$12=0,0,H30/H$12)</f>
        <v>0.13144329896907217</v>
      </c>
      <c r="K30" s="4"/>
      <c r="L30" s="4">
        <f>+D30-H30</f>
        <v>-49.19</v>
      </c>
      <c r="M30" s="4"/>
      <c r="N30" s="12">
        <f>IF(H30=0,0,L30/H30)</f>
        <v>-0.9645098039215686</v>
      </c>
      <c r="O30" s="10"/>
      <c r="P30" s="4">
        <v>20.38</v>
      </c>
      <c r="Q30" s="4"/>
      <c r="R30" s="12">
        <f>IF(P$12=0,0,P30/P$12)</f>
        <v>0.18527272727272726</v>
      </c>
      <c r="S30" s="4"/>
      <c r="T30" s="4">
        <v>95</v>
      </c>
      <c r="U30" s="4"/>
      <c r="V30" s="12">
        <f>IF(T$12=0,0,T30/T$12)</f>
        <v>0.14393939393939395</v>
      </c>
      <c r="W30" s="4"/>
      <c r="X30" s="4">
        <f>+P30-T30</f>
        <v>-74.62</v>
      </c>
      <c r="Y30" s="4"/>
      <c r="Z30" s="12">
        <f>IF(T30=0,0,X30/T30)</f>
        <v>-0.78547368421052632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.75" thickBot="1" x14ac:dyDescent="0.3">
      <c r="A32" s="10"/>
      <c r="B32" s="26" t="s">
        <v>4</v>
      </c>
      <c r="C32" s="26"/>
      <c r="D32" s="33">
        <f>+D28-D30</f>
        <v>-1.81</v>
      </c>
      <c r="E32" s="13"/>
      <c r="F32" s="34">
        <f>IF(D$12=0,0,D32/D$12)</f>
        <v>0</v>
      </c>
      <c r="G32" s="13"/>
      <c r="H32" s="33">
        <f>+H28-H30</f>
        <v>109</v>
      </c>
      <c r="I32" s="13"/>
      <c r="J32" s="34">
        <f>IF(H$12=0,0,H32/H$12)</f>
        <v>0.28092783505154639</v>
      </c>
      <c r="K32" s="16"/>
      <c r="L32" s="33">
        <f>D32-H32</f>
        <v>-110.81</v>
      </c>
      <c r="M32" s="16"/>
      <c r="N32" s="34">
        <f>IF(H32=0,0,L32/H32)</f>
        <v>-1.016605504587156</v>
      </c>
      <c r="O32" s="25"/>
      <c r="P32" s="33">
        <f>+P28-P30</f>
        <v>20.710000000000004</v>
      </c>
      <c r="Q32" s="13"/>
      <c r="R32" s="34">
        <f>IF(P$12=0,0,P32/P$12)</f>
        <v>0.18827272727272731</v>
      </c>
      <c r="S32" s="13"/>
      <c r="T32" s="33">
        <f>+T28-T30</f>
        <v>176</v>
      </c>
      <c r="U32" s="13"/>
      <c r="V32" s="34">
        <f>IF(T$12=0,0,T32/T$12)</f>
        <v>0.26666666666666666</v>
      </c>
      <c r="W32" s="16"/>
      <c r="X32" s="33">
        <f>P32-T32</f>
        <v>-155.29</v>
      </c>
      <c r="Y32" s="16"/>
      <c r="Z32" s="34">
        <f>IF(T32=0,0,X32/T32)</f>
        <v>-0.88232954545454545</v>
      </c>
    </row>
    <row r="33" spans="1:26" ht="15.75" thickTop="1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25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.75" thickBot="1" x14ac:dyDescent="0.3">
      <c r="A35" s="10"/>
      <c r="B35" s="26" t="s">
        <v>5</v>
      </c>
      <c r="C35" s="26"/>
      <c r="D35" s="31">
        <f>SUM(D32:D34)</f>
        <v>-1.81</v>
      </c>
      <c r="E35" s="13"/>
      <c r="F35" s="32">
        <f>IF(D$12=0,0,D35/D$12)</f>
        <v>0</v>
      </c>
      <c r="G35" s="13"/>
      <c r="H35" s="31">
        <f>SUM(H32:H34)</f>
        <v>109</v>
      </c>
      <c r="I35" s="13"/>
      <c r="J35" s="32">
        <f>IF(H$12=0,0,H35/H$12)</f>
        <v>0.28092783505154639</v>
      </c>
      <c r="K35" s="16"/>
      <c r="L35" s="31">
        <f>+D35-H35</f>
        <v>-110.81</v>
      </c>
      <c r="M35" s="16"/>
      <c r="N35" s="32">
        <f>IF(H35=0,0,L35/H35)</f>
        <v>-1.016605504587156</v>
      </c>
      <c r="O35" s="25"/>
      <c r="P35" s="31">
        <f>SUM(P32:P34)</f>
        <v>20.710000000000004</v>
      </c>
      <c r="Q35" s="13"/>
      <c r="R35" s="32">
        <f>IF(P$12=0,0,P35/P$12)</f>
        <v>0.18827272727272731</v>
      </c>
      <c r="S35" s="13"/>
      <c r="T35" s="31">
        <f>SUM(T32:T34)</f>
        <v>176</v>
      </c>
      <c r="U35" s="13"/>
      <c r="V35" s="32">
        <f>IF(T$12=0,0,T35/T$12)</f>
        <v>0.26666666666666666</v>
      </c>
      <c r="W35" s="16"/>
      <c r="X35" s="31">
        <f>+P35-T35</f>
        <v>-155.29</v>
      </c>
      <c r="Y35" s="16"/>
      <c r="Z35" s="32">
        <f>IF(T35=0,0,X35/T35)</f>
        <v>-0.88232954545454545</v>
      </c>
    </row>
    <row r="36" spans="1:26" ht="15.75" thickTop="1" x14ac:dyDescent="0.25">
      <c r="A36" s="9"/>
      <c r="C36" s="9"/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  <row r="37" spans="1:26" x14ac:dyDescent="0.25">
      <c r="A37" s="9"/>
      <c r="B37" s="55">
        <v>44123.572212696759</v>
      </c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3" t="s">
        <v>314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62"/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6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310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231032.62999999998</v>
      </c>
      <c r="E12" s="4"/>
      <c r="F12" s="12"/>
      <c r="G12" s="4"/>
      <c r="H12" s="4">
        <f>SUM(OSRRefH13x_0)</f>
        <v>485574</v>
      </c>
      <c r="I12" s="4"/>
      <c r="J12" s="12"/>
      <c r="K12" s="4"/>
      <c r="L12" s="4">
        <f t="shared" ref="L12:L19" si="0">+D12-H12</f>
        <v>-254541.37000000002</v>
      </c>
      <c r="M12" s="4"/>
      <c r="N12" s="12">
        <f t="shared" ref="N12:N19" si="1">IF(H12=0,0,L12/H12)</f>
        <v>-0.52420716512828125</v>
      </c>
      <c r="O12" s="10"/>
      <c r="P12" s="4">
        <f>SUM(OSRRefP13x_0)</f>
        <v>305882.48</v>
      </c>
      <c r="Q12" s="4"/>
      <c r="R12" s="12"/>
      <c r="S12" s="4"/>
      <c r="T12" s="4">
        <f>SUM(OSRRefT13x_0)</f>
        <v>632377</v>
      </c>
      <c r="U12" s="4"/>
      <c r="V12" s="12"/>
      <c r="W12" s="4"/>
      <c r="X12" s="4">
        <f t="shared" ref="X12:X19" si="2">+P12-T12</f>
        <v>-326494.52</v>
      </c>
      <c r="Y12" s="4"/>
      <c r="Z12" s="12">
        <f t="shared" ref="Z12:Z19" si="3">IF(T12=0,0,X12/T12)</f>
        <v>-0.51629727203867315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6548</v>
      </c>
      <c r="I13" s="2"/>
      <c r="J13" s="22"/>
      <c r="K13" s="2"/>
      <c r="L13" s="2">
        <f t="shared" si="0"/>
        <v>-6548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10539</v>
      </c>
      <c r="U13" s="2"/>
      <c r="V13" s="22"/>
      <c r="W13" s="2"/>
      <c r="X13" s="2">
        <f t="shared" si="2"/>
        <v>-10539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--4141.96</f>
        <v>4141.96</v>
      </c>
      <c r="E14" s="2"/>
      <c r="F14" s="22"/>
      <c r="G14" s="2"/>
      <c r="H14" s="2"/>
      <c r="I14" s="2"/>
      <c r="J14" s="22"/>
      <c r="K14" s="2"/>
      <c r="L14" s="2">
        <f t="shared" si="0"/>
        <v>4141.96</v>
      </c>
      <c r="M14" s="2"/>
      <c r="N14" s="22">
        <f t="shared" si="1"/>
        <v>0</v>
      </c>
      <c r="O14" s="11"/>
      <c r="P14" s="2">
        <f>--6652.68</f>
        <v>6652.68</v>
      </c>
      <c r="Q14" s="2"/>
      <c r="R14" s="22"/>
      <c r="S14" s="2"/>
      <c r="T14" s="2"/>
      <c r="U14" s="2"/>
      <c r="V14" s="22"/>
      <c r="W14" s="2"/>
      <c r="X14" s="2">
        <f t="shared" si="2"/>
        <v>6652.68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"4053", " - ", "TAXABLE SALES-FOOD")</f>
        <v xml:space="preserve">          4053 - TAXABLE SALES-FOOD</v>
      </c>
      <c r="C15" s="11"/>
      <c r="D15" s="2">
        <f>--62.54</f>
        <v>62.54</v>
      </c>
      <c r="E15" s="2"/>
      <c r="F15" s="22"/>
      <c r="G15" s="2"/>
      <c r="H15" s="2"/>
      <c r="I15" s="2"/>
      <c r="J15" s="22"/>
      <c r="K15" s="2"/>
      <c r="L15" s="2">
        <f t="shared" si="0"/>
        <v>62.54</v>
      </c>
      <c r="M15" s="2"/>
      <c r="N15" s="22">
        <f t="shared" si="1"/>
        <v>0</v>
      </c>
      <c r="O15" s="11"/>
      <c r="P15" s="2">
        <f>--402.44</f>
        <v>402.44</v>
      </c>
      <c r="Q15" s="2"/>
      <c r="R15" s="22"/>
      <c r="S15" s="2"/>
      <c r="T15" s="2"/>
      <c r="U15" s="2"/>
      <c r="V15" s="22"/>
      <c r="W15" s="2"/>
      <c r="X15" s="2">
        <f t="shared" si="2"/>
        <v>402.44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--974.91</f>
        <v>974.91</v>
      </c>
      <c r="Q16" s="2"/>
      <c r="R16" s="22"/>
      <c r="S16" s="2"/>
      <c r="T16" s="2"/>
      <c r="U16" s="2"/>
      <c r="V16" s="22"/>
      <c r="W16" s="2"/>
      <c r="X16" s="2">
        <f t="shared" si="2"/>
        <v>974.91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22"/>
      <c r="G17" s="2"/>
      <c r="H17" s="2">
        <v>479026</v>
      </c>
      <c r="I17" s="2"/>
      <c r="J17" s="22"/>
      <c r="K17" s="2"/>
      <c r="L17" s="2">
        <f t="shared" si="0"/>
        <v>-479026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621838</v>
      </c>
      <c r="U17" s="2"/>
      <c r="V17" s="22"/>
      <c r="W17" s="2"/>
      <c r="X17" s="2">
        <f t="shared" si="2"/>
        <v>-621838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"4151", " - ", "NON-TAXABLE SALES-FOOD")</f>
        <v xml:space="preserve">          4151 - NON-TAXABLE SALES-FOOD</v>
      </c>
      <c r="C18" s="11"/>
      <c r="D18" s="2">
        <f>--223549.77</f>
        <v>223549.77</v>
      </c>
      <c r="E18" s="2"/>
      <c r="F18" s="22"/>
      <c r="G18" s="2"/>
      <c r="H18" s="2"/>
      <c r="I18" s="2"/>
      <c r="J18" s="22"/>
      <c r="K18" s="2"/>
      <c r="L18" s="2">
        <f t="shared" si="0"/>
        <v>223549.77</v>
      </c>
      <c r="M18" s="2"/>
      <c r="N18" s="22">
        <f t="shared" si="1"/>
        <v>0</v>
      </c>
      <c r="O18" s="11"/>
      <c r="P18" s="2">
        <f>--267608.67</f>
        <v>267608.67</v>
      </c>
      <c r="Q18" s="2"/>
      <c r="R18" s="22"/>
      <c r="S18" s="2"/>
      <c r="T18" s="2"/>
      <c r="U18" s="2"/>
      <c r="V18" s="22"/>
      <c r="W18" s="2"/>
      <c r="X18" s="2">
        <f t="shared" si="2"/>
        <v>267608.67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"4153", " - ", "NON-TAXABLE SALES-FOOD")</f>
        <v xml:space="preserve">          4153 - NON-TAXABLE SALES-FOOD</v>
      </c>
      <c r="C19" s="11"/>
      <c r="D19" s="2">
        <f>--3278.36</f>
        <v>3278.36</v>
      </c>
      <c r="E19" s="2"/>
      <c r="F19" s="22"/>
      <c r="G19" s="2"/>
      <c r="H19" s="2"/>
      <c r="I19" s="2"/>
      <c r="J19" s="22"/>
      <c r="K19" s="2"/>
      <c r="L19" s="2">
        <f t="shared" si="0"/>
        <v>3278.36</v>
      </c>
      <c r="M19" s="2"/>
      <c r="N19" s="22">
        <f t="shared" si="1"/>
        <v>0</v>
      </c>
      <c r="O19" s="11"/>
      <c r="P19" s="2">
        <f>--30243.78</f>
        <v>30243.78</v>
      </c>
      <c r="Q19" s="2"/>
      <c r="R19" s="22"/>
      <c r="S19" s="2"/>
      <c r="T19" s="2"/>
      <c r="U19" s="2"/>
      <c r="V19" s="22"/>
      <c r="W19" s="2"/>
      <c r="X19" s="2">
        <f t="shared" si="2"/>
        <v>30243.78</v>
      </c>
      <c r="Y19" s="2"/>
      <c r="Z19" s="22">
        <f t="shared" si="3"/>
        <v>0</v>
      </c>
    </row>
    <row r="20" spans="1:26" x14ac:dyDescent="0.25">
      <c r="A20" s="9"/>
      <c r="B20" s="10"/>
      <c r="C20" s="9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collapsed="1" x14ac:dyDescent="0.25">
      <c r="A21" s="10"/>
      <c r="B21" s="25" t="s">
        <v>8</v>
      </c>
      <c r="C21" s="10"/>
      <c r="D21" s="4">
        <f>SUM(OSRRefD16x_0)</f>
        <v>45417.08</v>
      </c>
      <c r="E21" s="4"/>
      <c r="F21" s="12">
        <f t="shared" ref="F21:F24" si="5">IF(D$12=0,0,D21/D$12)</f>
        <v>0.19658296752281271</v>
      </c>
      <c r="G21" s="4"/>
      <c r="H21" s="4">
        <f>SUM(OSRRefH16x_0)</f>
        <v>128328</v>
      </c>
      <c r="I21" s="4"/>
      <c r="J21" s="12">
        <f t="shared" ref="J21:J24" si="6">IF(H$12=0,0,H21/H$12)</f>
        <v>0.26428103646406109</v>
      </c>
      <c r="K21" s="4"/>
      <c r="L21" s="4">
        <f t="shared" ref="L21:L24" si="7">+D21-H21</f>
        <v>-82910.92</v>
      </c>
      <c r="M21" s="4"/>
      <c r="N21" s="12">
        <f t="shared" ref="N21:N24" si="8">IF(H21=0,0,L21/H21)</f>
        <v>-0.64608596720902689</v>
      </c>
      <c r="O21" s="10"/>
      <c r="P21" s="4">
        <f>SUM(OSRRefP16x_0)</f>
        <v>107425.23999999999</v>
      </c>
      <c r="Q21" s="4"/>
      <c r="R21" s="12">
        <f t="shared" ref="R21:R24" si="9">IF(P$12=0,0,P21/P$12)</f>
        <v>0.35119775411785598</v>
      </c>
      <c r="S21" s="4"/>
      <c r="T21" s="4">
        <f>SUM(OSRRefT16x_0)</f>
        <v>184877</v>
      </c>
      <c r="U21" s="4"/>
      <c r="V21" s="12">
        <f t="shared" ref="V21:V24" si="10">IF(T$12=0,0,T21/T$12)</f>
        <v>0.29235250491399911</v>
      </c>
      <c r="W21" s="4"/>
      <c r="X21" s="4">
        <f t="shared" ref="X21:X24" si="11">+P21-T21</f>
        <v>-77451.760000000009</v>
      </c>
      <c r="Y21" s="4"/>
      <c r="Z21" s="12">
        <f t="shared" ref="Z21:Z24" si="12">IF(T21=0,0,X21/T21)</f>
        <v>-0.41893669845356646</v>
      </c>
    </row>
    <row r="22" spans="1:26" s="24" customFormat="1" hidden="1" outlineLevel="1" x14ac:dyDescent="0.25">
      <c r="A22" s="51"/>
      <c r="B22" s="11" t="str">
        <f>CONCATENATE("          ", "5000", " - ", "PURCHASES @ COST")</f>
        <v xml:space="preserve">          5000 - PURCHASES @ COST</v>
      </c>
      <c r="C22" s="11"/>
      <c r="D22" s="2"/>
      <c r="E22" s="2"/>
      <c r="F22" s="22">
        <f t="shared" si="5"/>
        <v>0</v>
      </c>
      <c r="G22" s="2"/>
      <c r="H22" s="2">
        <v>128328</v>
      </c>
      <c r="I22" s="2"/>
      <c r="J22" s="22">
        <f t="shared" si="6"/>
        <v>0.26428103646406109</v>
      </c>
      <c r="K22" s="2"/>
      <c r="L22" s="2">
        <f t="shared" si="7"/>
        <v>-128328</v>
      </c>
      <c r="M22" s="2"/>
      <c r="N22" s="22">
        <f t="shared" si="8"/>
        <v>-1</v>
      </c>
      <c r="O22" s="11"/>
      <c r="P22" s="2"/>
      <c r="Q22" s="2"/>
      <c r="R22" s="22">
        <f t="shared" si="9"/>
        <v>0</v>
      </c>
      <c r="S22" s="2"/>
      <c r="T22" s="2">
        <v>184877</v>
      </c>
      <c r="U22" s="2"/>
      <c r="V22" s="22">
        <f t="shared" si="10"/>
        <v>0.29235250491399911</v>
      </c>
      <c r="W22" s="2"/>
      <c r="X22" s="2">
        <f t="shared" si="11"/>
        <v>-184877</v>
      </c>
      <c r="Y22" s="2"/>
      <c r="Z22" s="22">
        <f t="shared" si="12"/>
        <v>-1</v>
      </c>
    </row>
    <row r="23" spans="1:26" s="24" customFormat="1" hidden="1" outlineLevel="1" x14ac:dyDescent="0.25">
      <c r="A23" s="51"/>
      <c r="B23" s="11" t="str">
        <f>CONCATENATE("          ", "5053", " - ", "PURCHASES @ COST-FOOD")</f>
        <v xml:space="preserve">          5053 - PURCHASES @ COST-FOOD</v>
      </c>
      <c r="C23" s="11"/>
      <c r="D23" s="2">
        <v>41555.599999999999</v>
      </c>
      <c r="E23" s="2"/>
      <c r="F23" s="22">
        <f t="shared" si="5"/>
        <v>0.17986896482977319</v>
      </c>
      <c r="G23" s="2"/>
      <c r="H23" s="2"/>
      <c r="I23" s="2"/>
      <c r="J23" s="22">
        <f t="shared" si="6"/>
        <v>0</v>
      </c>
      <c r="K23" s="2"/>
      <c r="L23" s="2">
        <f t="shared" si="7"/>
        <v>41555.599999999999</v>
      </c>
      <c r="M23" s="2"/>
      <c r="N23" s="22">
        <f t="shared" si="8"/>
        <v>0</v>
      </c>
      <c r="O23" s="11"/>
      <c r="P23" s="2">
        <v>130365.75999999999</v>
      </c>
      <c r="Q23" s="2"/>
      <c r="R23" s="22">
        <f t="shared" si="9"/>
        <v>0.42619557681106812</v>
      </c>
      <c r="S23" s="2"/>
      <c r="T23" s="2"/>
      <c r="U23" s="2"/>
      <c r="V23" s="22">
        <f t="shared" si="10"/>
        <v>0</v>
      </c>
      <c r="W23" s="2"/>
      <c r="X23" s="2">
        <f t="shared" si="11"/>
        <v>130365.75999999999</v>
      </c>
      <c r="Y23" s="2"/>
      <c r="Z23" s="22">
        <f t="shared" si="12"/>
        <v>0</v>
      </c>
    </row>
    <row r="24" spans="1:26" s="24" customFormat="1" hidden="1" outlineLevel="1" x14ac:dyDescent="0.25">
      <c r="A24" s="51"/>
      <c r="B24" s="11" t="str">
        <f>CONCATENATE("          ", "5059", " - ", "PURCHASES @ COST-FOOD")</f>
        <v xml:space="preserve">          5059 - PURCHASES @ COST-FOOD</v>
      </c>
      <c r="C24" s="11"/>
      <c r="D24" s="2">
        <v>3861.48</v>
      </c>
      <c r="E24" s="2"/>
      <c r="F24" s="22">
        <f t="shared" si="5"/>
        <v>1.671400269303951E-2</v>
      </c>
      <c r="G24" s="2"/>
      <c r="H24" s="2"/>
      <c r="I24" s="2"/>
      <c r="J24" s="22">
        <f t="shared" si="6"/>
        <v>0</v>
      </c>
      <c r="K24" s="2"/>
      <c r="L24" s="2">
        <f t="shared" si="7"/>
        <v>3861.48</v>
      </c>
      <c r="M24" s="2"/>
      <c r="N24" s="22">
        <f t="shared" si="8"/>
        <v>0</v>
      </c>
      <c r="O24" s="11"/>
      <c r="P24" s="2">
        <v>-22940.52</v>
      </c>
      <c r="Q24" s="2"/>
      <c r="R24" s="22">
        <f t="shared" si="9"/>
        <v>-7.4997822693212118E-2</v>
      </c>
      <c r="S24" s="2"/>
      <c r="T24" s="2"/>
      <c r="U24" s="2"/>
      <c r="V24" s="22">
        <f t="shared" si="10"/>
        <v>0</v>
      </c>
      <c r="W24" s="2"/>
      <c r="X24" s="2">
        <f t="shared" si="11"/>
        <v>-22940.52</v>
      </c>
      <c r="Y24" s="2"/>
      <c r="Z24" s="22">
        <f t="shared" si="12"/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6</v>
      </c>
      <c r="C26" s="26"/>
      <c r="D26" s="20">
        <f>D12-D21</f>
        <v>185615.55</v>
      </c>
      <c r="E26" s="13"/>
      <c r="F26" s="21">
        <f>IF(D$12=0,0,D26/D$12)</f>
        <v>0.80341703247718732</v>
      </c>
      <c r="G26" s="13"/>
      <c r="H26" s="20">
        <f>H12-H21</f>
        <v>357246</v>
      </c>
      <c r="I26" s="13"/>
      <c r="J26" s="21">
        <f>IF(H$12=0,0,H26/H$12)</f>
        <v>0.73571896353593891</v>
      </c>
      <c r="K26" s="16"/>
      <c r="L26" s="20">
        <f>+D26-H26</f>
        <v>-171630.45</v>
      </c>
      <c r="M26" s="16"/>
      <c r="N26" s="21">
        <f>IF(H26=0,0,L26/H26)</f>
        <v>-0.48042651282309673</v>
      </c>
      <c r="O26" s="25"/>
      <c r="P26" s="20">
        <f>P12-P21</f>
        <v>198457.24</v>
      </c>
      <c r="Q26" s="13"/>
      <c r="R26" s="21">
        <f>IF(P$12=0,0,P26/P$12)</f>
        <v>0.64880224588214408</v>
      </c>
      <c r="S26" s="13"/>
      <c r="T26" s="20">
        <f>T12-T21</f>
        <v>447500</v>
      </c>
      <c r="U26" s="13"/>
      <c r="V26" s="21">
        <f>IF(T$12=0,0,T26/T$12)</f>
        <v>0.70764749508600089</v>
      </c>
      <c r="W26" s="16"/>
      <c r="X26" s="20">
        <f>+P26-T26</f>
        <v>-249042.76</v>
      </c>
      <c r="Y26" s="16"/>
      <c r="Z26" s="21">
        <f>IF(T26=0,0,X26/T26)</f>
        <v>-0.55652013407821233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9</v>
      </c>
      <c r="C28" s="10"/>
      <c r="D28" s="19">
        <f>SUM(OSRRefD22x_0)</f>
        <v>359684.63000000012</v>
      </c>
      <c r="E28" s="19"/>
      <c r="F28" s="35">
        <f t="shared" ref="F28:F39" si="13">IF(D$12=0,0,D28/D$12)</f>
        <v>1.5568564059544323</v>
      </c>
      <c r="G28" s="19"/>
      <c r="H28" s="19">
        <f>SUM(OSRRefH22x_0)</f>
        <v>465559.28560870566</v>
      </c>
      <c r="I28" s="19"/>
      <c r="J28" s="35">
        <f t="shared" ref="J28:J39" si="14">IF(H$12=0,0,H28/H$12)</f>
        <v>0.95878133015504463</v>
      </c>
      <c r="K28" s="4"/>
      <c r="L28" s="19">
        <f t="shared" ref="L28:L39" si="15">+D28-H28</f>
        <v>-105874.65560870554</v>
      </c>
      <c r="M28" s="4"/>
      <c r="N28" s="35">
        <f t="shared" ref="N28:N39" si="16">IF(H28=0,0,L28/H28)</f>
        <v>-0.22741390598681199</v>
      </c>
      <c r="O28" s="10"/>
      <c r="P28" s="19">
        <f>SUM(OSRRefP22x_0)</f>
        <v>955708.68999999983</v>
      </c>
      <c r="Q28" s="19"/>
      <c r="R28" s="35">
        <f t="shared" ref="R28:R39" si="17">IF(P$12=0,0,P28/P$12)</f>
        <v>3.1244309579286784</v>
      </c>
      <c r="S28" s="19"/>
      <c r="T28" s="19">
        <f>SUM(OSRRefT22x_0)</f>
        <v>1286020.8610047102</v>
      </c>
      <c r="U28" s="19"/>
      <c r="V28" s="35">
        <f t="shared" ref="V28:V39" si="18">IF(T$12=0,0,T28/T$12)</f>
        <v>2.0336300355716768</v>
      </c>
      <c r="W28" s="4"/>
      <c r="X28" s="19">
        <f t="shared" ref="X28:X39" si="19">+P28-T28</f>
        <v>-330312.17100471037</v>
      </c>
      <c r="Y28" s="4"/>
      <c r="Z28" s="35">
        <f t="shared" ref="Z28:Z39" si="20">IF(T28=0,0,X28/T28)</f>
        <v>-0.25684822153402109</v>
      </c>
    </row>
    <row r="29" spans="1:26" s="28" customFormat="1" outlineLevel="1" collapsed="1" x14ac:dyDescent="0.25">
      <c r="A29" s="27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97784.810000000012</v>
      </c>
      <c r="E29" s="1"/>
      <c r="F29" s="5">
        <f t="shared" si="13"/>
        <v>0.42325107929559569</v>
      </c>
      <c r="G29" s="1"/>
      <c r="H29" s="1">
        <f>SUM(OSRRefH22_0x_0)</f>
        <v>111558.31530460312</v>
      </c>
      <c r="I29" s="1"/>
      <c r="J29" s="5">
        <f t="shared" si="14"/>
        <v>0.22974524028181723</v>
      </c>
      <c r="K29" s="1"/>
      <c r="L29" s="1">
        <f t="shared" si="15"/>
        <v>-13773.50530460311</v>
      </c>
      <c r="M29" s="1"/>
      <c r="N29" s="5">
        <f t="shared" si="16"/>
        <v>-0.12346462266838111</v>
      </c>
      <c r="O29" s="14"/>
      <c r="P29" s="1">
        <f>SUM(OSRRefP22_0x_0)</f>
        <v>288957.96999999997</v>
      </c>
      <c r="Q29" s="1"/>
      <c r="R29" s="5">
        <f t="shared" si="17"/>
        <v>0.94466989413712088</v>
      </c>
      <c r="S29" s="1"/>
      <c r="T29" s="1">
        <f>SUM(OSRRefT22_0x_0)</f>
        <v>348338.68678471004</v>
      </c>
      <c r="U29" s="1"/>
      <c r="V29" s="5">
        <f t="shared" si="18"/>
        <v>0.55084022155250745</v>
      </c>
      <c r="W29" s="1"/>
      <c r="X29" s="1">
        <f t="shared" si="19"/>
        <v>-59380.716784710065</v>
      </c>
      <c r="Y29" s="1"/>
      <c r="Z29" s="5">
        <f t="shared" si="20"/>
        <v>-0.17046833738972608</v>
      </c>
    </row>
    <row r="30" spans="1:26" s="24" customFormat="1" hidden="1" outlineLevel="2" x14ac:dyDescent="0.25">
      <c r="A30" s="29"/>
      <c r="B30" s="11" t="str">
        <f>CONCATENATE("          ", "6111", " - ", "F.I.C.A.")</f>
        <v xml:space="preserve">          6111 - F.I.C.A.</v>
      </c>
      <c r="C30" s="11"/>
      <c r="D30" s="6">
        <v>10588.36</v>
      </c>
      <c r="E30" s="2"/>
      <c r="F30" s="7">
        <f t="shared" si="13"/>
        <v>4.5830582459282926E-2</v>
      </c>
      <c r="G30" s="2"/>
      <c r="H30" s="6">
        <v>11521.50807052615</v>
      </c>
      <c r="I30" s="2"/>
      <c r="J30" s="7">
        <f t="shared" si="14"/>
        <v>2.3727605000527521E-2</v>
      </c>
      <c r="K30" s="2"/>
      <c r="L30" s="6">
        <f t="shared" si="15"/>
        <v>-933.14807052614924</v>
      </c>
      <c r="M30" s="2"/>
      <c r="N30" s="7">
        <f t="shared" si="16"/>
        <v>-8.0991834125715756E-2</v>
      </c>
      <c r="O30" s="11"/>
      <c r="P30" s="6">
        <v>29006.070000000003</v>
      </c>
      <c r="Q30" s="2"/>
      <c r="R30" s="7">
        <f t="shared" si="17"/>
        <v>9.4827497148578119E-2</v>
      </c>
      <c r="S30" s="2"/>
      <c r="T30" s="6">
        <v>37254.724179209989</v>
      </c>
      <c r="U30" s="2"/>
      <c r="V30" s="7">
        <f t="shared" si="18"/>
        <v>5.8912206135280046E-2</v>
      </c>
      <c r="W30" s="2"/>
      <c r="X30" s="6">
        <f t="shared" si="19"/>
        <v>-8248.6541792099852</v>
      </c>
      <c r="Y30" s="2"/>
      <c r="Z30" s="7">
        <f t="shared" si="20"/>
        <v>-0.22141230034426479</v>
      </c>
    </row>
    <row r="31" spans="1:26" s="24" customFormat="1" hidden="1" outlineLevel="2" x14ac:dyDescent="0.25">
      <c r="A31" s="29"/>
      <c r="B31" s="11" t="str">
        <f>CONCATENATE("          ", "6112", " - ", "COMPENSATION INSURANCE")</f>
        <v xml:space="preserve">          6112 - COMPENSATION INSURANCE</v>
      </c>
      <c r="C31" s="11"/>
      <c r="D31" s="6">
        <v>6099.43</v>
      </c>
      <c r="E31" s="2"/>
      <c r="F31" s="7">
        <f t="shared" si="13"/>
        <v>2.6400729628537758E-2</v>
      </c>
      <c r="G31" s="2"/>
      <c r="H31" s="6">
        <v>8010.7240513384613</v>
      </c>
      <c r="I31" s="2"/>
      <c r="J31" s="7">
        <f t="shared" si="14"/>
        <v>1.6497432011060027E-2</v>
      </c>
      <c r="K31" s="2"/>
      <c r="L31" s="6">
        <f t="shared" si="15"/>
        <v>-1911.294051338461</v>
      </c>
      <c r="M31" s="2"/>
      <c r="N31" s="7">
        <f t="shared" si="16"/>
        <v>-0.23859192241419364</v>
      </c>
      <c r="O31" s="11"/>
      <c r="P31" s="6">
        <v>14716.83</v>
      </c>
      <c r="Q31" s="2"/>
      <c r="R31" s="7">
        <f t="shared" si="17"/>
        <v>4.8112693476265789E-2</v>
      </c>
      <c r="S31" s="2"/>
      <c r="T31" s="6">
        <v>21949.7441889</v>
      </c>
      <c r="U31" s="2"/>
      <c r="V31" s="7">
        <f t="shared" si="18"/>
        <v>3.4709902777773388E-2</v>
      </c>
      <c r="W31" s="2"/>
      <c r="X31" s="6">
        <f t="shared" si="19"/>
        <v>-7232.9141889000002</v>
      </c>
      <c r="Y31" s="2"/>
      <c r="Z31" s="7">
        <f t="shared" si="20"/>
        <v>-0.32952157103305513</v>
      </c>
    </row>
    <row r="32" spans="1:26" s="24" customFormat="1" hidden="1" outlineLevel="2" x14ac:dyDescent="0.25">
      <c r="A32" s="29"/>
      <c r="B32" s="11" t="str">
        <f>CONCATENATE("          ", "6113", " - ", "GROUP INSURANCE")</f>
        <v xml:space="preserve">          6113 - GROUP INSURANCE</v>
      </c>
      <c r="C32" s="11"/>
      <c r="D32" s="6">
        <v>55053.17</v>
      </c>
      <c r="E32" s="2"/>
      <c r="F32" s="7">
        <f t="shared" si="13"/>
        <v>0.23829175125608881</v>
      </c>
      <c r="G32" s="2"/>
      <c r="H32" s="6">
        <v>66855.384615384639</v>
      </c>
      <c r="I32" s="2"/>
      <c r="J32" s="7">
        <f t="shared" si="14"/>
        <v>0.13768320506325429</v>
      </c>
      <c r="K32" s="2"/>
      <c r="L32" s="6">
        <f t="shared" si="15"/>
        <v>-11802.214615384641</v>
      </c>
      <c r="M32" s="2"/>
      <c r="N32" s="7">
        <f t="shared" si="16"/>
        <v>-0.17653349364874849</v>
      </c>
      <c r="O32" s="11"/>
      <c r="P32" s="6">
        <v>165415.94999999998</v>
      </c>
      <c r="Q32" s="2"/>
      <c r="R32" s="7">
        <f t="shared" si="17"/>
        <v>0.54078268882872926</v>
      </c>
      <c r="S32" s="2"/>
      <c r="T32" s="6">
        <v>211440</v>
      </c>
      <c r="U32" s="2"/>
      <c r="V32" s="7">
        <f t="shared" si="18"/>
        <v>0.33435751142119335</v>
      </c>
      <c r="W32" s="2"/>
      <c r="X32" s="6">
        <f t="shared" si="19"/>
        <v>-46024.050000000017</v>
      </c>
      <c r="Y32" s="2"/>
      <c r="Z32" s="7">
        <f t="shared" si="20"/>
        <v>-0.21766955164585705</v>
      </c>
    </row>
    <row r="33" spans="1:26" s="24" customFormat="1" hidden="1" outlineLevel="2" x14ac:dyDescent="0.25">
      <c r="A33" s="29"/>
      <c r="B33" s="11" t="str">
        <f>CONCATENATE("          ", "6114", " - ", "STATE UNEMPLOYMENT INSURANCE")</f>
        <v xml:space="preserve">          6114 - STATE UNEMPLOYMENT INSURANCE</v>
      </c>
      <c r="C33" s="11"/>
      <c r="D33" s="6">
        <v>410.96</v>
      </c>
      <c r="E33" s="2"/>
      <c r="F33" s="7">
        <f t="shared" si="13"/>
        <v>1.7787963544370336E-3</v>
      </c>
      <c r="G33" s="2"/>
      <c r="H33" s="6">
        <v>512.06458120000002</v>
      </c>
      <c r="I33" s="2"/>
      <c r="J33" s="7">
        <f t="shared" si="14"/>
        <v>1.0545551887045023E-3</v>
      </c>
      <c r="K33" s="2"/>
      <c r="L33" s="6">
        <f t="shared" si="15"/>
        <v>-101.10458120000004</v>
      </c>
      <c r="M33" s="2"/>
      <c r="N33" s="7">
        <f t="shared" si="16"/>
        <v>-0.19744498040279618</v>
      </c>
      <c r="O33" s="11"/>
      <c r="P33" s="6">
        <v>1108.99</v>
      </c>
      <c r="Q33" s="2"/>
      <c r="R33" s="7">
        <f t="shared" si="17"/>
        <v>3.6255427247745609E-3</v>
      </c>
      <c r="S33" s="2"/>
      <c r="T33" s="6">
        <v>1416.6275266</v>
      </c>
      <c r="U33" s="2"/>
      <c r="V33" s="7">
        <f t="shared" si="18"/>
        <v>2.2401629512142284E-3</v>
      </c>
      <c r="W33" s="2"/>
      <c r="X33" s="6">
        <f t="shared" si="19"/>
        <v>-307.6375266</v>
      </c>
      <c r="Y33" s="2"/>
      <c r="Z33" s="7">
        <f t="shared" si="20"/>
        <v>-0.21716190093972723</v>
      </c>
    </row>
    <row r="34" spans="1:26" s="24" customFormat="1" hidden="1" outlineLevel="2" x14ac:dyDescent="0.25">
      <c r="A34" s="29"/>
      <c r="B34" s="11" t="str">
        <f>CONCATENATE("          ", "6115", " - ", "P.E.R.S.")</f>
        <v xml:space="preserve">          6115 - P.E.R.S.</v>
      </c>
      <c r="C34" s="11"/>
      <c r="D34" s="6">
        <v>6333.53</v>
      </c>
      <c r="E34" s="2"/>
      <c r="F34" s="7">
        <f t="shared" si="13"/>
        <v>2.7414006411129028E-2</v>
      </c>
      <c r="G34" s="2"/>
      <c r="H34" s="6">
        <v>5989.2751107692384</v>
      </c>
      <c r="I34" s="2"/>
      <c r="J34" s="7">
        <f t="shared" si="14"/>
        <v>1.2334422993754274E-2</v>
      </c>
      <c r="K34" s="2"/>
      <c r="L34" s="6">
        <f t="shared" si="15"/>
        <v>344.25488923076136</v>
      </c>
      <c r="M34" s="2"/>
      <c r="N34" s="7">
        <f t="shared" si="16"/>
        <v>5.747855673080722E-2</v>
      </c>
      <c r="O34" s="11"/>
      <c r="P34" s="6">
        <v>22693.62</v>
      </c>
      <c r="Q34" s="2"/>
      <c r="R34" s="7">
        <f t="shared" si="17"/>
        <v>7.4190649951576176E-2</v>
      </c>
      <c r="S34" s="2"/>
      <c r="T34" s="6">
        <v>19465.144110000027</v>
      </c>
      <c r="U34" s="2"/>
      <c r="V34" s="7">
        <f t="shared" si="18"/>
        <v>3.0780917253473841E-2</v>
      </c>
      <c r="W34" s="2"/>
      <c r="X34" s="6">
        <f t="shared" si="19"/>
        <v>3228.4758899999724</v>
      </c>
      <c r="Y34" s="2"/>
      <c r="Z34" s="7">
        <f t="shared" si="20"/>
        <v>0.16585933665609875</v>
      </c>
    </row>
    <row r="35" spans="1:26" s="24" customFormat="1" hidden="1" outlineLevel="2" x14ac:dyDescent="0.25">
      <c r="A35" s="29"/>
      <c r="B35" s="11" t="str">
        <f>CONCATENATE("          ", "6116", " - ", "EDUCATIONAL BENEFITS")</f>
        <v xml:space="preserve">          6116 - EDUCATIONAL BENEFITS</v>
      </c>
      <c r="C35" s="11"/>
      <c r="D35" s="6"/>
      <c r="E35" s="2"/>
      <c r="F35" s="7">
        <f t="shared" si="13"/>
        <v>0</v>
      </c>
      <c r="G35" s="2"/>
      <c r="H35" s="6">
        <v>0</v>
      </c>
      <c r="I35" s="2"/>
      <c r="J35" s="7">
        <f t="shared" si="14"/>
        <v>0</v>
      </c>
      <c r="K35" s="2"/>
      <c r="L35" s="6">
        <f t="shared" si="15"/>
        <v>0</v>
      </c>
      <c r="M35" s="2"/>
      <c r="N35" s="7">
        <f t="shared" si="16"/>
        <v>0</v>
      </c>
      <c r="O35" s="11"/>
      <c r="P35" s="6"/>
      <c r="Q35" s="2"/>
      <c r="R35" s="7">
        <f t="shared" si="17"/>
        <v>0</v>
      </c>
      <c r="S35" s="2"/>
      <c r="T35" s="6">
        <v>0</v>
      </c>
      <c r="U35" s="2"/>
      <c r="V35" s="7">
        <f t="shared" si="18"/>
        <v>0</v>
      </c>
      <c r="W35" s="2"/>
      <c r="X35" s="6">
        <f t="shared" si="19"/>
        <v>0</v>
      </c>
      <c r="Y35" s="2"/>
      <c r="Z35" s="7">
        <f t="shared" si="20"/>
        <v>0</v>
      </c>
    </row>
    <row r="36" spans="1:26" s="24" customFormat="1" hidden="1" outlineLevel="2" x14ac:dyDescent="0.25">
      <c r="A36" s="29"/>
      <c r="B36" s="11" t="str">
        <f>CONCATENATE("          ", "6117", " - ", "RETIREMENT STAFF HOURLY")</f>
        <v xml:space="preserve">          6117 - RETIREMENT STAFF HOURLY</v>
      </c>
      <c r="C36" s="11"/>
      <c r="D36" s="6">
        <v>1526.6</v>
      </c>
      <c r="E36" s="2"/>
      <c r="F36" s="7">
        <f t="shared" si="13"/>
        <v>6.6077246317976816E-3</v>
      </c>
      <c r="G36" s="2"/>
      <c r="H36" s="6"/>
      <c r="I36" s="2"/>
      <c r="J36" s="7">
        <f t="shared" si="14"/>
        <v>0</v>
      </c>
      <c r="K36" s="2"/>
      <c r="L36" s="6">
        <f t="shared" si="15"/>
        <v>1526.6</v>
      </c>
      <c r="M36" s="2"/>
      <c r="N36" s="7">
        <f t="shared" si="16"/>
        <v>0</v>
      </c>
      <c r="O36" s="11"/>
      <c r="P36" s="6">
        <v>4869.62</v>
      </c>
      <c r="Q36" s="2"/>
      <c r="R36" s="7">
        <f t="shared" si="17"/>
        <v>1.5919904925577953E-2</v>
      </c>
      <c r="S36" s="2"/>
      <c r="T36" s="6"/>
      <c r="U36" s="2"/>
      <c r="V36" s="7">
        <f t="shared" si="18"/>
        <v>0</v>
      </c>
      <c r="W36" s="2"/>
      <c r="X36" s="6">
        <f t="shared" si="19"/>
        <v>4869.62</v>
      </c>
      <c r="Y36" s="2"/>
      <c r="Z36" s="7">
        <f t="shared" si="20"/>
        <v>0</v>
      </c>
    </row>
    <row r="37" spans="1:26" s="24" customFormat="1" hidden="1" outlineLevel="2" x14ac:dyDescent="0.25">
      <c r="A37" s="29"/>
      <c r="B37" s="11" t="str">
        <f>CONCATENATE("          ", "6118", " - ", "VACATION")</f>
        <v xml:space="preserve">          6118 - VACATION</v>
      </c>
      <c r="C37" s="11"/>
      <c r="D37" s="6">
        <v>8977.9599999999991</v>
      </c>
      <c r="E37" s="2"/>
      <c r="F37" s="7">
        <f t="shared" si="13"/>
        <v>3.8860138500782335E-2</v>
      </c>
      <c r="G37" s="2"/>
      <c r="H37" s="6">
        <v>8280.2399538461614</v>
      </c>
      <c r="I37" s="2"/>
      <c r="J37" s="7">
        <f t="shared" si="14"/>
        <v>1.7052478003035915E-2</v>
      </c>
      <c r="K37" s="2"/>
      <c r="L37" s="6">
        <f t="shared" si="15"/>
        <v>697.72004615383776</v>
      </c>
      <c r="M37" s="2"/>
      <c r="N37" s="7">
        <f t="shared" si="16"/>
        <v>8.426326411346903E-2</v>
      </c>
      <c r="O37" s="11"/>
      <c r="P37" s="6">
        <v>25421.38</v>
      </c>
      <c r="Q37" s="2"/>
      <c r="R37" s="7">
        <f t="shared" si="17"/>
        <v>8.310832317038884E-2</v>
      </c>
      <c r="S37" s="2"/>
      <c r="T37" s="6">
        <v>26910.77985000001</v>
      </c>
      <c r="U37" s="2"/>
      <c r="V37" s="7">
        <f t="shared" si="18"/>
        <v>4.2554963020476726E-2</v>
      </c>
      <c r="W37" s="2"/>
      <c r="X37" s="6">
        <f t="shared" si="19"/>
        <v>-1489.3998500000089</v>
      </c>
      <c r="Y37" s="2"/>
      <c r="Z37" s="7">
        <f t="shared" si="20"/>
        <v>-5.5345844984867963E-2</v>
      </c>
    </row>
    <row r="38" spans="1:26" s="24" customFormat="1" hidden="1" outlineLevel="2" x14ac:dyDescent="0.25">
      <c r="A38" s="29"/>
      <c r="B38" s="11" t="str">
        <f>CONCATENATE("          ", "6119", " - ", "SICK LEAVE")</f>
        <v xml:space="preserve">          6119 - SICK LEAVE</v>
      </c>
      <c r="C38" s="11"/>
      <c r="D38" s="6">
        <v>5575.88</v>
      </c>
      <c r="E38" s="2"/>
      <c r="F38" s="7">
        <f t="shared" si="13"/>
        <v>2.4134599515228651E-2</v>
      </c>
      <c r="G38" s="2"/>
      <c r="H38" s="6">
        <v>6364.1189215384602</v>
      </c>
      <c r="I38" s="2"/>
      <c r="J38" s="7">
        <f t="shared" si="14"/>
        <v>1.3106383211494974E-2</v>
      </c>
      <c r="K38" s="2"/>
      <c r="L38" s="6">
        <f t="shared" si="15"/>
        <v>-788.23892153846009</v>
      </c>
      <c r="M38" s="2"/>
      <c r="N38" s="7">
        <f t="shared" si="16"/>
        <v>-0.12385672412103692</v>
      </c>
      <c r="O38" s="11"/>
      <c r="P38" s="6">
        <v>16806.89</v>
      </c>
      <c r="Q38" s="2"/>
      <c r="R38" s="7">
        <f t="shared" si="17"/>
        <v>5.4945579099528685E-2</v>
      </c>
      <c r="S38" s="2"/>
      <c r="T38" s="6">
        <v>17826.666929999988</v>
      </c>
      <c r="U38" s="2"/>
      <c r="V38" s="7">
        <f t="shared" si="18"/>
        <v>2.8189935639657972E-2</v>
      </c>
      <c r="W38" s="2"/>
      <c r="X38" s="6">
        <f t="shared" si="19"/>
        <v>-1019.7769299999891</v>
      </c>
      <c r="Y38" s="2"/>
      <c r="Z38" s="7">
        <f t="shared" si="20"/>
        <v>-5.7205137337470284E-2</v>
      </c>
    </row>
    <row r="39" spans="1:26" s="24" customFormat="1" hidden="1" outlineLevel="2" x14ac:dyDescent="0.25">
      <c r="A39" s="29"/>
      <c r="B39" s="11" t="str">
        <f>CONCATENATE("          ", "6156", " - ", "EMPLOYEE MEALS")</f>
        <v xml:space="preserve">          6156 - EMPLOYEE MEALS</v>
      </c>
      <c r="C39" s="11"/>
      <c r="D39" s="6">
        <v>3218.92</v>
      </c>
      <c r="E39" s="2"/>
      <c r="F39" s="7">
        <f t="shared" si="13"/>
        <v>1.3932750538311408E-2</v>
      </c>
      <c r="G39" s="2"/>
      <c r="H39" s="6">
        <v>4025</v>
      </c>
      <c r="I39" s="2"/>
      <c r="J39" s="7">
        <f t="shared" si="14"/>
        <v>8.2891588099857083E-3</v>
      </c>
      <c r="K39" s="2"/>
      <c r="L39" s="6">
        <f t="shared" si="15"/>
        <v>-806.07999999999993</v>
      </c>
      <c r="M39" s="2"/>
      <c r="N39" s="7">
        <f t="shared" si="16"/>
        <v>-0.20026832298136643</v>
      </c>
      <c r="O39" s="11"/>
      <c r="P39" s="6">
        <v>8918.6200000000008</v>
      </c>
      <c r="Q39" s="2"/>
      <c r="R39" s="7">
        <f t="shared" si="17"/>
        <v>2.9157014811701545E-2</v>
      </c>
      <c r="S39" s="2"/>
      <c r="T39" s="6">
        <v>12075</v>
      </c>
      <c r="U39" s="2"/>
      <c r="V39" s="7">
        <f t="shared" si="18"/>
        <v>1.9094622353437903E-2</v>
      </c>
      <c r="W39" s="2"/>
      <c r="X39" s="6">
        <f t="shared" si="19"/>
        <v>-3156.3799999999992</v>
      </c>
      <c r="Y39" s="2"/>
      <c r="Z39" s="7">
        <f t="shared" si="20"/>
        <v>-0.26139792960662517</v>
      </c>
    </row>
    <row r="40" spans="1:26" s="28" customFormat="1" outlineLevel="1" collapsed="1" x14ac:dyDescent="0.25">
      <c r="A40" s="27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149938.78</v>
      </c>
      <c r="E40" s="1"/>
      <c r="F40" s="5">
        <f t="shared" ref="F40:F50" si="21">IF(D$12=0,0,D40/D$12)</f>
        <v>0.6489939537977818</v>
      </c>
      <c r="G40" s="1"/>
      <c r="H40" s="1">
        <f>SUM(OSRRefH22_1x_0)</f>
        <v>182994.63697076921</v>
      </c>
      <c r="I40" s="1"/>
      <c r="J40" s="5">
        <f t="shared" ref="J40:J50" si="22">IF(H$12=0,0,H40/H$12)</f>
        <v>0.37686251111214603</v>
      </c>
      <c r="K40" s="1"/>
      <c r="L40" s="1">
        <f t="shared" ref="L40:L50" si="23">+D40-H40</f>
        <v>-33055.856970769208</v>
      </c>
      <c r="M40" s="1"/>
      <c r="N40" s="5">
        <f t="shared" ref="N40:N50" si="24">IF(H40=0,0,L40/H40)</f>
        <v>-0.18063839202046894</v>
      </c>
      <c r="O40" s="14"/>
      <c r="P40" s="1">
        <f>SUM(OSRRefP22_1x_0)</f>
        <v>391801.52999999997</v>
      </c>
      <c r="Q40" s="1"/>
      <c r="R40" s="5">
        <f t="shared" ref="R40:R50" si="25">IF(P$12=0,0,P40/P$12)</f>
        <v>1.2808890852460724</v>
      </c>
      <c r="S40" s="1"/>
      <c r="T40" s="1">
        <f>SUM(OSRRefT22_1x_0)</f>
        <v>500983.17421999993</v>
      </c>
      <c r="U40" s="1"/>
      <c r="V40" s="5">
        <f t="shared" ref="V40:V50" si="26">IF(T$12=0,0,T40/T$12)</f>
        <v>0.79222232026148942</v>
      </c>
      <c r="W40" s="1"/>
      <c r="X40" s="1">
        <f t="shared" ref="X40:X50" si="27">+P40-T40</f>
        <v>-109181.64421999996</v>
      </c>
      <c r="Y40" s="1"/>
      <c r="Z40" s="5">
        <f t="shared" ref="Z40:Z50" si="28">IF(T40=0,0,X40/T40)</f>
        <v>-0.21793475277885146</v>
      </c>
    </row>
    <row r="41" spans="1:26" s="24" customFormat="1" hidden="1" outlineLevel="2" x14ac:dyDescent="0.25">
      <c r="A41" s="29"/>
      <c r="B41" s="11" t="str">
        <f>CONCATENATE("          ", "6001", " - ", "ADMINISTRATIVE SALARIES")</f>
        <v xml:space="preserve">          6001 - ADMINISTRATIVE SALARIES</v>
      </c>
      <c r="C41" s="11"/>
      <c r="D41" s="6">
        <v>20028.82</v>
      </c>
      <c r="E41" s="2"/>
      <c r="F41" s="7">
        <f t="shared" si="21"/>
        <v>8.6692602685603332E-2</v>
      </c>
      <c r="G41" s="2"/>
      <c r="H41" s="6">
        <v>9962.3076923076896</v>
      </c>
      <c r="I41" s="2"/>
      <c r="J41" s="7">
        <f t="shared" si="22"/>
        <v>2.0516559149187746E-2</v>
      </c>
      <c r="K41" s="2"/>
      <c r="L41" s="6">
        <f t="shared" si="23"/>
        <v>10066.51230769231</v>
      </c>
      <c r="M41" s="2"/>
      <c r="N41" s="7">
        <f t="shared" si="24"/>
        <v>1.0104598872673929</v>
      </c>
      <c r="O41" s="11"/>
      <c r="P41" s="6">
        <v>58880.689999999995</v>
      </c>
      <c r="Q41" s="2"/>
      <c r="R41" s="7">
        <f t="shared" si="25"/>
        <v>0.19249448350229145</v>
      </c>
      <c r="S41" s="2"/>
      <c r="T41" s="6">
        <v>32377.499999999978</v>
      </c>
      <c r="U41" s="2"/>
      <c r="V41" s="7">
        <f t="shared" si="26"/>
        <v>5.1199679937758612E-2</v>
      </c>
      <c r="W41" s="2"/>
      <c r="X41" s="6">
        <f t="shared" si="27"/>
        <v>26503.190000000017</v>
      </c>
      <c r="Y41" s="2"/>
      <c r="Z41" s="7">
        <f t="shared" si="28"/>
        <v>0.81856814145625922</v>
      </c>
    </row>
    <row r="42" spans="1:26" s="24" customFormat="1" hidden="1" outlineLevel="2" x14ac:dyDescent="0.25">
      <c r="A42" s="29"/>
      <c r="B42" s="11" t="str">
        <f>CONCATENATE("          ", "6002", " - ", "STAFF SALARIES")</f>
        <v xml:space="preserve">          6002 - STAFF SALARIES</v>
      </c>
      <c r="C42" s="11"/>
      <c r="D42" s="6">
        <v>43207.97</v>
      </c>
      <c r="E42" s="2"/>
      <c r="F42" s="7">
        <f t="shared" si="21"/>
        <v>0.18702107143912963</v>
      </c>
      <c r="G42" s="2"/>
      <c r="H42" s="6">
        <v>52827.443538461535</v>
      </c>
      <c r="I42" s="2"/>
      <c r="J42" s="7">
        <f t="shared" si="22"/>
        <v>0.10879380596667354</v>
      </c>
      <c r="K42" s="2"/>
      <c r="L42" s="6">
        <f t="shared" si="23"/>
        <v>-9619.4735384615342</v>
      </c>
      <c r="M42" s="2"/>
      <c r="N42" s="7">
        <f t="shared" si="24"/>
        <v>-0.18209235378687183</v>
      </c>
      <c r="O42" s="11"/>
      <c r="P42" s="6">
        <v>140814.45000000001</v>
      </c>
      <c r="Q42" s="2"/>
      <c r="R42" s="7">
        <f t="shared" si="25"/>
        <v>0.46035474146803051</v>
      </c>
      <c r="S42" s="2"/>
      <c r="T42" s="6">
        <v>171689.19149999999</v>
      </c>
      <c r="U42" s="2"/>
      <c r="V42" s="7">
        <f t="shared" si="26"/>
        <v>0.27149815932584515</v>
      </c>
      <c r="W42" s="2"/>
      <c r="X42" s="6">
        <f t="shared" si="27"/>
        <v>-30874.741499999975</v>
      </c>
      <c r="Y42" s="2"/>
      <c r="Z42" s="7">
        <f t="shared" si="28"/>
        <v>-0.17982926723724468</v>
      </c>
    </row>
    <row r="43" spans="1:26" s="24" customFormat="1" hidden="1" outlineLevel="2" x14ac:dyDescent="0.25">
      <c r="A43" s="29"/>
      <c r="B43" s="11" t="str">
        <f>CONCATENATE("          ", "6003", " - ", "STAFF HOURLY-9 MONTH")</f>
        <v xml:space="preserve">          6003 - STAFF HOURLY-9 MONTH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9"/>
      <c r="B44" s="11" t="str">
        <f>CONCATENATE("          ", "6004", " - ", "STAFF HOURLY")</f>
        <v xml:space="preserve">          6004 - STAFF HOURLY</v>
      </c>
      <c r="C44" s="11"/>
      <c r="D44" s="6">
        <v>51879.91</v>
      </c>
      <c r="E44" s="2"/>
      <c r="F44" s="7">
        <f t="shared" si="21"/>
        <v>0.2245566351385084</v>
      </c>
      <c r="G44" s="2"/>
      <c r="H44" s="6">
        <v>74840.849919999993</v>
      </c>
      <c r="I44" s="2"/>
      <c r="J44" s="7">
        <f t="shared" si="22"/>
        <v>0.15412861874812075</v>
      </c>
      <c r="K44" s="2"/>
      <c r="L44" s="6">
        <f t="shared" si="23"/>
        <v>-22960.93991999999</v>
      </c>
      <c r="M44" s="2"/>
      <c r="N44" s="7">
        <f t="shared" si="24"/>
        <v>-0.3067968889255499</v>
      </c>
      <c r="O44" s="11"/>
      <c r="P44" s="6">
        <v>134351.11000000002</v>
      </c>
      <c r="Q44" s="2"/>
      <c r="R44" s="7">
        <f t="shared" si="25"/>
        <v>0.43922460024516613</v>
      </c>
      <c r="S44" s="2"/>
      <c r="T44" s="6">
        <v>223936.76224000001</v>
      </c>
      <c r="U44" s="2"/>
      <c r="V44" s="7">
        <f t="shared" si="26"/>
        <v>0.35411908124425778</v>
      </c>
      <c r="W44" s="2"/>
      <c r="X44" s="6">
        <f t="shared" si="27"/>
        <v>-89585.652239999996</v>
      </c>
      <c r="Y44" s="2"/>
      <c r="Z44" s="7">
        <f t="shared" si="28"/>
        <v>-0.40004888587246901</v>
      </c>
    </row>
    <row r="45" spans="1:26" s="24" customFormat="1" hidden="1" outlineLevel="2" x14ac:dyDescent="0.25">
      <c r="A45" s="29"/>
      <c r="B45" s="11" t="str">
        <f>CONCATENATE("          ", "6005", " - ", "TEMPORARY WAGES-HOURLY")</f>
        <v xml:space="preserve">          6005 - TEMPORARY WAGES-HOURLY</v>
      </c>
      <c r="C45" s="11"/>
      <c r="D45" s="6">
        <v>14833.310000000001</v>
      </c>
      <c r="E45" s="2"/>
      <c r="F45" s="7">
        <f t="shared" si="21"/>
        <v>6.420439398538641E-2</v>
      </c>
      <c r="G45" s="2"/>
      <c r="H45" s="6">
        <v>11142.39582</v>
      </c>
      <c r="I45" s="2"/>
      <c r="J45" s="7">
        <f t="shared" si="22"/>
        <v>2.2946854279677246E-2</v>
      </c>
      <c r="K45" s="2"/>
      <c r="L45" s="6">
        <f t="shared" si="23"/>
        <v>3690.9141800000016</v>
      </c>
      <c r="M45" s="2"/>
      <c r="N45" s="7">
        <f t="shared" si="24"/>
        <v>0.33124960193704567</v>
      </c>
      <c r="O45" s="11"/>
      <c r="P45" s="6">
        <v>15941.510000000002</v>
      </c>
      <c r="Q45" s="2"/>
      <c r="R45" s="7">
        <f t="shared" si="25"/>
        <v>5.2116453351627082E-2</v>
      </c>
      <c r="S45" s="2"/>
      <c r="T45" s="6">
        <v>21947.010480000001</v>
      </c>
      <c r="U45" s="2"/>
      <c r="V45" s="7">
        <f t="shared" si="26"/>
        <v>3.4705579867705498E-2</v>
      </c>
      <c r="W45" s="2"/>
      <c r="X45" s="6">
        <f t="shared" si="27"/>
        <v>-6005.5004799999988</v>
      </c>
      <c r="Y45" s="2"/>
      <c r="Z45" s="7">
        <f t="shared" si="28"/>
        <v>-0.27363637910834032</v>
      </c>
    </row>
    <row r="46" spans="1:26" s="24" customFormat="1" hidden="1" outlineLevel="2" x14ac:dyDescent="0.25">
      <c r="A46" s="29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9"/>
      <c r="B47" s="11" t="str">
        <f>CONCATENATE("          ", "6007", " - ", "STUDENT HOURLY")</f>
        <v xml:space="preserve">          6007 - STUDENT HOURLY</v>
      </c>
      <c r="C47" s="11"/>
      <c r="D47" s="6">
        <v>16902.439999999999</v>
      </c>
      <c r="E47" s="2"/>
      <c r="F47" s="7">
        <f t="shared" si="21"/>
        <v>7.3160401628116337E-2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16902.439999999999</v>
      </c>
      <c r="M47" s="2"/>
      <c r="N47" s="7">
        <f t="shared" si="24"/>
        <v>0</v>
      </c>
      <c r="O47" s="11"/>
      <c r="P47" s="6">
        <v>38111.11</v>
      </c>
      <c r="Q47" s="2"/>
      <c r="R47" s="7">
        <f t="shared" si="25"/>
        <v>0.12459396170712361</v>
      </c>
      <c r="S47" s="2"/>
      <c r="T47" s="6">
        <v>16306.670000000002</v>
      </c>
      <c r="U47" s="2"/>
      <c r="V47" s="7">
        <f t="shared" si="26"/>
        <v>2.5786311013841431E-2</v>
      </c>
      <c r="W47" s="2"/>
      <c r="X47" s="6">
        <f t="shared" si="27"/>
        <v>21804.44</v>
      </c>
      <c r="Y47" s="2"/>
      <c r="Z47" s="7">
        <f t="shared" si="28"/>
        <v>1.3371485410571256</v>
      </c>
    </row>
    <row r="48" spans="1:26" s="24" customFormat="1" hidden="1" outlineLevel="2" x14ac:dyDescent="0.25">
      <c r="A48" s="29"/>
      <c r="B48" s="11" t="str">
        <f>CONCATENATE("          ", "6008", " - ", "STUDENT HOURLY-FICA EXEMPT")</f>
        <v xml:space="preserve">          6008 - STUDENT HOURLY-FICA EXEMPT</v>
      </c>
      <c r="C48" s="11"/>
      <c r="D48" s="6">
        <v>3086.33</v>
      </c>
      <c r="E48" s="2"/>
      <c r="F48" s="7">
        <f t="shared" si="21"/>
        <v>1.3358848921037692E-2</v>
      </c>
      <c r="G48" s="2"/>
      <c r="H48" s="6">
        <v>34221.64</v>
      </c>
      <c r="I48" s="2"/>
      <c r="J48" s="7">
        <f t="shared" si="22"/>
        <v>7.0476672968486781E-2</v>
      </c>
      <c r="K48" s="2"/>
      <c r="L48" s="6">
        <f t="shared" si="23"/>
        <v>-31135.309999999998</v>
      </c>
      <c r="M48" s="2"/>
      <c r="N48" s="7">
        <f t="shared" si="24"/>
        <v>-0.9098134981257473</v>
      </c>
      <c r="O48" s="11"/>
      <c r="P48" s="6">
        <v>3702.66</v>
      </c>
      <c r="Q48" s="2"/>
      <c r="R48" s="7">
        <f t="shared" si="25"/>
        <v>1.2104844971833627E-2</v>
      </c>
      <c r="S48" s="2"/>
      <c r="T48" s="6">
        <v>34726.04</v>
      </c>
      <c r="U48" s="2"/>
      <c r="V48" s="7">
        <f t="shared" si="26"/>
        <v>5.4913508872081053E-2</v>
      </c>
      <c r="W48" s="2"/>
      <c r="X48" s="6">
        <f t="shared" si="27"/>
        <v>-31023.38</v>
      </c>
      <c r="Y48" s="2"/>
      <c r="Z48" s="7">
        <f t="shared" si="28"/>
        <v>-0.8933751156192874</v>
      </c>
    </row>
    <row r="49" spans="1:26" s="24" customFormat="1" hidden="1" outlineLevel="2" x14ac:dyDescent="0.25">
      <c r="A49" s="29"/>
      <c r="B49" s="11" t="str">
        <f>CONCATENATE("          ", "6009", " - ", "TEMPORARY-SEASONAL")</f>
        <v xml:space="preserve">          6009 - TEMPORARY-SEASONAL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4" customFormat="1" hidden="1" outlineLevel="2" x14ac:dyDescent="0.25">
      <c r="A50" s="29"/>
      <c r="B50" s="11" t="str">
        <f>CONCATENATE("          ", "6010", " - ", "GRATUITY")</f>
        <v xml:space="preserve">          6010 - GRATUITY</v>
      </c>
      <c r="C50" s="11"/>
      <c r="D50" s="6"/>
      <c r="E50" s="2"/>
      <c r="F50" s="7">
        <f t="shared" si="21"/>
        <v>0</v>
      </c>
      <c r="G50" s="2"/>
      <c r="H50" s="6">
        <v>0</v>
      </c>
      <c r="I50" s="2"/>
      <c r="J50" s="7">
        <f t="shared" si="22"/>
        <v>0</v>
      </c>
      <c r="K50" s="2"/>
      <c r="L50" s="6">
        <f t="shared" si="23"/>
        <v>0</v>
      </c>
      <c r="M50" s="2"/>
      <c r="N50" s="7">
        <f t="shared" si="24"/>
        <v>0</v>
      </c>
      <c r="O50" s="11"/>
      <c r="P50" s="6"/>
      <c r="Q50" s="2"/>
      <c r="R50" s="7">
        <f t="shared" si="25"/>
        <v>0</v>
      </c>
      <c r="S50" s="2"/>
      <c r="T50" s="6">
        <v>0</v>
      </c>
      <c r="U50" s="2"/>
      <c r="V50" s="7">
        <f t="shared" si="26"/>
        <v>0</v>
      </c>
      <c r="W50" s="2"/>
      <c r="X50" s="6">
        <f t="shared" si="27"/>
        <v>0</v>
      </c>
      <c r="Y50" s="2"/>
      <c r="Z50" s="7">
        <f t="shared" si="28"/>
        <v>0</v>
      </c>
    </row>
    <row r="51" spans="1:26" s="28" customFormat="1" outlineLevel="1" collapsed="1" x14ac:dyDescent="0.25">
      <c r="A51" s="27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SUM(OSRRefD22_2x_0)</f>
        <v>49.61</v>
      </c>
      <c r="E51" s="1"/>
      <c r="F51" s="5">
        <f t="shared" ref="F51:F60" si="29">IF(D$12=0,0,D51/D$12)</f>
        <v>2.147315727652843E-4</v>
      </c>
      <c r="G51" s="1"/>
      <c r="H51" s="1">
        <f>SUM(OSRRefH22_2x_0)</f>
        <v>1182</v>
      </c>
      <c r="I51" s="1"/>
      <c r="J51" s="5">
        <f t="shared" ref="J51:J60" si="30">IF(H$12=0,0,H51/H$12)</f>
        <v>2.4342324753796538E-3</v>
      </c>
      <c r="K51" s="1"/>
      <c r="L51" s="1">
        <f t="shared" ref="L51:L60" si="31">+D51-H51</f>
        <v>-1132.3900000000001</v>
      </c>
      <c r="M51" s="1"/>
      <c r="N51" s="5">
        <f t="shared" ref="N51:N60" si="32">IF(H51=0,0,L51/H51)</f>
        <v>-0.95802876480541466</v>
      </c>
      <c r="O51" s="14"/>
      <c r="P51" s="1">
        <f>SUM(OSRRefP22_2x_0)</f>
        <v>1524.58</v>
      </c>
      <c r="Q51" s="1"/>
      <c r="R51" s="5">
        <f t="shared" ref="R51:R60" si="33">IF(P$12=0,0,P51/P$12)</f>
        <v>4.9842017757931083E-3</v>
      </c>
      <c r="S51" s="1"/>
      <c r="T51" s="1">
        <f>SUM(OSRRefT22_2x_0)</f>
        <v>5520</v>
      </c>
      <c r="U51" s="1"/>
      <c r="V51" s="5">
        <f t="shared" ref="V51:V60" si="34">IF(T$12=0,0,T51/T$12)</f>
        <v>8.7289702187144692E-3</v>
      </c>
      <c r="W51" s="1"/>
      <c r="X51" s="1">
        <f t="shared" ref="X51:X60" si="35">+P51-T51</f>
        <v>-3995.42</v>
      </c>
      <c r="Y51" s="1"/>
      <c r="Z51" s="5">
        <f t="shared" ref="Z51:Z60" si="36">IF(T51=0,0,X51/T51)</f>
        <v>-0.72380797101449279</v>
      </c>
    </row>
    <row r="52" spans="1:26" s="24" customFormat="1" hidden="1" outlineLevel="2" x14ac:dyDescent="0.25">
      <c r="A52" s="29"/>
      <c r="B52" s="11" t="str">
        <f>CONCATENATE("          ", "6362", " - ", "ADVERTISING EXPENSE")</f>
        <v xml:space="preserve">          6362 - ADVERTISING EXPENSE</v>
      </c>
      <c r="C52" s="11"/>
      <c r="D52" s="6">
        <v>49.61</v>
      </c>
      <c r="E52" s="2"/>
      <c r="F52" s="7">
        <f t="shared" si="29"/>
        <v>2.147315727652843E-4</v>
      </c>
      <c r="G52" s="2"/>
      <c r="H52" s="6">
        <v>1182</v>
      </c>
      <c r="I52" s="2"/>
      <c r="J52" s="7">
        <f t="shared" si="30"/>
        <v>2.4342324753796538E-3</v>
      </c>
      <c r="K52" s="2"/>
      <c r="L52" s="6">
        <f t="shared" si="31"/>
        <v>-1132.3900000000001</v>
      </c>
      <c r="M52" s="2"/>
      <c r="N52" s="7">
        <f t="shared" si="32"/>
        <v>-0.95802876480541466</v>
      </c>
      <c r="O52" s="11"/>
      <c r="P52" s="6">
        <v>1524.58</v>
      </c>
      <c r="Q52" s="2"/>
      <c r="R52" s="7">
        <f t="shared" si="33"/>
        <v>4.9842017757931083E-3</v>
      </c>
      <c r="S52" s="2"/>
      <c r="T52" s="6">
        <v>5520</v>
      </c>
      <c r="U52" s="2"/>
      <c r="V52" s="7">
        <f t="shared" si="34"/>
        <v>8.7289702187144692E-3</v>
      </c>
      <c r="W52" s="2"/>
      <c r="X52" s="6">
        <f t="shared" si="35"/>
        <v>-3995.42</v>
      </c>
      <c r="Y52" s="2"/>
      <c r="Z52" s="7">
        <f t="shared" si="36"/>
        <v>-0.72380797101449279</v>
      </c>
    </row>
    <row r="53" spans="1:26" s="28" customFormat="1" outlineLevel="1" collapsed="1" x14ac:dyDescent="0.25">
      <c r="A53" s="27"/>
      <c r="B53" s="14" t="str">
        <f>CONCATENATE("     ","Bad Debts/Over/Short                              ")</f>
        <v xml:space="preserve">     Bad Debts/Over/Short                              </v>
      </c>
      <c r="C53" s="14"/>
      <c r="D53" s="1">
        <f>SUM(OSRRefD22_3x_0)</f>
        <v>-163.63999999999999</v>
      </c>
      <c r="E53" s="1"/>
      <c r="F53" s="5">
        <f t="shared" si="29"/>
        <v>-7.0829821744227209E-4</v>
      </c>
      <c r="G53" s="1"/>
      <c r="H53" s="1">
        <f>SUM(OSRRefH22_3x_0)</f>
        <v>36</v>
      </c>
      <c r="I53" s="1"/>
      <c r="J53" s="5">
        <f t="shared" si="30"/>
        <v>7.4139060163847323E-5</v>
      </c>
      <c r="K53" s="1"/>
      <c r="L53" s="1">
        <f t="shared" si="31"/>
        <v>-199.64</v>
      </c>
      <c r="M53" s="1"/>
      <c r="N53" s="5">
        <f t="shared" si="32"/>
        <v>-5.5455555555555556</v>
      </c>
      <c r="O53" s="14"/>
      <c r="P53" s="1">
        <f>SUM(OSRRefP22_3x_0)</f>
        <v>-131.78</v>
      </c>
      <c r="Q53" s="1"/>
      <c r="R53" s="5">
        <f t="shared" si="33"/>
        <v>-4.3081905181362466E-4</v>
      </c>
      <c r="S53" s="1"/>
      <c r="T53" s="1">
        <f>SUM(OSRRefT22_3x_0)</f>
        <v>102</v>
      </c>
      <c r="U53" s="1"/>
      <c r="V53" s="5">
        <f t="shared" si="34"/>
        <v>1.6129618882407173E-4</v>
      </c>
      <c r="W53" s="1"/>
      <c r="X53" s="1">
        <f t="shared" si="35"/>
        <v>-233.78</v>
      </c>
      <c r="Y53" s="1"/>
      <c r="Z53" s="5">
        <f t="shared" si="36"/>
        <v>-2.2919607843137255</v>
      </c>
    </row>
    <row r="54" spans="1:26" s="24" customFormat="1" hidden="1" outlineLevel="2" x14ac:dyDescent="0.25">
      <c r="A54" s="29"/>
      <c r="B54" s="11" t="str">
        <f>CONCATENATE("          ", "6272", " - ", "CASH (OVER/SHORT)")</f>
        <v xml:space="preserve">          6272 - CASH (OVER/SHORT)</v>
      </c>
      <c r="C54" s="11"/>
      <c r="D54" s="6">
        <v>-163.63999999999999</v>
      </c>
      <c r="E54" s="2"/>
      <c r="F54" s="7">
        <f t="shared" si="29"/>
        <v>-7.0829821744227209E-4</v>
      </c>
      <c r="G54" s="2"/>
      <c r="H54" s="6">
        <v>36</v>
      </c>
      <c r="I54" s="2"/>
      <c r="J54" s="7">
        <f t="shared" si="30"/>
        <v>7.4139060163847323E-5</v>
      </c>
      <c r="K54" s="2"/>
      <c r="L54" s="6">
        <f t="shared" si="31"/>
        <v>-199.64</v>
      </c>
      <c r="M54" s="2"/>
      <c r="N54" s="7">
        <f t="shared" si="32"/>
        <v>-5.5455555555555556</v>
      </c>
      <c r="O54" s="11"/>
      <c r="P54" s="6">
        <v>-131.78</v>
      </c>
      <c r="Q54" s="2"/>
      <c r="R54" s="7">
        <f t="shared" si="33"/>
        <v>-4.3081905181362466E-4</v>
      </c>
      <c r="S54" s="2"/>
      <c r="T54" s="6">
        <v>102</v>
      </c>
      <c r="U54" s="2"/>
      <c r="V54" s="7">
        <f t="shared" si="34"/>
        <v>1.6129618882407173E-4</v>
      </c>
      <c r="W54" s="2"/>
      <c r="X54" s="6">
        <f t="shared" si="35"/>
        <v>-233.78</v>
      </c>
      <c r="Y54" s="2"/>
      <c r="Z54" s="7">
        <f t="shared" si="36"/>
        <v>-2.2919607843137255</v>
      </c>
    </row>
    <row r="55" spans="1:26" s="28" customFormat="1" outlineLevel="1" collapsed="1" x14ac:dyDescent="0.25">
      <c r="A55" s="27"/>
      <c r="B55" s="14" t="str">
        <f>CONCATENATE("     ","Bank/card Fees                                    ")</f>
        <v xml:space="preserve">     Bank/card Fees                                    </v>
      </c>
      <c r="C55" s="14"/>
      <c r="D55" s="1">
        <f>SUM(OSRRefD22_4x_0)</f>
        <v>493.43</v>
      </c>
      <c r="E55" s="1"/>
      <c r="F55" s="5">
        <f t="shared" si="29"/>
        <v>2.1357589185562235E-3</v>
      </c>
      <c r="G55" s="1"/>
      <c r="H55" s="1">
        <f>SUM(OSRRefH22_4x_0)</f>
        <v>4454</v>
      </c>
      <c r="I55" s="1"/>
      <c r="J55" s="5">
        <f t="shared" si="30"/>
        <v>9.1726492769382221E-3</v>
      </c>
      <c r="K55" s="1"/>
      <c r="L55" s="1">
        <f t="shared" si="31"/>
        <v>-3960.57</v>
      </c>
      <c r="M55" s="1"/>
      <c r="N55" s="5">
        <f t="shared" si="32"/>
        <v>-0.88921643466546929</v>
      </c>
      <c r="O55" s="14"/>
      <c r="P55" s="1">
        <f>SUM(OSRRefP22_4x_0)</f>
        <v>1109.32</v>
      </c>
      <c r="Q55" s="1"/>
      <c r="R55" s="5">
        <f t="shared" si="33"/>
        <v>3.6266215704802707E-3</v>
      </c>
      <c r="S55" s="1"/>
      <c r="T55" s="1">
        <f>SUM(OSRRefT22_4x_0)</f>
        <v>7567</v>
      </c>
      <c r="U55" s="1"/>
      <c r="V55" s="5">
        <f t="shared" si="34"/>
        <v>1.1965963341487753E-2</v>
      </c>
      <c r="W55" s="1"/>
      <c r="X55" s="1">
        <f t="shared" si="35"/>
        <v>-6457.68</v>
      </c>
      <c r="Y55" s="1"/>
      <c r="Z55" s="5">
        <f t="shared" si="36"/>
        <v>-0.85340029073609092</v>
      </c>
    </row>
    <row r="56" spans="1:26" s="24" customFormat="1" hidden="1" outlineLevel="2" x14ac:dyDescent="0.25">
      <c r="A56" s="29"/>
      <c r="B56" s="11" t="str">
        <f>CONCATENATE("          ", "6381", " - ", "BANK/CREDIT CARD FEES")</f>
        <v xml:space="preserve">          6381 - BANK/CREDIT CARD FEES</v>
      </c>
      <c r="C56" s="11"/>
      <c r="D56" s="6">
        <v>493.43</v>
      </c>
      <c r="E56" s="2"/>
      <c r="F56" s="7">
        <f t="shared" si="29"/>
        <v>2.1357589185562235E-3</v>
      </c>
      <c r="G56" s="2"/>
      <c r="H56" s="6">
        <v>4454</v>
      </c>
      <c r="I56" s="2"/>
      <c r="J56" s="7">
        <f t="shared" si="30"/>
        <v>9.1726492769382221E-3</v>
      </c>
      <c r="K56" s="2"/>
      <c r="L56" s="6">
        <f t="shared" si="31"/>
        <v>-3960.57</v>
      </c>
      <c r="M56" s="2"/>
      <c r="N56" s="7">
        <f t="shared" si="32"/>
        <v>-0.88921643466546929</v>
      </c>
      <c r="O56" s="11"/>
      <c r="P56" s="6">
        <v>1109.32</v>
      </c>
      <c r="Q56" s="2"/>
      <c r="R56" s="7">
        <f t="shared" si="33"/>
        <v>3.6266215704802707E-3</v>
      </c>
      <c r="S56" s="2"/>
      <c r="T56" s="6">
        <v>7567</v>
      </c>
      <c r="U56" s="2"/>
      <c r="V56" s="7">
        <f t="shared" si="34"/>
        <v>1.1965963341487753E-2</v>
      </c>
      <c r="W56" s="2"/>
      <c r="X56" s="6">
        <f t="shared" si="35"/>
        <v>-6457.68</v>
      </c>
      <c r="Y56" s="2"/>
      <c r="Z56" s="7">
        <f t="shared" si="36"/>
        <v>-0.85340029073609092</v>
      </c>
    </row>
    <row r="57" spans="1:26" s="28" customFormat="1" outlineLevel="1" collapsed="1" x14ac:dyDescent="0.25">
      <c r="A57" s="27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SUM(OSRRefD22_5x_0)</f>
        <v>38440.44</v>
      </c>
      <c r="E57" s="1"/>
      <c r="F57" s="5">
        <f t="shared" si="29"/>
        <v>0.16638532834084954</v>
      </c>
      <c r="G57" s="1"/>
      <c r="H57" s="1">
        <f>SUM(OSRRefH22_5x_0)</f>
        <v>38779</v>
      </c>
      <c r="I57" s="1"/>
      <c r="J57" s="5">
        <f t="shared" si="30"/>
        <v>7.9862183724828756E-2</v>
      </c>
      <c r="K57" s="1"/>
      <c r="L57" s="1">
        <f t="shared" si="31"/>
        <v>-338.55999999999767</v>
      </c>
      <c r="M57" s="1"/>
      <c r="N57" s="5">
        <f t="shared" si="32"/>
        <v>-8.7304984656643454E-3</v>
      </c>
      <c r="O57" s="14"/>
      <c r="P57" s="1">
        <f>SUM(OSRRefP22_5x_0)</f>
        <v>114675.49</v>
      </c>
      <c r="Q57" s="1"/>
      <c r="R57" s="5">
        <f t="shared" si="33"/>
        <v>0.37490048465672182</v>
      </c>
      <c r="S57" s="1"/>
      <c r="T57" s="1">
        <f>SUM(OSRRefT22_5x_0)</f>
        <v>116337</v>
      </c>
      <c r="U57" s="1"/>
      <c r="V57" s="5">
        <f t="shared" si="34"/>
        <v>0.18396779136496108</v>
      </c>
      <c r="W57" s="1"/>
      <c r="X57" s="1">
        <f t="shared" si="35"/>
        <v>-1661.5099999999948</v>
      </c>
      <c r="Y57" s="1"/>
      <c r="Z57" s="5">
        <f t="shared" si="36"/>
        <v>-1.4281870771981354E-2</v>
      </c>
    </row>
    <row r="58" spans="1:26" s="24" customFormat="1" hidden="1" outlineLevel="2" x14ac:dyDescent="0.25">
      <c r="A58" s="29"/>
      <c r="B58" s="11" t="str">
        <f>CONCATENATE("          ", "6321", " - ", "BUILDING DEPRECIATION")</f>
        <v xml:space="preserve">          6321 - BUILDING DEPRECIATION</v>
      </c>
      <c r="C58" s="11"/>
      <c r="D58" s="6">
        <v>23844.880000000001</v>
      </c>
      <c r="E58" s="2"/>
      <c r="F58" s="7">
        <f t="shared" si="29"/>
        <v>0.10321000977221272</v>
      </c>
      <c r="G58" s="2"/>
      <c r="H58" s="6"/>
      <c r="I58" s="2"/>
      <c r="J58" s="7">
        <f t="shared" si="30"/>
        <v>0</v>
      </c>
      <c r="K58" s="2"/>
      <c r="L58" s="6">
        <f t="shared" si="31"/>
        <v>23844.880000000001</v>
      </c>
      <c r="M58" s="2"/>
      <c r="N58" s="7">
        <f t="shared" si="32"/>
        <v>0</v>
      </c>
      <c r="O58" s="11"/>
      <c r="P58" s="6">
        <v>71534.66</v>
      </c>
      <c r="Q58" s="2"/>
      <c r="R58" s="7">
        <f t="shared" si="33"/>
        <v>0.23386321439528021</v>
      </c>
      <c r="S58" s="2"/>
      <c r="T58" s="6"/>
      <c r="U58" s="2"/>
      <c r="V58" s="7">
        <f t="shared" si="34"/>
        <v>0</v>
      </c>
      <c r="W58" s="2"/>
      <c r="X58" s="6">
        <f t="shared" si="35"/>
        <v>71534.66</v>
      </c>
      <c r="Y58" s="2"/>
      <c r="Z58" s="7">
        <f t="shared" si="36"/>
        <v>0</v>
      </c>
    </row>
    <row r="59" spans="1:26" s="24" customFormat="1" hidden="1" outlineLevel="2" x14ac:dyDescent="0.25">
      <c r="A59" s="29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14595.56</v>
      </c>
      <c r="E59" s="2"/>
      <c r="F59" s="7">
        <f t="shared" si="29"/>
        <v>6.3175318568636826E-2</v>
      </c>
      <c r="G59" s="2"/>
      <c r="H59" s="6">
        <v>38229</v>
      </c>
      <c r="I59" s="2"/>
      <c r="J59" s="7">
        <f t="shared" si="30"/>
        <v>7.8729503638992199E-2</v>
      </c>
      <c r="K59" s="2"/>
      <c r="L59" s="6">
        <f t="shared" si="31"/>
        <v>-23633.440000000002</v>
      </c>
      <c r="M59" s="2"/>
      <c r="N59" s="7">
        <f t="shared" si="32"/>
        <v>-0.61820712024902569</v>
      </c>
      <c r="O59" s="11"/>
      <c r="P59" s="6">
        <v>43140.83</v>
      </c>
      <c r="Q59" s="2"/>
      <c r="R59" s="7">
        <f t="shared" si="33"/>
        <v>0.14103727026144161</v>
      </c>
      <c r="S59" s="2"/>
      <c r="T59" s="6">
        <v>114687</v>
      </c>
      <c r="U59" s="2"/>
      <c r="V59" s="7">
        <f t="shared" si="34"/>
        <v>0.18135858831045404</v>
      </c>
      <c r="W59" s="2"/>
      <c r="X59" s="6">
        <f t="shared" si="35"/>
        <v>-71546.17</v>
      </c>
      <c r="Y59" s="2"/>
      <c r="Z59" s="7">
        <f t="shared" si="36"/>
        <v>-0.62383853444592674</v>
      </c>
    </row>
    <row r="60" spans="1:26" s="24" customFormat="1" hidden="1" outlineLevel="2" x14ac:dyDescent="0.25">
      <c r="A60" s="29"/>
      <c r="B60" s="11" t="str">
        <f>CONCATENATE("          ", "6326", " - ", "VEHICLES DEPRECIATION EXPENSE")</f>
        <v xml:space="preserve">          6326 - VEHICLES DEPRECIATION EXPENSE</v>
      </c>
      <c r="C60" s="11"/>
      <c r="D60" s="6"/>
      <c r="E60" s="2"/>
      <c r="F60" s="7">
        <f t="shared" si="29"/>
        <v>0</v>
      </c>
      <c r="G60" s="2"/>
      <c r="H60" s="6">
        <v>550</v>
      </c>
      <c r="I60" s="2"/>
      <c r="J60" s="7">
        <f t="shared" si="30"/>
        <v>1.1326800858365562E-3</v>
      </c>
      <c r="K60" s="2"/>
      <c r="L60" s="6">
        <f t="shared" si="31"/>
        <v>-550</v>
      </c>
      <c r="M60" s="2"/>
      <c r="N60" s="7">
        <f t="shared" si="32"/>
        <v>-1</v>
      </c>
      <c r="O60" s="11"/>
      <c r="P60" s="6"/>
      <c r="Q60" s="2"/>
      <c r="R60" s="7">
        <f t="shared" si="33"/>
        <v>0</v>
      </c>
      <c r="S60" s="2"/>
      <c r="T60" s="6">
        <v>1650</v>
      </c>
      <c r="U60" s="2"/>
      <c r="V60" s="7">
        <f t="shared" si="34"/>
        <v>2.6092030545070426E-3</v>
      </c>
      <c r="W60" s="2"/>
      <c r="X60" s="6">
        <f t="shared" si="35"/>
        <v>-1650</v>
      </c>
      <c r="Y60" s="2"/>
      <c r="Z60" s="7">
        <f t="shared" si="36"/>
        <v>-1</v>
      </c>
    </row>
    <row r="61" spans="1:26" s="28" customFormat="1" outlineLevel="1" collapsed="1" x14ac:dyDescent="0.25">
      <c r="A61" s="27"/>
      <c r="B61" s="14" t="str">
        <f>CONCATENATE("     ","Donations                                         ")</f>
        <v xml:space="preserve">     Donations                                         </v>
      </c>
      <c r="C61" s="14"/>
      <c r="D61" s="1">
        <f>SUM(OSRRefD22_6x_0)</f>
        <v>8888.07</v>
      </c>
      <c r="E61" s="1"/>
      <c r="F61" s="5">
        <f t="shared" ref="F61:F83" si="37">IF(D$12=0,0,D61/D$12)</f>
        <v>3.8471059261196136E-2</v>
      </c>
      <c r="G61" s="1"/>
      <c r="H61" s="1">
        <f>SUM(OSRRefH22_6x_0)</f>
        <v>13773</v>
      </c>
      <c r="I61" s="1"/>
      <c r="J61" s="5">
        <f t="shared" ref="J61:J83" si="38">IF(H$12=0,0,H61/H$12)</f>
        <v>2.8364368767685257E-2</v>
      </c>
      <c r="K61" s="1"/>
      <c r="L61" s="1">
        <f t="shared" ref="L61:L83" si="39">+D61-H61</f>
        <v>-4884.93</v>
      </c>
      <c r="M61" s="1"/>
      <c r="N61" s="5">
        <f t="shared" ref="N61:N83" si="40">IF(H61=0,0,L61/H61)</f>
        <v>-0.3546743628839033</v>
      </c>
      <c r="O61" s="14"/>
      <c r="P61" s="1">
        <f>SUM(OSRRefP22_6x_0)</f>
        <v>11110.09</v>
      </c>
      <c r="Q61" s="1"/>
      <c r="R61" s="5">
        <f t="shared" ref="R61:R83" si="41">IF(P$12=0,0,P61/P$12)</f>
        <v>3.6321432989558609E-2</v>
      </c>
      <c r="S61" s="1"/>
      <c r="T61" s="1">
        <f>SUM(OSRRefT22_6x_0)</f>
        <v>24546</v>
      </c>
      <c r="U61" s="1"/>
      <c r="V61" s="5">
        <f t="shared" ref="V61:V83" si="42">IF(T$12=0,0,T61/T$12)</f>
        <v>3.8815453439957494E-2</v>
      </c>
      <c r="W61" s="1"/>
      <c r="X61" s="1">
        <f t="shared" ref="X61:X83" si="43">+P61-T61</f>
        <v>-13435.91</v>
      </c>
      <c r="Y61" s="1"/>
      <c r="Z61" s="5">
        <f t="shared" ref="Z61:Z83" si="44">IF(T61=0,0,X61/T61)</f>
        <v>-0.54737676199788154</v>
      </c>
    </row>
    <row r="62" spans="1:26" s="24" customFormat="1" hidden="1" outlineLevel="2" x14ac:dyDescent="0.25">
      <c r="A62" s="29"/>
      <c r="B62" s="11" t="str">
        <f>CONCATENATE("          ", "6399", " - ", "DONATION-ON CAMPUS")</f>
        <v xml:space="preserve">          6399 - DONATION-ON CAMPUS</v>
      </c>
      <c r="C62" s="11"/>
      <c r="D62" s="6">
        <v>8888.07</v>
      </c>
      <c r="E62" s="2"/>
      <c r="F62" s="7">
        <f t="shared" si="37"/>
        <v>3.8471059261196136E-2</v>
      </c>
      <c r="G62" s="2"/>
      <c r="H62" s="6">
        <v>13773</v>
      </c>
      <c r="I62" s="2"/>
      <c r="J62" s="7">
        <f t="shared" si="38"/>
        <v>2.8364368767685257E-2</v>
      </c>
      <c r="K62" s="2"/>
      <c r="L62" s="6">
        <f t="shared" si="39"/>
        <v>-4884.93</v>
      </c>
      <c r="M62" s="2"/>
      <c r="N62" s="7">
        <f t="shared" si="40"/>
        <v>-0.3546743628839033</v>
      </c>
      <c r="O62" s="11"/>
      <c r="P62" s="6">
        <v>11110.09</v>
      </c>
      <c r="Q62" s="2"/>
      <c r="R62" s="7">
        <f t="shared" si="41"/>
        <v>3.6321432989558609E-2</v>
      </c>
      <c r="S62" s="2"/>
      <c r="T62" s="6">
        <v>24546</v>
      </c>
      <c r="U62" s="2"/>
      <c r="V62" s="7">
        <f t="shared" si="42"/>
        <v>3.8815453439957494E-2</v>
      </c>
      <c r="W62" s="2"/>
      <c r="X62" s="6">
        <f t="shared" si="43"/>
        <v>-13435.91</v>
      </c>
      <c r="Y62" s="2"/>
      <c r="Z62" s="7">
        <f t="shared" si="44"/>
        <v>-0.54737676199788154</v>
      </c>
    </row>
    <row r="63" spans="1:26" s="28" customFormat="1" outlineLevel="1" collapsed="1" x14ac:dyDescent="0.25">
      <c r="A63" s="27"/>
      <c r="B63" s="14" t="str">
        <f>CONCATENATE("     ","Employees' Appreciation                           ")</f>
        <v xml:space="preserve">     Employees' Appreciation                           </v>
      </c>
      <c r="C63" s="14"/>
      <c r="D63" s="1">
        <f>SUM(OSRRefD22_7x_0)</f>
        <v>0</v>
      </c>
      <c r="E63" s="1"/>
      <c r="F63" s="5">
        <f t="shared" si="37"/>
        <v>0</v>
      </c>
      <c r="G63" s="1"/>
      <c r="H63" s="1">
        <f>SUM(OSRRefH22_7x_0)</f>
        <v>300</v>
      </c>
      <c r="I63" s="1"/>
      <c r="J63" s="5">
        <f t="shared" si="38"/>
        <v>6.1782550136539431E-4</v>
      </c>
      <c r="K63" s="1"/>
      <c r="L63" s="1">
        <f t="shared" si="39"/>
        <v>-300</v>
      </c>
      <c r="M63" s="1"/>
      <c r="N63" s="5">
        <f t="shared" si="40"/>
        <v>-1</v>
      </c>
      <c r="O63" s="14"/>
      <c r="P63" s="1">
        <f>SUM(OSRRefP22_7x_0)</f>
        <v>0</v>
      </c>
      <c r="Q63" s="1"/>
      <c r="R63" s="5">
        <f t="shared" si="41"/>
        <v>0</v>
      </c>
      <c r="S63" s="1"/>
      <c r="T63" s="1">
        <f>SUM(OSRRefT22_7x_0)</f>
        <v>700</v>
      </c>
      <c r="U63" s="1"/>
      <c r="V63" s="5">
        <f t="shared" si="42"/>
        <v>1.106934629184806E-3</v>
      </c>
      <c r="W63" s="1"/>
      <c r="X63" s="1">
        <f t="shared" si="43"/>
        <v>-700</v>
      </c>
      <c r="Y63" s="1"/>
      <c r="Z63" s="5">
        <f t="shared" si="44"/>
        <v>-1</v>
      </c>
    </row>
    <row r="64" spans="1:26" s="24" customFormat="1" hidden="1" outlineLevel="2" x14ac:dyDescent="0.25">
      <c r="A64" s="29"/>
      <c r="B64" s="11" t="str">
        <f>CONCATENATE("          ", "6277", " - ", "EMPLOYEE APPRECIATION")</f>
        <v xml:space="preserve">          6277 - EMPLOYEE APPRECIATION</v>
      </c>
      <c r="C64" s="11"/>
      <c r="D64" s="6"/>
      <c r="E64" s="2"/>
      <c r="F64" s="7">
        <f t="shared" si="37"/>
        <v>0</v>
      </c>
      <c r="G64" s="2"/>
      <c r="H64" s="6">
        <v>300</v>
      </c>
      <c r="I64" s="2"/>
      <c r="J64" s="7">
        <f t="shared" si="38"/>
        <v>6.1782550136539431E-4</v>
      </c>
      <c r="K64" s="2"/>
      <c r="L64" s="6">
        <f t="shared" si="39"/>
        <v>-300</v>
      </c>
      <c r="M64" s="2"/>
      <c r="N64" s="7">
        <f t="shared" si="40"/>
        <v>-1</v>
      </c>
      <c r="O64" s="11"/>
      <c r="P64" s="6"/>
      <c r="Q64" s="2"/>
      <c r="R64" s="7">
        <f t="shared" si="41"/>
        <v>0</v>
      </c>
      <c r="S64" s="2"/>
      <c r="T64" s="6">
        <v>700</v>
      </c>
      <c r="U64" s="2"/>
      <c r="V64" s="7">
        <f t="shared" si="42"/>
        <v>1.106934629184806E-3</v>
      </c>
      <c r="W64" s="2"/>
      <c r="X64" s="6">
        <f t="shared" si="43"/>
        <v>-700</v>
      </c>
      <c r="Y64" s="2"/>
      <c r="Z64" s="7">
        <f t="shared" si="44"/>
        <v>-1</v>
      </c>
    </row>
    <row r="65" spans="1:26" s="28" customFormat="1" outlineLevel="1" collapsed="1" x14ac:dyDescent="0.25">
      <c r="A65" s="27"/>
      <c r="B65" s="14" t="str">
        <f>CONCATENATE("     ","Equipment Rental                                  ")</f>
        <v xml:space="preserve">     Equipment Rental                                  </v>
      </c>
      <c r="C65" s="14"/>
      <c r="D65" s="1">
        <f>SUM(OSRRefD22_8x_0)</f>
        <v>885.78</v>
      </c>
      <c r="E65" s="1"/>
      <c r="F65" s="5">
        <f t="shared" si="37"/>
        <v>3.8340038807505245E-3</v>
      </c>
      <c r="G65" s="1"/>
      <c r="H65" s="1">
        <f>SUM(OSRRefH22_8x_0)</f>
        <v>955.33333333333303</v>
      </c>
      <c r="I65" s="1"/>
      <c r="J65" s="5">
        <f t="shared" si="38"/>
        <v>1.9674309854591332E-3</v>
      </c>
      <c r="K65" s="1"/>
      <c r="L65" s="1">
        <f t="shared" si="39"/>
        <v>-69.553333333333057</v>
      </c>
      <c r="M65" s="1"/>
      <c r="N65" s="5">
        <f t="shared" si="40"/>
        <v>-7.280530355896693E-2</v>
      </c>
      <c r="O65" s="14"/>
      <c r="P65" s="1">
        <f>SUM(OSRRefP22_8x_0)</f>
        <v>2975.29</v>
      </c>
      <c r="Q65" s="1"/>
      <c r="R65" s="5">
        <f t="shared" si="41"/>
        <v>9.7269055749776845E-3</v>
      </c>
      <c r="S65" s="1"/>
      <c r="T65" s="1">
        <f>SUM(OSRRefT22_8x_0)</f>
        <v>3043.9999999999991</v>
      </c>
      <c r="U65" s="1"/>
      <c r="V65" s="5">
        <f t="shared" si="42"/>
        <v>4.8135843017693544E-3</v>
      </c>
      <c r="W65" s="1"/>
      <c r="X65" s="1">
        <f t="shared" si="43"/>
        <v>-68.709999999999127</v>
      </c>
      <c r="Y65" s="1"/>
      <c r="Z65" s="5">
        <f t="shared" si="44"/>
        <v>-2.257227332457265E-2</v>
      </c>
    </row>
    <row r="66" spans="1:26" s="24" customFormat="1" hidden="1" outlineLevel="2" x14ac:dyDescent="0.25">
      <c r="A66" s="29"/>
      <c r="B66" s="11" t="str">
        <f>CONCATENATE("          ", "6351", " - ", "EQUIPMENT RENTAL")</f>
        <v xml:space="preserve">          6351 - EQUIPMENT RENTAL</v>
      </c>
      <c r="C66" s="11"/>
      <c r="D66" s="6">
        <v>885.78</v>
      </c>
      <c r="E66" s="2"/>
      <c r="F66" s="7">
        <f t="shared" si="37"/>
        <v>3.8340038807505245E-3</v>
      </c>
      <c r="G66" s="2"/>
      <c r="H66" s="6">
        <v>955.33333333333303</v>
      </c>
      <c r="I66" s="2"/>
      <c r="J66" s="7">
        <f t="shared" si="38"/>
        <v>1.9674309854591332E-3</v>
      </c>
      <c r="K66" s="2"/>
      <c r="L66" s="6">
        <f t="shared" si="39"/>
        <v>-69.553333333333057</v>
      </c>
      <c r="M66" s="2"/>
      <c r="N66" s="7">
        <f t="shared" si="40"/>
        <v>-7.280530355896693E-2</v>
      </c>
      <c r="O66" s="11"/>
      <c r="P66" s="6">
        <v>2975.29</v>
      </c>
      <c r="Q66" s="2"/>
      <c r="R66" s="7">
        <f t="shared" si="41"/>
        <v>9.7269055749776845E-3</v>
      </c>
      <c r="S66" s="2"/>
      <c r="T66" s="6">
        <v>3043.9999999999991</v>
      </c>
      <c r="U66" s="2"/>
      <c r="V66" s="7">
        <f t="shared" si="42"/>
        <v>4.8135843017693544E-3</v>
      </c>
      <c r="W66" s="2"/>
      <c r="X66" s="6">
        <f t="shared" si="43"/>
        <v>-68.709999999999127</v>
      </c>
      <c r="Y66" s="2"/>
      <c r="Z66" s="7">
        <f t="shared" si="44"/>
        <v>-2.257227332457265E-2</v>
      </c>
    </row>
    <row r="67" spans="1:26" s="28" customFormat="1" outlineLevel="1" collapsed="1" x14ac:dyDescent="0.25">
      <c r="A67" s="27"/>
      <c r="B67" s="14" t="str">
        <f>CONCATENATE("     ","Freight out/Postage                               ")</f>
        <v xml:space="preserve">     Freight out/Postage                               </v>
      </c>
      <c r="C67" s="14"/>
      <c r="D67" s="1">
        <f>SUM(OSRRefD22_9x_0)</f>
        <v>-5.41</v>
      </c>
      <c r="E67" s="1"/>
      <c r="F67" s="5">
        <f t="shared" si="37"/>
        <v>-2.3416605697645398E-5</v>
      </c>
      <c r="G67" s="1"/>
      <c r="H67" s="1">
        <f>SUM(OSRRefH22_9x_0)</f>
        <v>0</v>
      </c>
      <c r="I67" s="1"/>
      <c r="J67" s="5">
        <f t="shared" si="38"/>
        <v>0</v>
      </c>
      <c r="K67" s="1"/>
      <c r="L67" s="1">
        <f t="shared" si="39"/>
        <v>-5.41</v>
      </c>
      <c r="M67" s="1"/>
      <c r="N67" s="5">
        <f t="shared" si="40"/>
        <v>0</v>
      </c>
      <c r="O67" s="14"/>
      <c r="P67" s="1">
        <f>SUM(OSRRefP22_9x_0)</f>
        <v>-5.41</v>
      </c>
      <c r="Q67" s="1"/>
      <c r="R67" s="5">
        <f t="shared" si="41"/>
        <v>-1.7686531114825537E-5</v>
      </c>
      <c r="S67" s="1"/>
      <c r="T67" s="1">
        <f>SUM(OSRRefT22_9x_0)</f>
        <v>0</v>
      </c>
      <c r="U67" s="1"/>
      <c r="V67" s="5">
        <f t="shared" si="42"/>
        <v>0</v>
      </c>
      <c r="W67" s="1"/>
      <c r="X67" s="1">
        <f t="shared" si="43"/>
        <v>-5.41</v>
      </c>
      <c r="Y67" s="1"/>
      <c r="Z67" s="5">
        <f t="shared" si="44"/>
        <v>0</v>
      </c>
    </row>
    <row r="68" spans="1:26" s="24" customFormat="1" hidden="1" outlineLevel="2" x14ac:dyDescent="0.25">
      <c r="A68" s="29"/>
      <c r="B68" s="11" t="str">
        <f>CONCATENATE("          ", "6307", " - ", "POSTAGE")</f>
        <v xml:space="preserve">          6307 - POSTAGE</v>
      </c>
      <c r="C68" s="11"/>
      <c r="D68" s="6">
        <v>-5.41</v>
      </c>
      <c r="E68" s="2"/>
      <c r="F68" s="7">
        <f t="shared" si="37"/>
        <v>-2.3416605697645398E-5</v>
      </c>
      <c r="G68" s="2"/>
      <c r="H68" s="6"/>
      <c r="I68" s="2"/>
      <c r="J68" s="7">
        <f t="shared" si="38"/>
        <v>0</v>
      </c>
      <c r="K68" s="2"/>
      <c r="L68" s="6">
        <f t="shared" si="39"/>
        <v>-5.41</v>
      </c>
      <c r="M68" s="2"/>
      <c r="N68" s="7">
        <f t="shared" si="40"/>
        <v>0</v>
      </c>
      <c r="O68" s="11"/>
      <c r="P68" s="6">
        <v>-5.41</v>
      </c>
      <c r="Q68" s="2"/>
      <c r="R68" s="7">
        <f t="shared" si="41"/>
        <v>-1.7686531114825537E-5</v>
      </c>
      <c r="S68" s="2"/>
      <c r="T68" s="6"/>
      <c r="U68" s="2"/>
      <c r="V68" s="7">
        <f t="shared" si="42"/>
        <v>0</v>
      </c>
      <c r="W68" s="2"/>
      <c r="X68" s="6">
        <f t="shared" si="43"/>
        <v>-5.41</v>
      </c>
      <c r="Y68" s="2"/>
      <c r="Z68" s="7">
        <f t="shared" si="44"/>
        <v>0</v>
      </c>
    </row>
    <row r="69" spans="1:26" s="28" customFormat="1" outlineLevel="1" collapsed="1" x14ac:dyDescent="0.25">
      <c r="A69" s="27"/>
      <c r="B69" s="14" t="str">
        <f>CONCATENATE("     ","General                                           ")</f>
        <v xml:space="preserve">     General                                           </v>
      </c>
      <c r="C69" s="14"/>
      <c r="D69" s="1">
        <f>SUM(OSRRefD22_10x_0)</f>
        <v>552.16999999999996</v>
      </c>
      <c r="E69" s="1"/>
      <c r="F69" s="5">
        <f t="shared" si="37"/>
        <v>2.3900087186818591E-3</v>
      </c>
      <c r="G69" s="1"/>
      <c r="H69" s="1">
        <f>SUM(OSRRefH22_10x_0)</f>
        <v>430</v>
      </c>
      <c r="I69" s="1"/>
      <c r="J69" s="5">
        <f t="shared" si="38"/>
        <v>8.8554988529039862E-4</v>
      </c>
      <c r="K69" s="1"/>
      <c r="L69" s="1">
        <f t="shared" si="39"/>
        <v>122.16999999999996</v>
      </c>
      <c r="M69" s="1"/>
      <c r="N69" s="5">
        <f t="shared" si="40"/>
        <v>0.28411627906976733</v>
      </c>
      <c r="O69" s="14"/>
      <c r="P69" s="1">
        <f>SUM(OSRRefP22_10x_0)</f>
        <v>10147.4</v>
      </c>
      <c r="Q69" s="1"/>
      <c r="R69" s="5">
        <f t="shared" si="41"/>
        <v>3.3174178527648923E-2</v>
      </c>
      <c r="S69" s="1"/>
      <c r="T69" s="1">
        <f>SUM(OSRRefT22_10x_0)</f>
        <v>10065</v>
      </c>
      <c r="U69" s="1"/>
      <c r="V69" s="5">
        <f t="shared" si="42"/>
        <v>1.5916138632492961E-2</v>
      </c>
      <c r="W69" s="1"/>
      <c r="X69" s="1">
        <f t="shared" si="43"/>
        <v>82.399999999999636</v>
      </c>
      <c r="Y69" s="1"/>
      <c r="Z69" s="5">
        <f t="shared" si="44"/>
        <v>8.1867858917038881E-3</v>
      </c>
    </row>
    <row r="70" spans="1:26" s="24" customFormat="1" hidden="1" outlineLevel="2" x14ac:dyDescent="0.25">
      <c r="A70" s="29"/>
      <c r="B70" s="11" t="str">
        <f>CONCATENATE("          ", "6279", " - ", "GENERAL EXPENSE")</f>
        <v xml:space="preserve">          6279 - GENERAL EXPENSE</v>
      </c>
      <c r="C70" s="11"/>
      <c r="D70" s="6">
        <v>552.16999999999996</v>
      </c>
      <c r="E70" s="2"/>
      <c r="F70" s="7">
        <f t="shared" si="37"/>
        <v>2.3900087186818591E-3</v>
      </c>
      <c r="G70" s="2"/>
      <c r="H70" s="6">
        <v>430</v>
      </c>
      <c r="I70" s="2"/>
      <c r="J70" s="7">
        <f t="shared" si="38"/>
        <v>8.8554988529039862E-4</v>
      </c>
      <c r="K70" s="2"/>
      <c r="L70" s="6">
        <f t="shared" si="39"/>
        <v>122.16999999999996</v>
      </c>
      <c r="M70" s="2"/>
      <c r="N70" s="7">
        <f t="shared" si="40"/>
        <v>0.28411627906976733</v>
      </c>
      <c r="O70" s="11"/>
      <c r="P70" s="6">
        <v>10147.4</v>
      </c>
      <c r="Q70" s="2"/>
      <c r="R70" s="7">
        <f t="shared" si="41"/>
        <v>3.3174178527648923E-2</v>
      </c>
      <c r="S70" s="2"/>
      <c r="T70" s="6">
        <v>10065</v>
      </c>
      <c r="U70" s="2"/>
      <c r="V70" s="7">
        <f t="shared" si="42"/>
        <v>1.5916138632492961E-2</v>
      </c>
      <c r="W70" s="2"/>
      <c r="X70" s="6">
        <f t="shared" si="43"/>
        <v>82.399999999999636</v>
      </c>
      <c r="Y70" s="2"/>
      <c r="Z70" s="7">
        <f t="shared" si="44"/>
        <v>8.1867858917038881E-3</v>
      </c>
    </row>
    <row r="71" spans="1:26" s="28" customFormat="1" outlineLevel="1" collapsed="1" x14ac:dyDescent="0.25">
      <c r="A71" s="27"/>
      <c r="B71" s="14" t="str">
        <f>CONCATENATE("     ","Insurance                                         ")</f>
        <v xml:space="preserve">     Insurance                                         </v>
      </c>
      <c r="C71" s="14"/>
      <c r="D71" s="1">
        <f>SUM(OSRRefD22_11x_0)</f>
        <v>4246.03</v>
      </c>
      <c r="E71" s="1"/>
      <c r="F71" s="5">
        <f t="shared" si="37"/>
        <v>1.8378486190457167E-2</v>
      </c>
      <c r="G71" s="1"/>
      <c r="H71" s="1">
        <f>SUM(OSRRefH22_11x_0)</f>
        <v>4572</v>
      </c>
      <c r="I71" s="1"/>
      <c r="J71" s="5">
        <f t="shared" si="38"/>
        <v>9.4156606408086103E-3</v>
      </c>
      <c r="K71" s="1"/>
      <c r="L71" s="1">
        <f t="shared" si="39"/>
        <v>-325.97000000000025</v>
      </c>
      <c r="M71" s="1"/>
      <c r="N71" s="5">
        <f t="shared" si="40"/>
        <v>-7.1297025371828582E-2</v>
      </c>
      <c r="O71" s="14"/>
      <c r="P71" s="1">
        <f>SUM(OSRRefP22_11x_0)</f>
        <v>12738.09</v>
      </c>
      <c r="Q71" s="1"/>
      <c r="R71" s="5">
        <f t="shared" si="41"/>
        <v>4.1643738471062487E-2</v>
      </c>
      <c r="S71" s="1"/>
      <c r="T71" s="1">
        <f>SUM(OSRRefT22_11x_0)</f>
        <v>13716</v>
      </c>
      <c r="U71" s="1"/>
      <c r="V71" s="5">
        <f t="shared" si="42"/>
        <v>2.1689593391283998E-2</v>
      </c>
      <c r="W71" s="1"/>
      <c r="X71" s="1">
        <f t="shared" si="43"/>
        <v>-977.90999999999985</v>
      </c>
      <c r="Y71" s="1"/>
      <c r="Z71" s="5">
        <f t="shared" si="44"/>
        <v>-7.1297025371828512E-2</v>
      </c>
    </row>
    <row r="72" spans="1:26" s="24" customFormat="1" hidden="1" outlineLevel="2" x14ac:dyDescent="0.25">
      <c r="A72" s="29"/>
      <c r="B72" s="11" t="str">
        <f>CONCATENATE("          ", "6314", " - ", "LIABILITY INSURANCE")</f>
        <v xml:space="preserve">          6314 - LIABILITY INSURANCE</v>
      </c>
      <c r="C72" s="11"/>
      <c r="D72" s="6">
        <v>4246.03</v>
      </c>
      <c r="E72" s="2"/>
      <c r="F72" s="7">
        <f t="shared" si="37"/>
        <v>1.8378486190457167E-2</v>
      </c>
      <c r="G72" s="2"/>
      <c r="H72" s="6">
        <v>4572</v>
      </c>
      <c r="I72" s="2"/>
      <c r="J72" s="7">
        <f t="shared" si="38"/>
        <v>9.4156606408086103E-3</v>
      </c>
      <c r="K72" s="2"/>
      <c r="L72" s="6">
        <f t="shared" si="39"/>
        <v>-325.97000000000025</v>
      </c>
      <c r="M72" s="2"/>
      <c r="N72" s="7">
        <f t="shared" si="40"/>
        <v>-7.1297025371828582E-2</v>
      </c>
      <c r="O72" s="11"/>
      <c r="P72" s="6">
        <v>12738.09</v>
      </c>
      <c r="Q72" s="2"/>
      <c r="R72" s="7">
        <f t="shared" si="41"/>
        <v>4.1643738471062487E-2</v>
      </c>
      <c r="S72" s="2"/>
      <c r="T72" s="6">
        <v>13716</v>
      </c>
      <c r="U72" s="2"/>
      <c r="V72" s="7">
        <f t="shared" si="42"/>
        <v>2.1689593391283998E-2</v>
      </c>
      <c r="W72" s="2"/>
      <c r="X72" s="6">
        <f t="shared" si="43"/>
        <v>-977.90999999999985</v>
      </c>
      <c r="Y72" s="2"/>
      <c r="Z72" s="7">
        <f t="shared" si="44"/>
        <v>-7.1297025371828512E-2</v>
      </c>
    </row>
    <row r="73" spans="1:26" s="28" customFormat="1" outlineLevel="1" collapsed="1" x14ac:dyDescent="0.25">
      <c r="A73" s="27"/>
      <c r="B73" s="14" t="str">
        <f>CONCATENATE("     ","Interest                                          ")</f>
        <v xml:space="preserve">     Interest                                          </v>
      </c>
      <c r="C73" s="14"/>
      <c r="D73" s="1">
        <f>SUM(OSRRefD22_12x_0)</f>
        <v>7510</v>
      </c>
      <c r="E73" s="1"/>
      <c r="F73" s="5">
        <f t="shared" si="37"/>
        <v>3.2506230829818288E-2</v>
      </c>
      <c r="G73" s="1"/>
      <c r="H73" s="1">
        <f>SUM(OSRRefH22_12x_0)</f>
        <v>7510</v>
      </c>
      <c r="I73" s="1"/>
      <c r="J73" s="5">
        <f t="shared" si="38"/>
        <v>1.5466231717513705E-2</v>
      </c>
      <c r="K73" s="1"/>
      <c r="L73" s="1">
        <f t="shared" si="39"/>
        <v>0</v>
      </c>
      <c r="M73" s="1"/>
      <c r="N73" s="5">
        <f t="shared" si="40"/>
        <v>0</v>
      </c>
      <c r="O73" s="14"/>
      <c r="P73" s="1">
        <f>SUM(OSRRefP22_12x_0)</f>
        <v>22530</v>
      </c>
      <c r="Q73" s="1"/>
      <c r="R73" s="5">
        <f t="shared" si="41"/>
        <v>7.3655738635308568E-2</v>
      </c>
      <c r="S73" s="1"/>
      <c r="T73" s="1">
        <f>SUM(OSRRefT22_12x_0)</f>
        <v>22530</v>
      </c>
      <c r="U73" s="1"/>
      <c r="V73" s="5">
        <f t="shared" si="42"/>
        <v>3.5627481707905251E-2</v>
      </c>
      <c r="W73" s="1"/>
      <c r="X73" s="1">
        <f t="shared" si="43"/>
        <v>0</v>
      </c>
      <c r="Y73" s="1"/>
      <c r="Z73" s="5">
        <f t="shared" si="44"/>
        <v>0</v>
      </c>
    </row>
    <row r="74" spans="1:26" s="24" customFormat="1" hidden="1" outlineLevel="2" x14ac:dyDescent="0.25">
      <c r="A74" s="29"/>
      <c r="B74" s="11" t="str">
        <f>CONCATENATE("          ", "6401", " - ", "INTEREST EXPENSE")</f>
        <v xml:space="preserve">          6401 - INTEREST EXPENSE</v>
      </c>
      <c r="C74" s="11"/>
      <c r="D74" s="6">
        <v>7510</v>
      </c>
      <c r="E74" s="2"/>
      <c r="F74" s="7">
        <f t="shared" si="37"/>
        <v>3.2506230829818288E-2</v>
      </c>
      <c r="G74" s="2"/>
      <c r="H74" s="6">
        <v>7510</v>
      </c>
      <c r="I74" s="2"/>
      <c r="J74" s="7">
        <f t="shared" si="38"/>
        <v>1.5466231717513705E-2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>
        <v>22530</v>
      </c>
      <c r="Q74" s="2"/>
      <c r="R74" s="7">
        <f t="shared" si="41"/>
        <v>7.3655738635308568E-2</v>
      </c>
      <c r="S74" s="2"/>
      <c r="T74" s="6">
        <v>22530</v>
      </c>
      <c r="U74" s="2"/>
      <c r="V74" s="7">
        <f t="shared" si="42"/>
        <v>3.5627481707905251E-2</v>
      </c>
      <c r="W74" s="2"/>
      <c r="X74" s="6">
        <f t="shared" si="43"/>
        <v>0</v>
      </c>
      <c r="Y74" s="2"/>
      <c r="Z74" s="7">
        <f t="shared" si="44"/>
        <v>0</v>
      </c>
    </row>
    <row r="75" spans="1:26" s="28" customFormat="1" outlineLevel="1" collapsed="1" x14ac:dyDescent="0.25">
      <c r="A75" s="27"/>
      <c r="B75" s="14" t="str">
        <f>CONCATENATE("     ","R/H Commissions                                   ")</f>
        <v xml:space="preserve">     R/H Commissions                                   </v>
      </c>
      <c r="C75" s="14"/>
      <c r="D75" s="1">
        <f>SUM(OSRRefD22_13x_0)</f>
        <v>11792.03</v>
      </c>
      <c r="E75" s="1"/>
      <c r="F75" s="5">
        <f t="shared" si="37"/>
        <v>5.104053916539842E-2</v>
      </c>
      <c r="G75" s="1"/>
      <c r="H75" s="1">
        <f>SUM(OSRRefH22_13x_0)</f>
        <v>37161</v>
      </c>
      <c r="I75" s="1"/>
      <c r="J75" s="5">
        <f t="shared" si="38"/>
        <v>7.6530044854131396E-2</v>
      </c>
      <c r="K75" s="1"/>
      <c r="L75" s="1">
        <f t="shared" si="39"/>
        <v>-25368.97</v>
      </c>
      <c r="M75" s="1"/>
      <c r="N75" s="5">
        <f t="shared" si="40"/>
        <v>-0.68267726918005434</v>
      </c>
      <c r="O75" s="14"/>
      <c r="P75" s="1">
        <f>SUM(OSRRefP22_13x_0)</f>
        <v>16477.52</v>
      </c>
      <c r="Q75" s="1"/>
      <c r="R75" s="5">
        <f t="shared" si="41"/>
        <v>5.3868793008347522E-2</v>
      </c>
      <c r="S75" s="1"/>
      <c r="T75" s="1">
        <f>SUM(OSRRefT22_13x_0)</f>
        <v>47879</v>
      </c>
      <c r="U75" s="1"/>
      <c r="V75" s="5">
        <f t="shared" si="42"/>
        <v>7.5712747301056177E-2</v>
      </c>
      <c r="W75" s="1"/>
      <c r="X75" s="1">
        <f t="shared" si="43"/>
        <v>-31401.48</v>
      </c>
      <c r="Y75" s="1"/>
      <c r="Z75" s="5">
        <f t="shared" si="44"/>
        <v>-0.65585079053447226</v>
      </c>
    </row>
    <row r="76" spans="1:26" s="24" customFormat="1" hidden="1" outlineLevel="2" x14ac:dyDescent="0.25">
      <c r="A76" s="29"/>
      <c r="B76" s="11" t="str">
        <f>CONCATENATE("          ", "6387", " - ", "COMMISSION DUE HOUSING")</f>
        <v xml:space="preserve">          6387 - COMMISSION DUE HOUSING</v>
      </c>
      <c r="C76" s="11"/>
      <c r="D76" s="6">
        <v>11792.03</v>
      </c>
      <c r="E76" s="2"/>
      <c r="F76" s="7">
        <f t="shared" si="37"/>
        <v>5.104053916539842E-2</v>
      </c>
      <c r="G76" s="2"/>
      <c r="H76" s="6">
        <v>37161</v>
      </c>
      <c r="I76" s="2"/>
      <c r="J76" s="7">
        <f t="shared" si="38"/>
        <v>7.6530044854131396E-2</v>
      </c>
      <c r="K76" s="2"/>
      <c r="L76" s="6">
        <f t="shared" si="39"/>
        <v>-25368.97</v>
      </c>
      <c r="M76" s="2"/>
      <c r="N76" s="7">
        <f t="shared" si="40"/>
        <v>-0.68267726918005434</v>
      </c>
      <c r="O76" s="11"/>
      <c r="P76" s="6">
        <v>16477.52</v>
      </c>
      <c r="Q76" s="2"/>
      <c r="R76" s="7">
        <f t="shared" si="41"/>
        <v>5.3868793008347522E-2</v>
      </c>
      <c r="S76" s="2"/>
      <c r="T76" s="6">
        <v>47879</v>
      </c>
      <c r="U76" s="2"/>
      <c r="V76" s="7">
        <f t="shared" si="42"/>
        <v>7.5712747301056177E-2</v>
      </c>
      <c r="W76" s="2"/>
      <c r="X76" s="6">
        <f t="shared" si="43"/>
        <v>-31401.48</v>
      </c>
      <c r="Y76" s="2"/>
      <c r="Z76" s="7">
        <f t="shared" si="44"/>
        <v>-0.65585079053447226</v>
      </c>
    </row>
    <row r="77" spans="1:26" s="28" customFormat="1" outlineLevel="1" collapsed="1" x14ac:dyDescent="0.25">
      <c r="A77" s="27"/>
      <c r="B77" s="14" t="str">
        <f>CONCATENATE("     ","Rent                                              ")</f>
        <v xml:space="preserve">     Rent                                              </v>
      </c>
      <c r="C77" s="14"/>
      <c r="D77" s="1">
        <f>SUM(OSRRefD22_14x_0)</f>
        <v>5550</v>
      </c>
      <c r="E77" s="1"/>
      <c r="F77" s="5">
        <f t="shared" si="37"/>
        <v>2.4022580706456922E-2</v>
      </c>
      <c r="G77" s="1"/>
      <c r="H77" s="1">
        <f>SUM(OSRRefH22_14x_0)</f>
        <v>1943</v>
      </c>
      <c r="I77" s="1"/>
      <c r="J77" s="5">
        <f t="shared" si="38"/>
        <v>4.0014498305098707E-3</v>
      </c>
      <c r="K77" s="1"/>
      <c r="L77" s="1">
        <f t="shared" si="39"/>
        <v>3607</v>
      </c>
      <c r="M77" s="1"/>
      <c r="N77" s="5">
        <f t="shared" si="40"/>
        <v>1.856407617086979</v>
      </c>
      <c r="O77" s="14"/>
      <c r="P77" s="1">
        <f>SUM(OSRRefP22_14x_0)</f>
        <v>5550</v>
      </c>
      <c r="Q77" s="1"/>
      <c r="R77" s="5">
        <f t="shared" si="41"/>
        <v>1.8144223232399583E-2</v>
      </c>
      <c r="S77" s="1"/>
      <c r="T77" s="1">
        <f>SUM(OSRRefT22_14x_0)</f>
        <v>5829</v>
      </c>
      <c r="U77" s="1"/>
      <c r="V77" s="5">
        <f t="shared" si="42"/>
        <v>9.2176027907403344E-3</v>
      </c>
      <c r="W77" s="1"/>
      <c r="X77" s="1">
        <f t="shared" si="43"/>
        <v>-279</v>
      </c>
      <c r="Y77" s="1"/>
      <c r="Z77" s="5">
        <f t="shared" si="44"/>
        <v>-4.7864127637673698E-2</v>
      </c>
    </row>
    <row r="78" spans="1:26" s="24" customFormat="1" hidden="1" outlineLevel="2" x14ac:dyDescent="0.25">
      <c r="A78" s="29"/>
      <c r="B78" s="11" t="str">
        <f>CONCATENATE("          ", "6273", " - ", "RENT")</f>
        <v xml:space="preserve">          6273 - RENT</v>
      </c>
      <c r="C78" s="11"/>
      <c r="D78" s="6">
        <v>5550</v>
      </c>
      <c r="E78" s="2"/>
      <c r="F78" s="7">
        <f t="shared" si="37"/>
        <v>2.4022580706456922E-2</v>
      </c>
      <c r="G78" s="2"/>
      <c r="H78" s="6">
        <v>1943</v>
      </c>
      <c r="I78" s="2"/>
      <c r="J78" s="7">
        <f t="shared" si="38"/>
        <v>4.0014498305098707E-3</v>
      </c>
      <c r="K78" s="2"/>
      <c r="L78" s="6">
        <f t="shared" si="39"/>
        <v>3607</v>
      </c>
      <c r="M78" s="2"/>
      <c r="N78" s="7">
        <f t="shared" si="40"/>
        <v>1.856407617086979</v>
      </c>
      <c r="O78" s="11"/>
      <c r="P78" s="6">
        <v>5550</v>
      </c>
      <c r="Q78" s="2"/>
      <c r="R78" s="7">
        <f t="shared" si="41"/>
        <v>1.8144223232399583E-2</v>
      </c>
      <c r="S78" s="2"/>
      <c r="T78" s="6">
        <v>5829</v>
      </c>
      <c r="U78" s="2"/>
      <c r="V78" s="7">
        <f t="shared" si="42"/>
        <v>9.2176027907403344E-3</v>
      </c>
      <c r="W78" s="2"/>
      <c r="X78" s="6">
        <f t="shared" si="43"/>
        <v>-279</v>
      </c>
      <c r="Y78" s="2"/>
      <c r="Z78" s="7">
        <f t="shared" si="44"/>
        <v>-4.7864127637673698E-2</v>
      </c>
    </row>
    <row r="79" spans="1:26" s="28" customFormat="1" outlineLevel="1" collapsed="1" x14ac:dyDescent="0.25">
      <c r="A79" s="27"/>
      <c r="B79" s="14" t="str">
        <f>CONCATENATE("     ","Repair and Maintenance                            ")</f>
        <v xml:space="preserve">     Repair and Maintenance                            </v>
      </c>
      <c r="C79" s="14"/>
      <c r="D79" s="1">
        <f>SUM(OSRRefD22_15x_0)</f>
        <v>3046.76</v>
      </c>
      <c r="E79" s="1"/>
      <c r="F79" s="5">
        <f t="shared" si="37"/>
        <v>1.3187574413190035E-2</v>
      </c>
      <c r="G79" s="1"/>
      <c r="H79" s="1">
        <f>SUM(OSRRefH22_15x_0)</f>
        <v>840</v>
      </c>
      <c r="I79" s="1"/>
      <c r="J79" s="5">
        <f t="shared" si="38"/>
        <v>1.7299114038231043E-3</v>
      </c>
      <c r="K79" s="1"/>
      <c r="L79" s="1">
        <f t="shared" si="39"/>
        <v>2206.7600000000002</v>
      </c>
      <c r="M79" s="1"/>
      <c r="N79" s="5">
        <f t="shared" si="40"/>
        <v>2.6270952380952384</v>
      </c>
      <c r="O79" s="14"/>
      <c r="P79" s="1">
        <f>SUM(OSRRefP22_15x_0)</f>
        <v>13921.23</v>
      </c>
      <c r="Q79" s="1"/>
      <c r="R79" s="5">
        <f t="shared" si="41"/>
        <v>4.5511694556680721E-2</v>
      </c>
      <c r="S79" s="1"/>
      <c r="T79" s="1">
        <f>SUM(OSRRefT22_15x_0)</f>
        <v>8237</v>
      </c>
      <c r="U79" s="1"/>
      <c r="V79" s="5">
        <f t="shared" si="42"/>
        <v>1.3025457915136067E-2</v>
      </c>
      <c r="W79" s="1"/>
      <c r="X79" s="1">
        <f t="shared" si="43"/>
        <v>5684.23</v>
      </c>
      <c r="Y79" s="1"/>
      <c r="Z79" s="5">
        <f t="shared" si="44"/>
        <v>0.69008498239650351</v>
      </c>
    </row>
    <row r="80" spans="1:26" s="24" customFormat="1" hidden="1" outlineLevel="2" x14ac:dyDescent="0.25">
      <c r="A80" s="29"/>
      <c r="B80" s="11" t="str">
        <f>CONCATENATE("          ", "6371", " - ", "COMPUTER SOFTWARE MAINTENANCE")</f>
        <v xml:space="preserve">          6371 - COMPUTER SOFTWARE MAINTENANCE</v>
      </c>
      <c r="C80" s="11"/>
      <c r="D80" s="6"/>
      <c r="E80" s="2"/>
      <c r="F80" s="7">
        <f t="shared" si="37"/>
        <v>0</v>
      </c>
      <c r="G80" s="2"/>
      <c r="H80" s="6">
        <v>0</v>
      </c>
      <c r="I80" s="2"/>
      <c r="J80" s="7">
        <f t="shared" si="38"/>
        <v>0</v>
      </c>
      <c r="K80" s="2"/>
      <c r="L80" s="6">
        <f t="shared" si="39"/>
        <v>0</v>
      </c>
      <c r="M80" s="2"/>
      <c r="N80" s="7">
        <f t="shared" si="40"/>
        <v>0</v>
      </c>
      <c r="O80" s="11"/>
      <c r="P80" s="6"/>
      <c r="Q80" s="2"/>
      <c r="R80" s="7">
        <f t="shared" si="41"/>
        <v>0</v>
      </c>
      <c r="S80" s="2"/>
      <c r="T80" s="6">
        <v>0</v>
      </c>
      <c r="U80" s="2"/>
      <c r="V80" s="7">
        <f t="shared" si="42"/>
        <v>0</v>
      </c>
      <c r="W80" s="2"/>
      <c r="X80" s="6">
        <f t="shared" si="43"/>
        <v>0</v>
      </c>
      <c r="Y80" s="2"/>
      <c r="Z80" s="7">
        <f t="shared" si="44"/>
        <v>0</v>
      </c>
    </row>
    <row r="81" spans="1:26" s="24" customFormat="1" hidden="1" outlineLevel="2" x14ac:dyDescent="0.25">
      <c r="A81" s="29"/>
      <c r="B81" s="11" t="str">
        <f>CONCATENATE("          ", "6372", " - ", "COMPUTER HARDWARE MAINTENANCE")</f>
        <v xml:space="preserve">          6372 - COMPUTER HARDWARE MAINTENANCE</v>
      </c>
      <c r="C81" s="11"/>
      <c r="D81" s="6"/>
      <c r="E81" s="2"/>
      <c r="F81" s="7">
        <f t="shared" si="37"/>
        <v>0</v>
      </c>
      <c r="G81" s="2"/>
      <c r="H81" s="6"/>
      <c r="I81" s="2"/>
      <c r="J81" s="7">
        <f t="shared" si="38"/>
        <v>0</v>
      </c>
      <c r="K81" s="2"/>
      <c r="L81" s="6">
        <f t="shared" si="39"/>
        <v>0</v>
      </c>
      <c r="M81" s="2"/>
      <c r="N81" s="7">
        <f t="shared" si="40"/>
        <v>0</v>
      </c>
      <c r="O81" s="11"/>
      <c r="P81" s="6"/>
      <c r="Q81" s="2"/>
      <c r="R81" s="7">
        <f t="shared" si="41"/>
        <v>0</v>
      </c>
      <c r="S81" s="2"/>
      <c r="T81" s="6">
        <v>3083</v>
      </c>
      <c r="U81" s="2"/>
      <c r="V81" s="7">
        <f t="shared" si="42"/>
        <v>4.8752563739667947E-3</v>
      </c>
      <c r="W81" s="2"/>
      <c r="X81" s="6">
        <f t="shared" si="43"/>
        <v>-3083</v>
      </c>
      <c r="Y81" s="2"/>
      <c r="Z81" s="7">
        <f t="shared" si="44"/>
        <v>-1</v>
      </c>
    </row>
    <row r="82" spans="1:26" s="24" customFormat="1" hidden="1" outlineLevel="2" x14ac:dyDescent="0.25">
      <c r="A82" s="29"/>
      <c r="B82" s="11" t="str">
        <f>CONCATENATE("          ", "6373", " - ", "MAINTENANCE CONTRACTS")</f>
        <v xml:space="preserve">          6373 - MAINTENANCE CONTRACTS</v>
      </c>
      <c r="C82" s="11"/>
      <c r="D82" s="6">
        <v>1889.94</v>
      </c>
      <c r="E82" s="2"/>
      <c r="F82" s="7">
        <f t="shared" si="37"/>
        <v>8.1804029153803963E-3</v>
      </c>
      <c r="G82" s="2"/>
      <c r="H82" s="6">
        <v>58</v>
      </c>
      <c r="I82" s="2"/>
      <c r="J82" s="7">
        <f t="shared" si="38"/>
        <v>1.1944626359730957E-4</v>
      </c>
      <c r="K82" s="2"/>
      <c r="L82" s="6">
        <f t="shared" si="39"/>
        <v>1831.94</v>
      </c>
      <c r="M82" s="2"/>
      <c r="N82" s="7">
        <f t="shared" si="40"/>
        <v>31.585172413793103</v>
      </c>
      <c r="O82" s="11"/>
      <c r="P82" s="6">
        <v>8406.19</v>
      </c>
      <c r="Q82" s="2"/>
      <c r="R82" s="7">
        <f t="shared" si="41"/>
        <v>2.7481763584498206E-2</v>
      </c>
      <c r="S82" s="2"/>
      <c r="T82" s="6">
        <v>1974</v>
      </c>
      <c r="U82" s="2"/>
      <c r="V82" s="7">
        <f t="shared" si="42"/>
        <v>3.1215556543011526E-3</v>
      </c>
      <c r="W82" s="2"/>
      <c r="X82" s="6">
        <f t="shared" si="43"/>
        <v>6432.1900000000005</v>
      </c>
      <c r="Y82" s="2"/>
      <c r="Z82" s="7">
        <f t="shared" si="44"/>
        <v>3.2584549138804459</v>
      </c>
    </row>
    <row r="83" spans="1:26" s="24" customFormat="1" hidden="1" outlineLevel="2" x14ac:dyDescent="0.25">
      <c r="A83" s="29"/>
      <c r="B83" s="11" t="str">
        <f>CONCATENATE("          ", "6375", " - ", "OUTSIDE REPAIRS &amp; MAINTENANCE")</f>
        <v xml:space="preserve">          6375 - OUTSIDE REPAIRS &amp; MAINTENANCE</v>
      </c>
      <c r="C83" s="11"/>
      <c r="D83" s="6">
        <v>1156.82</v>
      </c>
      <c r="E83" s="2"/>
      <c r="F83" s="7">
        <f t="shared" si="37"/>
        <v>5.0071714978096385E-3</v>
      </c>
      <c r="G83" s="2"/>
      <c r="H83" s="6">
        <v>782</v>
      </c>
      <c r="I83" s="2"/>
      <c r="J83" s="7">
        <f t="shared" si="38"/>
        <v>1.6104651402257947E-3</v>
      </c>
      <c r="K83" s="2"/>
      <c r="L83" s="6">
        <f t="shared" si="39"/>
        <v>374.81999999999994</v>
      </c>
      <c r="M83" s="2"/>
      <c r="N83" s="7">
        <f t="shared" si="40"/>
        <v>0.47930946291560095</v>
      </c>
      <c r="O83" s="11"/>
      <c r="P83" s="6">
        <v>5515.04</v>
      </c>
      <c r="Q83" s="2"/>
      <c r="R83" s="7">
        <f t="shared" si="41"/>
        <v>1.8029930972182522E-2</v>
      </c>
      <c r="S83" s="2"/>
      <c r="T83" s="6">
        <v>3180</v>
      </c>
      <c r="U83" s="2"/>
      <c r="V83" s="7">
        <f t="shared" si="42"/>
        <v>5.028645886868118E-3</v>
      </c>
      <c r="W83" s="2"/>
      <c r="X83" s="6">
        <f t="shared" si="43"/>
        <v>2335.04</v>
      </c>
      <c r="Y83" s="2"/>
      <c r="Z83" s="7">
        <f t="shared" si="44"/>
        <v>0.73428930817610061</v>
      </c>
    </row>
    <row r="84" spans="1:26" s="28" customFormat="1" outlineLevel="1" collapsed="1" x14ac:dyDescent="0.25">
      <c r="A84" s="27"/>
      <c r="B84" s="14" t="str">
        <f>CONCATENATE("     ","Royalty &amp; Commissions                             ")</f>
        <v xml:space="preserve">     Royalty &amp; Commissions                             </v>
      </c>
      <c r="C84" s="14"/>
      <c r="D84" s="1">
        <f>SUM(OSRRefD22_16x_0)</f>
        <v>0</v>
      </c>
      <c r="E84" s="1"/>
      <c r="F84" s="5">
        <f t="shared" ref="F84:F86" si="45">IF(D$12=0,0,D84/D$12)</f>
        <v>0</v>
      </c>
      <c r="G84" s="1"/>
      <c r="H84" s="1">
        <f>SUM(OSRRefH22_16x_0)</f>
        <v>0</v>
      </c>
      <c r="I84" s="1"/>
      <c r="J84" s="5">
        <f t="shared" ref="J84:J86" si="46">IF(H$12=0,0,H84/H$12)</f>
        <v>0</v>
      </c>
      <c r="K84" s="1"/>
      <c r="L84" s="1">
        <f t="shared" ref="L84:L86" si="47">+D84-H84</f>
        <v>0</v>
      </c>
      <c r="M84" s="1"/>
      <c r="N84" s="5">
        <f t="shared" ref="N84:N86" si="48">IF(H84=0,0,L84/H84)</f>
        <v>0</v>
      </c>
      <c r="O84" s="14"/>
      <c r="P84" s="1">
        <f>SUM(OSRRefP22_16x_0)</f>
        <v>0</v>
      </c>
      <c r="Q84" s="1"/>
      <c r="R84" s="5">
        <f t="shared" ref="R84:R86" si="49">IF(P$12=0,0,P84/P$12)</f>
        <v>0</v>
      </c>
      <c r="S84" s="1"/>
      <c r="T84" s="1">
        <f>SUM(OSRRefT22_16x_0)</f>
        <v>0</v>
      </c>
      <c r="U84" s="1"/>
      <c r="V84" s="5">
        <f t="shared" ref="V84:V86" si="50">IF(T$12=0,0,T84/T$12)</f>
        <v>0</v>
      </c>
      <c r="W84" s="1"/>
      <c r="X84" s="1">
        <f t="shared" ref="X84:X86" si="51">+P84-T84</f>
        <v>0</v>
      </c>
      <c r="Y84" s="1"/>
      <c r="Z84" s="5">
        <f t="shared" ref="Z84:Z86" si="52">IF(T84=0,0,X84/T84)</f>
        <v>0</v>
      </c>
    </row>
    <row r="85" spans="1:26" s="24" customFormat="1" hidden="1" outlineLevel="2" x14ac:dyDescent="0.25">
      <c r="A85" s="29"/>
      <c r="B85" s="11" t="str">
        <f>CONCATENATE("          ", "6254", " - ", "ROYALTY &amp; COMMISSIONS")</f>
        <v xml:space="preserve">          6254 - ROYALTY &amp; COMMISSIONS</v>
      </c>
      <c r="C85" s="11"/>
      <c r="D85" s="6"/>
      <c r="E85" s="2"/>
      <c r="F85" s="7">
        <f t="shared" si="45"/>
        <v>0</v>
      </c>
      <c r="G85" s="2"/>
      <c r="H85" s="6">
        <v>0</v>
      </c>
      <c r="I85" s="2"/>
      <c r="J85" s="7">
        <f t="shared" si="46"/>
        <v>0</v>
      </c>
      <c r="K85" s="2"/>
      <c r="L85" s="6">
        <f t="shared" si="47"/>
        <v>0</v>
      </c>
      <c r="M85" s="2"/>
      <c r="N85" s="7">
        <f t="shared" si="48"/>
        <v>0</v>
      </c>
      <c r="O85" s="11"/>
      <c r="P85" s="6"/>
      <c r="Q85" s="2"/>
      <c r="R85" s="7">
        <f t="shared" si="49"/>
        <v>0</v>
      </c>
      <c r="S85" s="2"/>
      <c r="T85" s="6">
        <v>0</v>
      </c>
      <c r="U85" s="2"/>
      <c r="V85" s="7">
        <f t="shared" si="50"/>
        <v>0</v>
      </c>
      <c r="W85" s="2"/>
      <c r="X85" s="6">
        <f t="shared" si="51"/>
        <v>0</v>
      </c>
      <c r="Y85" s="2"/>
      <c r="Z85" s="7">
        <f t="shared" si="52"/>
        <v>0</v>
      </c>
    </row>
    <row r="86" spans="1:26" s="24" customFormat="1" hidden="1" outlineLevel="2" x14ac:dyDescent="0.25">
      <c r="A86" s="29"/>
      <c r="B86" s="11" t="str">
        <f>CONCATENATE("          ", "6259", " - ", "ROYALTY &amp; COMMISSIONS")</f>
        <v xml:space="preserve">          6259 - ROYALTY &amp; COMMISSIONS</v>
      </c>
      <c r="C86" s="11"/>
      <c r="D86" s="6"/>
      <c r="E86" s="2"/>
      <c r="F86" s="7">
        <f t="shared" si="45"/>
        <v>0</v>
      </c>
      <c r="G86" s="2"/>
      <c r="H86" s="6">
        <v>0</v>
      </c>
      <c r="I86" s="2"/>
      <c r="J86" s="7">
        <f t="shared" si="46"/>
        <v>0</v>
      </c>
      <c r="K86" s="2"/>
      <c r="L86" s="6">
        <f t="shared" si="47"/>
        <v>0</v>
      </c>
      <c r="M86" s="2"/>
      <c r="N86" s="7">
        <f t="shared" si="48"/>
        <v>0</v>
      </c>
      <c r="O86" s="11"/>
      <c r="P86" s="6"/>
      <c r="Q86" s="2"/>
      <c r="R86" s="7">
        <f t="shared" si="49"/>
        <v>0</v>
      </c>
      <c r="S86" s="2"/>
      <c r="T86" s="6">
        <v>0</v>
      </c>
      <c r="U86" s="2"/>
      <c r="V86" s="7">
        <f t="shared" si="50"/>
        <v>0</v>
      </c>
      <c r="W86" s="2"/>
      <c r="X86" s="6">
        <f t="shared" si="51"/>
        <v>0</v>
      </c>
      <c r="Y86" s="2"/>
      <c r="Z86" s="7">
        <f t="shared" si="52"/>
        <v>0</v>
      </c>
    </row>
    <row r="87" spans="1:26" s="28" customFormat="1" outlineLevel="1" collapsed="1" x14ac:dyDescent="0.25">
      <c r="A87" s="27"/>
      <c r="B87" s="14" t="str">
        <f>CONCATENATE("     ","Services                                          ")</f>
        <v xml:space="preserve">     Services                                          </v>
      </c>
      <c r="C87" s="14"/>
      <c r="D87" s="1">
        <f>SUM(OSRRefD22_17x_0)</f>
        <v>17313.03</v>
      </c>
      <c r="E87" s="1"/>
      <c r="F87" s="5">
        <f t="shared" ref="F87:F92" si="53">IF(D$12=0,0,D87/D$12)</f>
        <v>7.4937596477172949E-2</v>
      </c>
      <c r="G87" s="1"/>
      <c r="H87" s="1">
        <f>SUM(OSRRefH22_17x_0)</f>
        <v>26256</v>
      </c>
      <c r="I87" s="1"/>
      <c r="J87" s="5">
        <f t="shared" ref="J87:J92" si="54">IF(H$12=0,0,H87/H$12)</f>
        <v>5.4072087879499312E-2</v>
      </c>
      <c r="K87" s="1"/>
      <c r="L87" s="1">
        <f t="shared" ref="L87:L92" si="55">+D87-H87</f>
        <v>-8942.9700000000012</v>
      </c>
      <c r="M87" s="1"/>
      <c r="N87" s="5">
        <f t="shared" ref="N87:N92" si="56">IF(H87=0,0,L87/H87)</f>
        <v>-0.34060671846435103</v>
      </c>
      <c r="O87" s="14"/>
      <c r="P87" s="1">
        <f>SUM(OSRRefP22_17x_0)</f>
        <v>42294.310000000005</v>
      </c>
      <c r="Q87" s="1"/>
      <c r="R87" s="5">
        <f t="shared" ref="R87:R92" si="57">IF(P$12=0,0,P87/P$12)</f>
        <v>0.13826980218023605</v>
      </c>
      <c r="S87" s="1"/>
      <c r="T87" s="1">
        <f>SUM(OSRRefT22_17x_0)</f>
        <v>75945</v>
      </c>
      <c r="U87" s="1"/>
      <c r="V87" s="5">
        <f t="shared" ref="V87:V92" si="58">IF(T$12=0,0,T87/T$12)</f>
        <v>0.12009450059062869</v>
      </c>
      <c r="W87" s="1"/>
      <c r="X87" s="1">
        <f t="shared" ref="X87:X92" si="59">+P87-T87</f>
        <v>-33650.689999999995</v>
      </c>
      <c r="Y87" s="1"/>
      <c r="Z87" s="5">
        <f t="shared" ref="Z87:Z92" si="60">IF(T87=0,0,X87/T87)</f>
        <v>-0.4430928961748633</v>
      </c>
    </row>
    <row r="88" spans="1:26" s="24" customFormat="1" hidden="1" outlineLevel="2" x14ac:dyDescent="0.25">
      <c r="A88" s="29"/>
      <c r="B88" s="11" t="str">
        <f>CONCATENATE("          ", "6282", " - ", "JANITORIAL/EXTERMINATOR EXPENS")</f>
        <v xml:space="preserve">          6282 - JANITORIAL/EXTERMINATOR EXPENS</v>
      </c>
      <c r="C88" s="11"/>
      <c r="D88" s="6">
        <v>8.36</v>
      </c>
      <c r="E88" s="2"/>
      <c r="F88" s="7">
        <f t="shared" si="53"/>
        <v>3.6185364811888258E-5</v>
      </c>
      <c r="G88" s="2"/>
      <c r="H88" s="6">
        <v>2705</v>
      </c>
      <c r="I88" s="2"/>
      <c r="J88" s="7">
        <f t="shared" si="54"/>
        <v>5.5707266039779725E-3</v>
      </c>
      <c r="K88" s="2"/>
      <c r="L88" s="6">
        <f t="shared" si="55"/>
        <v>-2696.64</v>
      </c>
      <c r="M88" s="2"/>
      <c r="N88" s="7">
        <f t="shared" si="56"/>
        <v>-0.99690942698706098</v>
      </c>
      <c r="O88" s="11"/>
      <c r="P88" s="6">
        <v>2912.98</v>
      </c>
      <c r="Q88" s="2"/>
      <c r="R88" s="7">
        <f t="shared" si="57"/>
        <v>9.5231998903631231E-3</v>
      </c>
      <c r="S88" s="2"/>
      <c r="T88" s="6">
        <v>8115</v>
      </c>
      <c r="U88" s="2"/>
      <c r="V88" s="7">
        <f t="shared" si="58"/>
        <v>1.2832535022621E-2</v>
      </c>
      <c r="W88" s="2"/>
      <c r="X88" s="6">
        <f t="shared" si="59"/>
        <v>-5202.0200000000004</v>
      </c>
      <c r="Y88" s="2"/>
      <c r="Z88" s="7">
        <f t="shared" si="60"/>
        <v>-0.641037584719655</v>
      </c>
    </row>
    <row r="89" spans="1:26" s="24" customFormat="1" hidden="1" outlineLevel="2" x14ac:dyDescent="0.25">
      <c r="A89" s="29"/>
      <c r="B89" s="11" t="str">
        <f>CONCATENATE("          ", "6283", " - ", "PLANT SERVICE")</f>
        <v xml:space="preserve">          6283 - PLANT SERVICE</v>
      </c>
      <c r="C89" s="11"/>
      <c r="D89" s="6"/>
      <c r="E89" s="2"/>
      <c r="F89" s="7">
        <f t="shared" si="53"/>
        <v>0</v>
      </c>
      <c r="G89" s="2"/>
      <c r="H89" s="6">
        <v>62</v>
      </c>
      <c r="I89" s="2"/>
      <c r="J89" s="7">
        <f t="shared" si="54"/>
        <v>1.2768393694884817E-4</v>
      </c>
      <c r="K89" s="2"/>
      <c r="L89" s="6">
        <f t="shared" si="55"/>
        <v>-62</v>
      </c>
      <c r="M89" s="2"/>
      <c r="N89" s="7">
        <f t="shared" si="56"/>
        <v>-1</v>
      </c>
      <c r="O89" s="11"/>
      <c r="P89" s="6"/>
      <c r="Q89" s="2"/>
      <c r="R89" s="7">
        <f t="shared" si="57"/>
        <v>0</v>
      </c>
      <c r="S89" s="2"/>
      <c r="T89" s="6">
        <v>186</v>
      </c>
      <c r="U89" s="2"/>
      <c r="V89" s="7">
        <f t="shared" si="58"/>
        <v>2.9412834432624845E-4</v>
      </c>
      <c r="W89" s="2"/>
      <c r="X89" s="6">
        <f t="shared" si="59"/>
        <v>-186</v>
      </c>
      <c r="Y89" s="2"/>
      <c r="Z89" s="7">
        <f t="shared" si="60"/>
        <v>-1</v>
      </c>
    </row>
    <row r="90" spans="1:26" s="24" customFormat="1" hidden="1" outlineLevel="2" x14ac:dyDescent="0.25">
      <c r="A90" s="29"/>
      <c r="B90" s="11" t="str">
        <f>CONCATENATE("          ", "6284", " - ", "TRASH REMOVAL EXPENSE")</f>
        <v xml:space="preserve">          6284 - TRASH REMOVAL EXPENSE</v>
      </c>
      <c r="C90" s="11"/>
      <c r="D90" s="6">
        <v>761</v>
      </c>
      <c r="E90" s="2"/>
      <c r="F90" s="7">
        <f t="shared" si="53"/>
        <v>3.2939070121826516E-3</v>
      </c>
      <c r="G90" s="2"/>
      <c r="H90" s="6">
        <v>3623</v>
      </c>
      <c r="I90" s="2"/>
      <c r="J90" s="7">
        <f t="shared" si="54"/>
        <v>7.4612726381560789E-3</v>
      </c>
      <c r="K90" s="2"/>
      <c r="L90" s="6">
        <f t="shared" si="55"/>
        <v>-2862</v>
      </c>
      <c r="M90" s="2"/>
      <c r="N90" s="7">
        <f t="shared" si="56"/>
        <v>-0.78995307756003308</v>
      </c>
      <c r="O90" s="11"/>
      <c r="P90" s="6">
        <v>2761</v>
      </c>
      <c r="Q90" s="2"/>
      <c r="R90" s="7">
        <f t="shared" si="57"/>
        <v>9.0263424044423855E-3</v>
      </c>
      <c r="S90" s="2"/>
      <c r="T90" s="6">
        <v>8046</v>
      </c>
      <c r="U90" s="2"/>
      <c r="V90" s="7">
        <f t="shared" si="58"/>
        <v>1.2723422894887069E-2</v>
      </c>
      <c r="W90" s="2"/>
      <c r="X90" s="6">
        <f t="shared" si="59"/>
        <v>-5285</v>
      </c>
      <c r="Y90" s="2"/>
      <c r="Z90" s="7">
        <f t="shared" si="60"/>
        <v>-0.65684812329107634</v>
      </c>
    </row>
    <row r="91" spans="1:26" s="24" customFormat="1" hidden="1" outlineLevel="2" x14ac:dyDescent="0.25">
      <c r="A91" s="29"/>
      <c r="B91" s="11" t="str">
        <f>CONCATENATE("          ", "6285", " - ", "JANITORIAL SERVICES")</f>
        <v xml:space="preserve">          6285 - JANITORIAL SERVICES</v>
      </c>
      <c r="C91" s="11"/>
      <c r="D91" s="6">
        <v>15033.729999999998</v>
      </c>
      <c r="E91" s="2"/>
      <c r="F91" s="7">
        <f t="shared" si="53"/>
        <v>6.5071890494429296E-2</v>
      </c>
      <c r="G91" s="2"/>
      <c r="H91" s="6">
        <v>15366</v>
      </c>
      <c r="I91" s="2"/>
      <c r="J91" s="7">
        <f t="shared" si="54"/>
        <v>3.1645022179935499E-2</v>
      </c>
      <c r="K91" s="2"/>
      <c r="L91" s="6">
        <f t="shared" si="55"/>
        <v>-332.27000000000226</v>
      </c>
      <c r="M91" s="2"/>
      <c r="N91" s="7">
        <f t="shared" si="56"/>
        <v>-2.1623714694780832E-2</v>
      </c>
      <c r="O91" s="11"/>
      <c r="P91" s="6">
        <v>30660.460000000003</v>
      </c>
      <c r="Q91" s="2"/>
      <c r="R91" s="7">
        <f t="shared" si="57"/>
        <v>0.1002360775942447</v>
      </c>
      <c r="S91" s="2"/>
      <c r="T91" s="6">
        <v>46098</v>
      </c>
      <c r="U91" s="2"/>
      <c r="V91" s="7">
        <f t="shared" si="58"/>
        <v>7.2896389337373121E-2</v>
      </c>
      <c r="W91" s="2"/>
      <c r="X91" s="6">
        <f t="shared" si="59"/>
        <v>-15437.539999999997</v>
      </c>
      <c r="Y91" s="2"/>
      <c r="Z91" s="7">
        <f t="shared" si="60"/>
        <v>-0.33488524447915302</v>
      </c>
    </row>
    <row r="92" spans="1:26" s="24" customFormat="1" hidden="1" outlineLevel="2" x14ac:dyDescent="0.25">
      <c r="A92" s="29"/>
      <c r="B92" s="11" t="str">
        <f>CONCATENATE("          ", "6286", " - ", "LAUNDRY EXPENSE")</f>
        <v xml:space="preserve">          6286 - LAUNDRY EXPENSE</v>
      </c>
      <c r="C92" s="11"/>
      <c r="D92" s="6">
        <v>1509.94</v>
      </c>
      <c r="E92" s="2"/>
      <c r="F92" s="7">
        <f t="shared" si="53"/>
        <v>6.5356136057491106E-3</v>
      </c>
      <c r="G92" s="2"/>
      <c r="H92" s="6">
        <v>4500</v>
      </c>
      <c r="I92" s="2"/>
      <c r="J92" s="7">
        <f t="shared" si="54"/>
        <v>9.2673825204809147E-3</v>
      </c>
      <c r="K92" s="2"/>
      <c r="L92" s="6">
        <f t="shared" si="55"/>
        <v>-2990.06</v>
      </c>
      <c r="M92" s="2"/>
      <c r="N92" s="7">
        <f t="shared" si="56"/>
        <v>-0.66445777777777781</v>
      </c>
      <c r="O92" s="11"/>
      <c r="P92" s="6">
        <v>5959.87</v>
      </c>
      <c r="Q92" s="2"/>
      <c r="R92" s="7">
        <f t="shared" si="57"/>
        <v>1.9484182291185818E-2</v>
      </c>
      <c r="S92" s="2"/>
      <c r="T92" s="6">
        <v>13500</v>
      </c>
      <c r="U92" s="2"/>
      <c r="V92" s="7">
        <f t="shared" si="58"/>
        <v>2.1348024991421258E-2</v>
      </c>
      <c r="W92" s="2"/>
      <c r="X92" s="6">
        <f t="shared" si="59"/>
        <v>-7540.13</v>
      </c>
      <c r="Y92" s="2"/>
      <c r="Z92" s="7">
        <f t="shared" si="60"/>
        <v>-0.55852814814814811</v>
      </c>
    </row>
    <row r="93" spans="1:26" s="28" customFormat="1" outlineLevel="1" collapsed="1" x14ac:dyDescent="0.25">
      <c r="A93" s="27"/>
      <c r="B93" s="14" t="str">
        <f>CONCATENATE("     ","Subscriptions &amp; Dues                              ")</f>
        <v xml:space="preserve">     Subscriptions &amp; Dues                              </v>
      </c>
      <c r="C93" s="14"/>
      <c r="D93" s="1">
        <f>SUM(OSRRefD22_18x_0)</f>
        <v>131.34</v>
      </c>
      <c r="E93" s="1"/>
      <c r="F93" s="5">
        <f t="shared" ref="F93:F106" si="61">IF(D$12=0,0,D93/D$12)</f>
        <v>5.6849112612361303E-4</v>
      </c>
      <c r="G93" s="1"/>
      <c r="H93" s="1">
        <f>SUM(OSRRefH22_18x_0)</f>
        <v>197</v>
      </c>
      <c r="I93" s="1"/>
      <c r="J93" s="5">
        <f t="shared" ref="J93:J106" si="62">IF(H$12=0,0,H93/H$12)</f>
        <v>4.0570541256327561E-4</v>
      </c>
      <c r="K93" s="1"/>
      <c r="L93" s="1">
        <f t="shared" ref="L93:L106" si="63">+D93-H93</f>
        <v>-65.66</v>
      </c>
      <c r="M93" s="1"/>
      <c r="N93" s="5">
        <f t="shared" ref="N93:N106" si="64">IF(H93=0,0,L93/H93)</f>
        <v>-0.33329949238578677</v>
      </c>
      <c r="O93" s="14"/>
      <c r="P93" s="1">
        <f>SUM(OSRRefP22_18x_0)</f>
        <v>140.66</v>
      </c>
      <c r="Q93" s="1"/>
      <c r="R93" s="5">
        <f t="shared" ref="R93:R106" si="65">IF(P$12=0,0,P93/P$12)</f>
        <v>4.5984980898546398E-4</v>
      </c>
      <c r="S93" s="1"/>
      <c r="T93" s="1">
        <f>SUM(OSRRefT22_18x_0)</f>
        <v>591</v>
      </c>
      <c r="U93" s="1"/>
      <c r="V93" s="5">
        <f t="shared" ref="V93:V106" si="66">IF(T$12=0,0,T93/T$12)</f>
        <v>9.3456909406888615E-4</v>
      </c>
      <c r="W93" s="1"/>
      <c r="X93" s="1">
        <f t="shared" ref="X93:X106" si="67">+P93-T93</f>
        <v>-450.34000000000003</v>
      </c>
      <c r="Y93" s="1"/>
      <c r="Z93" s="5">
        <f t="shared" ref="Z93:Z106" si="68">IF(T93=0,0,X93/T93)</f>
        <v>-0.76199661590524537</v>
      </c>
    </row>
    <row r="94" spans="1:26" s="24" customFormat="1" hidden="1" outlineLevel="2" x14ac:dyDescent="0.25">
      <c r="A94" s="29"/>
      <c r="B94" s="11" t="str">
        <f>CONCATENATE("          ", "6275", " - ", "SUBSCRIPTIONS")</f>
        <v xml:space="preserve">          6275 - SUBSCRIPTIONS</v>
      </c>
      <c r="C94" s="11"/>
      <c r="D94" s="6">
        <v>131.34</v>
      </c>
      <c r="E94" s="2"/>
      <c r="F94" s="7">
        <f t="shared" si="61"/>
        <v>5.6849112612361303E-4</v>
      </c>
      <c r="G94" s="2"/>
      <c r="H94" s="6">
        <v>197</v>
      </c>
      <c r="I94" s="2"/>
      <c r="J94" s="7">
        <f t="shared" si="62"/>
        <v>4.0570541256327561E-4</v>
      </c>
      <c r="K94" s="2"/>
      <c r="L94" s="6">
        <f t="shared" si="63"/>
        <v>-65.66</v>
      </c>
      <c r="M94" s="2"/>
      <c r="N94" s="7">
        <f t="shared" si="64"/>
        <v>-0.33329949238578677</v>
      </c>
      <c r="O94" s="11"/>
      <c r="P94" s="6">
        <v>140.66</v>
      </c>
      <c r="Q94" s="2"/>
      <c r="R94" s="7">
        <f t="shared" si="65"/>
        <v>4.5984980898546398E-4</v>
      </c>
      <c r="S94" s="2"/>
      <c r="T94" s="6">
        <v>591</v>
      </c>
      <c r="U94" s="2"/>
      <c r="V94" s="7">
        <f t="shared" si="66"/>
        <v>9.3456909406888615E-4</v>
      </c>
      <c r="W94" s="2"/>
      <c r="X94" s="6">
        <f t="shared" si="67"/>
        <v>-450.34000000000003</v>
      </c>
      <c r="Y94" s="2"/>
      <c r="Z94" s="7">
        <f t="shared" si="68"/>
        <v>-0.76199661590524537</v>
      </c>
    </row>
    <row r="95" spans="1:26" s="28" customFormat="1" outlineLevel="1" collapsed="1" x14ac:dyDescent="0.25">
      <c r="A95" s="27"/>
      <c r="B95" s="14" t="str">
        <f>CONCATENATE("     ","Supplies                                          ")</f>
        <v xml:space="preserve">     Supplies                                          </v>
      </c>
      <c r="C95" s="14"/>
      <c r="D95" s="1">
        <f>SUM(OSRRefD22_19x_0)</f>
        <v>9165.2500000000018</v>
      </c>
      <c r="E95" s="1"/>
      <c r="F95" s="5">
        <f t="shared" si="61"/>
        <v>3.9670803210784568E-2</v>
      </c>
      <c r="G95" s="1"/>
      <c r="H95" s="1">
        <f>SUM(OSRRefH22_19x_0)</f>
        <v>27093</v>
      </c>
      <c r="I95" s="1"/>
      <c r="J95" s="5">
        <f t="shared" si="62"/>
        <v>5.5795821028308767E-2</v>
      </c>
      <c r="K95" s="1"/>
      <c r="L95" s="1">
        <f t="shared" si="63"/>
        <v>-17927.75</v>
      </c>
      <c r="M95" s="1"/>
      <c r="N95" s="5">
        <f t="shared" si="64"/>
        <v>-0.66171151219872293</v>
      </c>
      <c r="O95" s="14"/>
      <c r="P95" s="1">
        <f>SUM(OSRRefP22_19x_0)</f>
        <v>6998.779999999997</v>
      </c>
      <c r="Q95" s="1"/>
      <c r="R95" s="5">
        <f t="shared" si="65"/>
        <v>2.2880617418820449E-2</v>
      </c>
      <c r="S95" s="1"/>
      <c r="T95" s="1">
        <f>SUM(OSRRefT22_19x_0)</f>
        <v>78174</v>
      </c>
      <c r="U95" s="1"/>
      <c r="V95" s="5">
        <f t="shared" si="66"/>
        <v>0.12361929671699003</v>
      </c>
      <c r="W95" s="1"/>
      <c r="X95" s="1">
        <f t="shared" si="67"/>
        <v>-71175.22</v>
      </c>
      <c r="Y95" s="1"/>
      <c r="Z95" s="5">
        <f t="shared" si="68"/>
        <v>-0.91047176810704322</v>
      </c>
    </row>
    <row r="96" spans="1:26" s="24" customFormat="1" hidden="1" outlineLevel="2" x14ac:dyDescent="0.25">
      <c r="A96" s="29"/>
      <c r="B96" s="11" t="str">
        <f>CONCATENATE("          ", "6234", " - ", "EXPENDABLE SUPPLIES &amp; EQUIPMEN")</f>
        <v xml:space="preserve">          6234 - EXPENDABLE SUPPLIES &amp; EQUIPMEN</v>
      </c>
      <c r="C96" s="11"/>
      <c r="D96" s="6"/>
      <c r="E96" s="2"/>
      <c r="F96" s="7">
        <f t="shared" si="61"/>
        <v>0</v>
      </c>
      <c r="G96" s="2"/>
      <c r="H96" s="6">
        <v>100</v>
      </c>
      <c r="I96" s="2"/>
      <c r="J96" s="7">
        <f t="shared" si="62"/>
        <v>2.059418337884648E-4</v>
      </c>
      <c r="K96" s="2"/>
      <c r="L96" s="6">
        <f t="shared" si="63"/>
        <v>-100</v>
      </c>
      <c r="M96" s="2"/>
      <c r="N96" s="7">
        <f t="shared" si="64"/>
        <v>-1</v>
      </c>
      <c r="O96" s="11"/>
      <c r="P96" s="6">
        <v>255.78</v>
      </c>
      <c r="Q96" s="2"/>
      <c r="R96" s="7">
        <f t="shared" si="65"/>
        <v>8.3620349880777752E-4</v>
      </c>
      <c r="S96" s="2"/>
      <c r="T96" s="6">
        <v>300</v>
      </c>
      <c r="U96" s="2"/>
      <c r="V96" s="7">
        <f t="shared" si="66"/>
        <v>4.744005553649168E-4</v>
      </c>
      <c r="W96" s="2"/>
      <c r="X96" s="6">
        <f t="shared" si="67"/>
        <v>-44.22</v>
      </c>
      <c r="Y96" s="2"/>
      <c r="Z96" s="7">
        <f t="shared" si="68"/>
        <v>-0.1474</v>
      </c>
    </row>
    <row r="97" spans="1:26" s="24" customFormat="1" hidden="1" outlineLevel="2" x14ac:dyDescent="0.25">
      <c r="A97" s="29"/>
      <c r="B97" s="11" t="str">
        <f>CONCATENATE("          ", "6235", " - ", "COVID-19 EXPENSES")</f>
        <v xml:space="preserve">          6235 - COVID-19 EXPENSES</v>
      </c>
      <c r="C97" s="11"/>
      <c r="D97" s="6">
        <v>4045.26</v>
      </c>
      <c r="E97" s="2"/>
      <c r="F97" s="7">
        <f t="shared" si="61"/>
        <v>1.750947474389224E-2</v>
      </c>
      <c r="G97" s="2"/>
      <c r="H97" s="6">
        <v>12200</v>
      </c>
      <c r="I97" s="2"/>
      <c r="J97" s="7">
        <f t="shared" si="62"/>
        <v>2.5124903722192705E-2</v>
      </c>
      <c r="K97" s="2"/>
      <c r="L97" s="6">
        <f t="shared" si="63"/>
        <v>-8154.74</v>
      </c>
      <c r="M97" s="2"/>
      <c r="N97" s="7">
        <f t="shared" si="64"/>
        <v>-0.66842131147540984</v>
      </c>
      <c r="O97" s="11"/>
      <c r="P97" s="6">
        <v>18540.96</v>
      </c>
      <c r="Q97" s="2"/>
      <c r="R97" s="7">
        <f t="shared" si="65"/>
        <v>6.0614651744683119E-2</v>
      </c>
      <c r="S97" s="2"/>
      <c r="T97" s="6">
        <v>29600</v>
      </c>
      <c r="U97" s="2"/>
      <c r="V97" s="7">
        <f t="shared" si="66"/>
        <v>4.6807521462671794E-2</v>
      </c>
      <c r="W97" s="2"/>
      <c r="X97" s="6">
        <f t="shared" si="67"/>
        <v>-11059.04</v>
      </c>
      <c r="Y97" s="2"/>
      <c r="Z97" s="7">
        <f t="shared" si="68"/>
        <v>-0.37361621621621627</v>
      </c>
    </row>
    <row r="98" spans="1:26" s="24" customFormat="1" hidden="1" outlineLevel="2" x14ac:dyDescent="0.25">
      <c r="A98" s="29"/>
      <c r="B98" s="11" t="str">
        <f>CONCATENATE("          ", "6237", " - ", "JANITORIAL SUPPLIES")</f>
        <v xml:space="preserve">          6237 - JANITORIAL SUPPLIES</v>
      </c>
      <c r="C98" s="11"/>
      <c r="D98" s="6">
        <v>3488.76</v>
      </c>
      <c r="E98" s="2"/>
      <c r="F98" s="7">
        <f t="shared" si="61"/>
        <v>1.5100724083866424E-2</v>
      </c>
      <c r="G98" s="2"/>
      <c r="H98" s="6">
        <v>9261</v>
      </c>
      <c r="I98" s="2"/>
      <c r="J98" s="7">
        <f t="shared" si="62"/>
        <v>1.9072273227149723E-2</v>
      </c>
      <c r="K98" s="2"/>
      <c r="L98" s="6">
        <f t="shared" si="63"/>
        <v>-5772.24</v>
      </c>
      <c r="M98" s="2"/>
      <c r="N98" s="7">
        <f t="shared" si="64"/>
        <v>-0.62328474246841592</v>
      </c>
      <c r="O98" s="11"/>
      <c r="P98" s="6">
        <v>6093.71</v>
      </c>
      <c r="Q98" s="2"/>
      <c r="R98" s="7">
        <f t="shared" si="65"/>
        <v>1.9921735955586606E-2</v>
      </c>
      <c r="S98" s="2"/>
      <c r="T98" s="6">
        <v>24503</v>
      </c>
      <c r="U98" s="2"/>
      <c r="V98" s="7">
        <f t="shared" si="66"/>
        <v>3.8747456027021857E-2</v>
      </c>
      <c r="W98" s="2"/>
      <c r="X98" s="6">
        <f t="shared" si="67"/>
        <v>-18409.29</v>
      </c>
      <c r="Y98" s="2"/>
      <c r="Z98" s="7">
        <f t="shared" si="68"/>
        <v>-0.75130759498836885</v>
      </c>
    </row>
    <row r="99" spans="1:26" s="24" customFormat="1" hidden="1" outlineLevel="2" x14ac:dyDescent="0.25">
      <c r="A99" s="29"/>
      <c r="B99" s="11" t="str">
        <f>CONCATENATE("          ", "6239", " - ", "KITCHEN SUPPLIES")</f>
        <v xml:space="preserve">          6239 - KITCHEN SUPPLIES</v>
      </c>
      <c r="C99" s="11"/>
      <c r="D99" s="6">
        <v>553.01</v>
      </c>
      <c r="E99" s="2"/>
      <c r="F99" s="7">
        <f t="shared" si="61"/>
        <v>2.3936445687347285E-3</v>
      </c>
      <c r="G99" s="2"/>
      <c r="H99" s="6">
        <v>2313</v>
      </c>
      <c r="I99" s="2"/>
      <c r="J99" s="7">
        <f t="shared" si="62"/>
        <v>4.7634346155271904E-3</v>
      </c>
      <c r="K99" s="2"/>
      <c r="L99" s="6">
        <f t="shared" si="63"/>
        <v>-1759.99</v>
      </c>
      <c r="M99" s="2"/>
      <c r="N99" s="7">
        <f t="shared" si="64"/>
        <v>-0.76091223519239082</v>
      </c>
      <c r="O99" s="11"/>
      <c r="P99" s="6">
        <v>2927.32</v>
      </c>
      <c r="Q99" s="2"/>
      <c r="R99" s="7">
        <f t="shared" si="65"/>
        <v>9.5700806401203507E-3</v>
      </c>
      <c r="S99" s="2"/>
      <c r="T99" s="6">
        <v>6249</v>
      </c>
      <c r="U99" s="2"/>
      <c r="V99" s="7">
        <f t="shared" si="66"/>
        <v>9.8817635682512169E-3</v>
      </c>
      <c r="W99" s="2"/>
      <c r="X99" s="6">
        <f t="shared" si="67"/>
        <v>-3321.68</v>
      </c>
      <c r="Y99" s="2"/>
      <c r="Z99" s="7">
        <f t="shared" si="68"/>
        <v>-0.53155384861577848</v>
      </c>
    </row>
    <row r="100" spans="1:26" s="24" customFormat="1" hidden="1" outlineLevel="2" x14ac:dyDescent="0.25">
      <c r="A100" s="29"/>
      <c r="B100" s="11" t="str">
        <f>CONCATENATE("          ", "6241", " - ", "OFFICE EXPENSE")</f>
        <v xml:space="preserve">          6241 - OFFICE EXPENSE</v>
      </c>
      <c r="C100" s="11"/>
      <c r="D100" s="6">
        <v>774.52</v>
      </c>
      <c r="E100" s="2"/>
      <c r="F100" s="7">
        <f t="shared" si="61"/>
        <v>3.3524268844621649E-3</v>
      </c>
      <c r="G100" s="2"/>
      <c r="H100" s="6">
        <v>1308</v>
      </c>
      <c r="I100" s="2"/>
      <c r="J100" s="7">
        <f t="shared" si="62"/>
        <v>2.6937191859531195E-3</v>
      </c>
      <c r="K100" s="2"/>
      <c r="L100" s="6">
        <f t="shared" si="63"/>
        <v>-533.48</v>
      </c>
      <c r="M100" s="2"/>
      <c r="N100" s="7">
        <f t="shared" si="64"/>
        <v>-0.40785932721712542</v>
      </c>
      <c r="O100" s="11"/>
      <c r="P100" s="6">
        <v>-28293.84</v>
      </c>
      <c r="Q100" s="2"/>
      <c r="R100" s="7">
        <f t="shared" si="65"/>
        <v>-9.2499053885008398E-2</v>
      </c>
      <c r="S100" s="2"/>
      <c r="T100" s="6">
        <v>7892</v>
      </c>
      <c r="U100" s="2"/>
      <c r="V100" s="7">
        <f t="shared" si="66"/>
        <v>1.2479897276466412E-2</v>
      </c>
      <c r="W100" s="2"/>
      <c r="X100" s="6">
        <f t="shared" si="67"/>
        <v>-36185.839999999997</v>
      </c>
      <c r="Y100" s="2"/>
      <c r="Z100" s="7">
        <f t="shared" si="68"/>
        <v>-4.5851292448048655</v>
      </c>
    </row>
    <row r="101" spans="1:26" s="24" customFormat="1" hidden="1" outlineLevel="2" x14ac:dyDescent="0.25">
      <c r="A101" s="29"/>
      <c r="B101" s="11" t="str">
        <f>CONCATENATE("          ", "6243", " - ", "PAPER SUPPLIES")</f>
        <v xml:space="preserve">          6243 - PAPER SUPPLIES</v>
      </c>
      <c r="C101" s="11"/>
      <c r="D101" s="6"/>
      <c r="E101" s="2"/>
      <c r="F101" s="7">
        <f t="shared" si="61"/>
        <v>0</v>
      </c>
      <c r="G101" s="2"/>
      <c r="H101" s="6">
        <v>1123</v>
      </c>
      <c r="I101" s="2"/>
      <c r="J101" s="7">
        <f t="shared" si="62"/>
        <v>2.3127267934444596E-3</v>
      </c>
      <c r="K101" s="2"/>
      <c r="L101" s="6">
        <f t="shared" si="63"/>
        <v>-1123</v>
      </c>
      <c r="M101" s="2"/>
      <c r="N101" s="7">
        <f t="shared" si="64"/>
        <v>-1</v>
      </c>
      <c r="O101" s="11"/>
      <c r="P101" s="6">
        <v>3660.17</v>
      </c>
      <c r="Q101" s="2"/>
      <c r="R101" s="7">
        <f t="shared" si="65"/>
        <v>1.1965935414149906E-2</v>
      </c>
      <c r="S101" s="2"/>
      <c r="T101" s="6">
        <v>2983</v>
      </c>
      <c r="U101" s="2"/>
      <c r="V101" s="7">
        <f t="shared" si="66"/>
        <v>4.7171228555118227E-3</v>
      </c>
      <c r="W101" s="2"/>
      <c r="X101" s="6">
        <f t="shared" si="67"/>
        <v>677.17000000000007</v>
      </c>
      <c r="Y101" s="2"/>
      <c r="Z101" s="7">
        <f t="shared" si="68"/>
        <v>0.22700972175662087</v>
      </c>
    </row>
    <row r="102" spans="1:26" s="24" customFormat="1" hidden="1" outlineLevel="2" x14ac:dyDescent="0.25">
      <c r="A102" s="29"/>
      <c r="B102" s="11" t="str">
        <f>CONCATENATE("          ", "6244", " - ", "SAFETY SUPPLY EXPENSE")</f>
        <v xml:space="preserve">          6244 - SAFETY SUPPLY EXPENSE</v>
      </c>
      <c r="C102" s="11"/>
      <c r="D102" s="6"/>
      <c r="E102" s="2"/>
      <c r="F102" s="7">
        <f t="shared" si="61"/>
        <v>0</v>
      </c>
      <c r="G102" s="2"/>
      <c r="H102" s="6">
        <v>120</v>
      </c>
      <c r="I102" s="2"/>
      <c r="J102" s="7">
        <f t="shared" si="62"/>
        <v>2.4713020054615772E-4</v>
      </c>
      <c r="K102" s="2"/>
      <c r="L102" s="6">
        <f t="shared" si="63"/>
        <v>-120</v>
      </c>
      <c r="M102" s="2"/>
      <c r="N102" s="7">
        <f t="shared" si="64"/>
        <v>-1</v>
      </c>
      <c r="O102" s="11"/>
      <c r="P102" s="6"/>
      <c r="Q102" s="2"/>
      <c r="R102" s="7">
        <f t="shared" si="65"/>
        <v>0</v>
      </c>
      <c r="S102" s="2"/>
      <c r="T102" s="6">
        <v>400</v>
      </c>
      <c r="U102" s="2"/>
      <c r="V102" s="7">
        <f t="shared" si="66"/>
        <v>6.3253407381988914E-4</v>
      </c>
      <c r="W102" s="2"/>
      <c r="X102" s="6">
        <f t="shared" si="67"/>
        <v>-400</v>
      </c>
      <c r="Y102" s="2"/>
      <c r="Z102" s="7">
        <f t="shared" si="68"/>
        <v>-1</v>
      </c>
    </row>
    <row r="103" spans="1:26" s="24" customFormat="1" hidden="1" outlineLevel="2" x14ac:dyDescent="0.25">
      <c r="A103" s="29"/>
      <c r="B103" s="11" t="str">
        <f>CONCATENATE("          ", "6245", " - ", "PRINTING")</f>
        <v xml:space="preserve">          6245 - PRINTING</v>
      </c>
      <c r="C103" s="11"/>
      <c r="D103" s="6"/>
      <c r="E103" s="2"/>
      <c r="F103" s="7">
        <f t="shared" si="61"/>
        <v>0</v>
      </c>
      <c r="G103" s="2"/>
      <c r="H103" s="6">
        <v>150</v>
      </c>
      <c r="I103" s="2"/>
      <c r="J103" s="7">
        <f t="shared" si="62"/>
        <v>3.0891275068269716E-4</v>
      </c>
      <c r="K103" s="2"/>
      <c r="L103" s="6">
        <f t="shared" si="63"/>
        <v>-150</v>
      </c>
      <c r="M103" s="2"/>
      <c r="N103" s="7">
        <f t="shared" si="64"/>
        <v>-1</v>
      </c>
      <c r="O103" s="11"/>
      <c r="P103" s="6"/>
      <c r="Q103" s="2"/>
      <c r="R103" s="7">
        <f t="shared" si="65"/>
        <v>0</v>
      </c>
      <c r="S103" s="2"/>
      <c r="T103" s="6">
        <v>1450</v>
      </c>
      <c r="U103" s="2"/>
      <c r="V103" s="7">
        <f t="shared" si="66"/>
        <v>2.292936017597098E-3</v>
      </c>
      <c r="W103" s="2"/>
      <c r="X103" s="6">
        <f t="shared" si="67"/>
        <v>-1450</v>
      </c>
      <c r="Y103" s="2"/>
      <c r="Z103" s="7">
        <f t="shared" si="68"/>
        <v>-1</v>
      </c>
    </row>
    <row r="104" spans="1:26" s="24" customFormat="1" hidden="1" outlineLevel="2" x14ac:dyDescent="0.25">
      <c r="A104" s="29"/>
      <c r="B104" s="11" t="str">
        <f>CONCATENATE("          ", "6246", " - ", "REPLACEMENTS")</f>
        <v xml:space="preserve">          6246 - REPLACEMENTS</v>
      </c>
      <c r="C104" s="11"/>
      <c r="D104" s="6"/>
      <c r="E104" s="2"/>
      <c r="F104" s="7">
        <f t="shared" si="61"/>
        <v>0</v>
      </c>
      <c r="G104" s="2"/>
      <c r="H104" s="6">
        <v>0</v>
      </c>
      <c r="I104" s="2"/>
      <c r="J104" s="7">
        <f t="shared" si="62"/>
        <v>0</v>
      </c>
      <c r="K104" s="2"/>
      <c r="L104" s="6">
        <f t="shared" si="63"/>
        <v>0</v>
      </c>
      <c r="M104" s="2"/>
      <c r="N104" s="7">
        <f t="shared" si="64"/>
        <v>0</v>
      </c>
      <c r="O104" s="11"/>
      <c r="P104" s="6"/>
      <c r="Q104" s="2"/>
      <c r="R104" s="7">
        <f t="shared" si="65"/>
        <v>0</v>
      </c>
      <c r="S104" s="2"/>
      <c r="T104" s="6">
        <v>0</v>
      </c>
      <c r="U104" s="2"/>
      <c r="V104" s="7">
        <f t="shared" si="66"/>
        <v>0</v>
      </c>
      <c r="W104" s="2"/>
      <c r="X104" s="6">
        <f t="shared" si="67"/>
        <v>0</v>
      </c>
      <c r="Y104" s="2"/>
      <c r="Z104" s="7">
        <f t="shared" si="68"/>
        <v>0</v>
      </c>
    </row>
    <row r="105" spans="1:26" s="24" customFormat="1" hidden="1" outlineLevel="2" x14ac:dyDescent="0.25">
      <c r="A105" s="29"/>
      <c r="B105" s="11" t="str">
        <f>CONCATENATE("          ", "6247", " - ", "STORE SUPPLIES")</f>
        <v xml:space="preserve">          6247 - STORE SUPPLIES</v>
      </c>
      <c r="C105" s="11"/>
      <c r="D105" s="6"/>
      <c r="E105" s="2"/>
      <c r="F105" s="7">
        <f t="shared" si="61"/>
        <v>0</v>
      </c>
      <c r="G105" s="2"/>
      <c r="H105" s="6">
        <v>18</v>
      </c>
      <c r="I105" s="2"/>
      <c r="J105" s="7">
        <f t="shared" si="62"/>
        <v>3.7069530081923661E-5</v>
      </c>
      <c r="K105" s="2"/>
      <c r="L105" s="6">
        <f t="shared" si="63"/>
        <v>-18</v>
      </c>
      <c r="M105" s="2"/>
      <c r="N105" s="7">
        <f t="shared" si="64"/>
        <v>-1</v>
      </c>
      <c r="O105" s="11"/>
      <c r="P105" s="6"/>
      <c r="Q105" s="2"/>
      <c r="R105" s="7">
        <f t="shared" si="65"/>
        <v>0</v>
      </c>
      <c r="S105" s="2"/>
      <c r="T105" s="6">
        <v>447</v>
      </c>
      <c r="U105" s="2"/>
      <c r="V105" s="7">
        <f t="shared" si="66"/>
        <v>7.0685682749372606E-4</v>
      </c>
      <c r="W105" s="2"/>
      <c r="X105" s="6">
        <f t="shared" si="67"/>
        <v>-447</v>
      </c>
      <c r="Y105" s="2"/>
      <c r="Z105" s="7">
        <f t="shared" si="68"/>
        <v>-1</v>
      </c>
    </row>
    <row r="106" spans="1:26" s="24" customFormat="1" hidden="1" outlineLevel="2" x14ac:dyDescent="0.25">
      <c r="A106" s="29"/>
      <c r="B106" s="11" t="str">
        <f>CONCATENATE("          ", "6248", " - ", "UNIFORMS")</f>
        <v xml:space="preserve">          6248 - UNIFORMS</v>
      </c>
      <c r="C106" s="11"/>
      <c r="D106" s="6">
        <v>303.7</v>
      </c>
      <c r="E106" s="2"/>
      <c r="F106" s="7">
        <f t="shared" si="61"/>
        <v>1.3145329298290031E-3</v>
      </c>
      <c r="G106" s="2"/>
      <c r="H106" s="6">
        <v>500</v>
      </c>
      <c r="I106" s="2"/>
      <c r="J106" s="7">
        <f t="shared" si="62"/>
        <v>1.0297091689423239E-3</v>
      </c>
      <c r="K106" s="2"/>
      <c r="L106" s="6">
        <f t="shared" si="63"/>
        <v>-196.3</v>
      </c>
      <c r="M106" s="2"/>
      <c r="N106" s="7">
        <f t="shared" si="64"/>
        <v>-0.3926</v>
      </c>
      <c r="O106" s="11"/>
      <c r="P106" s="6">
        <v>3814.68</v>
      </c>
      <c r="Q106" s="2"/>
      <c r="R106" s="7">
        <f t="shared" si="65"/>
        <v>1.2471064050481087E-2</v>
      </c>
      <c r="S106" s="2"/>
      <c r="T106" s="6">
        <v>4350</v>
      </c>
      <c r="U106" s="2"/>
      <c r="V106" s="7">
        <f t="shared" si="66"/>
        <v>6.8788080527912941E-3</v>
      </c>
      <c r="W106" s="2"/>
      <c r="X106" s="6">
        <f t="shared" si="67"/>
        <v>-535.32000000000016</v>
      </c>
      <c r="Y106" s="2"/>
      <c r="Z106" s="7">
        <f t="shared" si="68"/>
        <v>-0.12306206896551727</v>
      </c>
    </row>
    <row r="107" spans="1:26" s="28" customFormat="1" outlineLevel="1" collapsed="1" x14ac:dyDescent="0.25">
      <c r="A107" s="27"/>
      <c r="B107" s="14" t="str">
        <f>CONCATENATE("     ","Telephone/Data Lines                              ")</f>
        <v xml:space="preserve">     Telephone/Data Lines                              </v>
      </c>
      <c r="C107" s="14"/>
      <c r="D107" s="1">
        <f>SUM(OSRRefD22_20x_0)</f>
        <v>1613.63</v>
      </c>
      <c r="E107" s="1"/>
      <c r="F107" s="5">
        <f t="shared" ref="F107:F109" si="69">IF(D$12=0,0,D107/D$12)</f>
        <v>6.984424667632448E-3</v>
      </c>
      <c r="G107" s="1"/>
      <c r="H107" s="1">
        <f>SUM(OSRRefH22_20x_0)</f>
        <v>1175</v>
      </c>
      <c r="I107" s="1"/>
      <c r="J107" s="5">
        <f t="shared" ref="J107:J109" si="70">IF(H$12=0,0,H107/H$12)</f>
        <v>2.4198165470144611E-3</v>
      </c>
      <c r="K107" s="1"/>
      <c r="L107" s="1">
        <f t="shared" ref="L107:L109" si="71">+D107-H107</f>
        <v>438.63000000000011</v>
      </c>
      <c r="M107" s="1"/>
      <c r="N107" s="5">
        <f t="shared" ref="N107:N109" si="72">IF(H107=0,0,L107/H107)</f>
        <v>0.37330212765957455</v>
      </c>
      <c r="O107" s="14"/>
      <c r="P107" s="1">
        <f>SUM(OSRRefP22_20x_0)</f>
        <v>5311.41</v>
      </c>
      <c r="Q107" s="1"/>
      <c r="R107" s="5">
        <f t="shared" ref="R107:R109" si="73">IF(P$12=0,0,P107/P$12)</f>
        <v>1.7364217787171073E-2</v>
      </c>
      <c r="S107" s="1"/>
      <c r="T107" s="1">
        <f>SUM(OSRRefT22_20x_0)</f>
        <v>3217</v>
      </c>
      <c r="U107" s="1"/>
      <c r="V107" s="5">
        <f t="shared" ref="V107:V109" si="74">IF(T$12=0,0,T107/T$12)</f>
        <v>5.0871552886964577E-3</v>
      </c>
      <c r="W107" s="1"/>
      <c r="X107" s="1">
        <f t="shared" ref="X107:X109" si="75">+P107-T107</f>
        <v>2094.41</v>
      </c>
      <c r="Y107" s="1"/>
      <c r="Z107" s="5">
        <f t="shared" ref="Z107:Z109" si="76">IF(T107=0,0,X107/T107)</f>
        <v>0.65104445135219147</v>
      </c>
    </row>
    <row r="108" spans="1:26" s="24" customFormat="1" hidden="1" outlineLevel="2" x14ac:dyDescent="0.25">
      <c r="A108" s="29"/>
      <c r="B108" s="11" t="str">
        <f>CONCATENATE("          ", "6303", " - ", "DATA PHONE LINES")</f>
        <v xml:space="preserve">          6303 - DATA PHONE LINES</v>
      </c>
      <c r="C108" s="11"/>
      <c r="D108" s="6"/>
      <c r="E108" s="2"/>
      <c r="F108" s="7">
        <f t="shared" si="69"/>
        <v>0</v>
      </c>
      <c r="G108" s="2"/>
      <c r="H108" s="6">
        <v>700</v>
      </c>
      <c r="I108" s="2"/>
      <c r="J108" s="7">
        <f t="shared" si="70"/>
        <v>1.4415928365192536E-3</v>
      </c>
      <c r="K108" s="2"/>
      <c r="L108" s="6">
        <f t="shared" si="71"/>
        <v>-700</v>
      </c>
      <c r="M108" s="2"/>
      <c r="N108" s="7">
        <f t="shared" si="72"/>
        <v>-1</v>
      </c>
      <c r="O108" s="11"/>
      <c r="P108" s="6"/>
      <c r="Q108" s="2"/>
      <c r="R108" s="7">
        <f t="shared" si="73"/>
        <v>0</v>
      </c>
      <c r="S108" s="2"/>
      <c r="T108" s="6">
        <v>1942</v>
      </c>
      <c r="U108" s="2"/>
      <c r="V108" s="7">
        <f t="shared" si="74"/>
        <v>3.0709529283955614E-3</v>
      </c>
      <c r="W108" s="2"/>
      <c r="X108" s="6">
        <f t="shared" si="75"/>
        <v>-1942</v>
      </c>
      <c r="Y108" s="2"/>
      <c r="Z108" s="7">
        <f t="shared" si="76"/>
        <v>-1</v>
      </c>
    </row>
    <row r="109" spans="1:26" s="24" customFormat="1" hidden="1" outlineLevel="2" x14ac:dyDescent="0.25">
      <c r="A109" s="29"/>
      <c r="B109" s="11" t="str">
        <f>CONCATENATE("          ", "6309", " - ", "TELEPHONE")</f>
        <v xml:space="preserve">          6309 - TELEPHONE</v>
      </c>
      <c r="C109" s="11"/>
      <c r="D109" s="6">
        <v>1613.63</v>
      </c>
      <c r="E109" s="2"/>
      <c r="F109" s="7">
        <f t="shared" si="69"/>
        <v>6.984424667632448E-3</v>
      </c>
      <c r="G109" s="2"/>
      <c r="H109" s="6">
        <v>475</v>
      </c>
      <c r="I109" s="2"/>
      <c r="J109" s="7">
        <f t="shared" si="70"/>
        <v>9.7822371049520766E-4</v>
      </c>
      <c r="K109" s="2"/>
      <c r="L109" s="6">
        <f t="shared" si="71"/>
        <v>1138.6300000000001</v>
      </c>
      <c r="M109" s="2"/>
      <c r="N109" s="7">
        <f t="shared" si="72"/>
        <v>2.3971157894736845</v>
      </c>
      <c r="O109" s="11"/>
      <c r="P109" s="6">
        <v>5311.41</v>
      </c>
      <c r="Q109" s="2"/>
      <c r="R109" s="7">
        <f t="shared" si="73"/>
        <v>1.7364217787171073E-2</v>
      </c>
      <c r="S109" s="2"/>
      <c r="T109" s="6">
        <v>1275</v>
      </c>
      <c r="U109" s="2"/>
      <c r="V109" s="7">
        <f t="shared" si="74"/>
        <v>2.0162023603008962E-3</v>
      </c>
      <c r="W109" s="2"/>
      <c r="X109" s="6">
        <f t="shared" si="75"/>
        <v>4036.41</v>
      </c>
      <c r="Y109" s="2"/>
      <c r="Z109" s="7">
        <f t="shared" si="76"/>
        <v>3.1658117647058823</v>
      </c>
    </row>
    <row r="110" spans="1:26" s="28" customFormat="1" outlineLevel="1" collapsed="1" x14ac:dyDescent="0.25">
      <c r="A110" s="27"/>
      <c r="B110" s="14" t="str">
        <f>CONCATENATE("     ","Training                                          ")</f>
        <v xml:space="preserve">     Training                                          </v>
      </c>
      <c r="C110" s="14"/>
      <c r="D110" s="1">
        <f>SUM(OSRRefD22_21x_0)</f>
        <v>0</v>
      </c>
      <c r="E110" s="1"/>
      <c r="F110" s="5">
        <f t="shared" ref="F110:F114" si="77">IF(D$12=0,0,D110/D$12)</f>
        <v>0</v>
      </c>
      <c r="G110" s="1"/>
      <c r="H110" s="1">
        <f>SUM(OSRRefH22_21x_0)</f>
        <v>750</v>
      </c>
      <c r="I110" s="1"/>
      <c r="J110" s="5">
        <f t="shared" ref="J110:J114" si="78">IF(H$12=0,0,H110/H$12)</f>
        <v>1.544563753413486E-3</v>
      </c>
      <c r="K110" s="1"/>
      <c r="L110" s="1">
        <f t="shared" ref="L110:L114" si="79">+D110-H110</f>
        <v>-750</v>
      </c>
      <c r="M110" s="1"/>
      <c r="N110" s="5">
        <f t="shared" ref="N110:N114" si="80">IF(H110=0,0,L110/H110)</f>
        <v>-1</v>
      </c>
      <c r="O110" s="14"/>
      <c r="P110" s="1">
        <f>SUM(OSRRefP22_21x_0)</f>
        <v>350</v>
      </c>
      <c r="Q110" s="1"/>
      <c r="R110" s="5">
        <f t="shared" ref="R110:R114" si="81">IF(P$12=0,0,P110/P$12)</f>
        <v>1.1442302939351087E-3</v>
      </c>
      <c r="S110" s="1"/>
      <c r="T110" s="1">
        <f>SUM(OSRRefT22_21x_0)</f>
        <v>1900</v>
      </c>
      <c r="U110" s="1"/>
      <c r="V110" s="5">
        <f t="shared" ref="V110:V114" si="82">IF(T$12=0,0,T110/T$12)</f>
        <v>3.0045368506444732E-3</v>
      </c>
      <c r="W110" s="1"/>
      <c r="X110" s="1">
        <f t="shared" ref="X110:X114" si="83">+P110-T110</f>
        <v>-1550</v>
      </c>
      <c r="Y110" s="1"/>
      <c r="Z110" s="5">
        <f t="shared" ref="Z110:Z114" si="84">IF(T110=0,0,X110/T110)</f>
        <v>-0.81578947368421051</v>
      </c>
    </row>
    <row r="111" spans="1:26" s="24" customFormat="1" hidden="1" outlineLevel="2" x14ac:dyDescent="0.25">
      <c r="A111" s="29"/>
      <c r="B111" s="11" t="str">
        <f>CONCATENATE("          ", "6376", " - ", "TRAINING")</f>
        <v xml:space="preserve">          6376 - TRAINING</v>
      </c>
      <c r="C111" s="11"/>
      <c r="D111" s="6"/>
      <c r="E111" s="2"/>
      <c r="F111" s="7">
        <f t="shared" si="77"/>
        <v>0</v>
      </c>
      <c r="G111" s="2"/>
      <c r="H111" s="6">
        <v>750</v>
      </c>
      <c r="I111" s="2"/>
      <c r="J111" s="7">
        <f t="shared" si="78"/>
        <v>1.544563753413486E-3</v>
      </c>
      <c r="K111" s="2"/>
      <c r="L111" s="6">
        <f t="shared" si="79"/>
        <v>-750</v>
      </c>
      <c r="M111" s="2"/>
      <c r="N111" s="7">
        <f t="shared" si="80"/>
        <v>-1</v>
      </c>
      <c r="O111" s="11"/>
      <c r="P111" s="6">
        <v>350</v>
      </c>
      <c r="Q111" s="2"/>
      <c r="R111" s="7">
        <f t="shared" si="81"/>
        <v>1.1442302939351087E-3</v>
      </c>
      <c r="S111" s="2"/>
      <c r="T111" s="6">
        <v>1900</v>
      </c>
      <c r="U111" s="2"/>
      <c r="V111" s="7">
        <f t="shared" si="82"/>
        <v>3.0045368506444732E-3</v>
      </c>
      <c r="W111" s="2"/>
      <c r="X111" s="6">
        <f t="shared" si="83"/>
        <v>-1550</v>
      </c>
      <c r="Y111" s="2"/>
      <c r="Z111" s="7">
        <f t="shared" si="84"/>
        <v>-0.81578947368421051</v>
      </c>
    </row>
    <row r="112" spans="1:26" s="28" customFormat="1" outlineLevel="1" collapsed="1" x14ac:dyDescent="0.25">
      <c r="A112" s="27"/>
      <c r="B112" s="14" t="str">
        <f>CONCATENATE("     ","Travel                                            ")</f>
        <v xml:space="preserve">     Travel                                            </v>
      </c>
      <c r="C112" s="14"/>
      <c r="D112" s="1">
        <f>SUM(OSRRefD22_22x_0)</f>
        <v>152.52000000000001</v>
      </c>
      <c r="E112" s="1"/>
      <c r="F112" s="5">
        <f t="shared" si="77"/>
        <v>6.6016648817095679E-4</v>
      </c>
      <c r="G112" s="1"/>
      <c r="H112" s="1">
        <f>SUM(OSRRefH22_22x_0)</f>
        <v>300</v>
      </c>
      <c r="I112" s="1"/>
      <c r="J112" s="5">
        <f t="shared" si="78"/>
        <v>6.1782550136539431E-4</v>
      </c>
      <c r="K112" s="1"/>
      <c r="L112" s="1">
        <f t="shared" si="79"/>
        <v>-147.47999999999999</v>
      </c>
      <c r="M112" s="1"/>
      <c r="N112" s="5">
        <f t="shared" si="80"/>
        <v>-0.49159999999999998</v>
      </c>
      <c r="O112" s="14"/>
      <c r="P112" s="1">
        <f>SUM(OSRRefP22_22x_0)</f>
        <v>332.21</v>
      </c>
      <c r="Q112" s="1"/>
      <c r="R112" s="5">
        <f t="shared" si="81"/>
        <v>1.0860707027090927E-3</v>
      </c>
      <c r="S112" s="1"/>
      <c r="T112" s="1">
        <f>SUM(OSRRefT22_22x_0)</f>
        <v>900</v>
      </c>
      <c r="U112" s="1"/>
      <c r="V112" s="5">
        <f t="shared" si="82"/>
        <v>1.4232016660947503E-3</v>
      </c>
      <c r="W112" s="1"/>
      <c r="X112" s="1">
        <f t="shared" si="83"/>
        <v>-567.79</v>
      </c>
      <c r="Y112" s="1"/>
      <c r="Z112" s="5">
        <f t="shared" si="84"/>
        <v>-0.63087777777777776</v>
      </c>
    </row>
    <row r="113" spans="1:26" s="24" customFormat="1" hidden="1" outlineLevel="2" x14ac:dyDescent="0.25">
      <c r="A113" s="29"/>
      <c r="B113" s="11" t="str">
        <f>CONCATENATE("          ", "6292", " - ", "TRAVEL/CONFERENCE")</f>
        <v xml:space="preserve">          6292 - TRAVEL/CONFERENCE</v>
      </c>
      <c r="C113" s="11"/>
      <c r="D113" s="6"/>
      <c r="E113" s="2"/>
      <c r="F113" s="7">
        <f t="shared" si="77"/>
        <v>0</v>
      </c>
      <c r="G113" s="2"/>
      <c r="H113" s="6">
        <v>300</v>
      </c>
      <c r="I113" s="2"/>
      <c r="J113" s="7">
        <f t="shared" si="78"/>
        <v>6.1782550136539431E-4</v>
      </c>
      <c r="K113" s="2"/>
      <c r="L113" s="6">
        <f t="shared" si="79"/>
        <v>-300</v>
      </c>
      <c r="M113" s="2"/>
      <c r="N113" s="7">
        <f t="shared" si="80"/>
        <v>-1</v>
      </c>
      <c r="O113" s="11"/>
      <c r="P113" s="6"/>
      <c r="Q113" s="2"/>
      <c r="R113" s="7">
        <f t="shared" si="81"/>
        <v>0</v>
      </c>
      <c r="S113" s="2"/>
      <c r="T113" s="6">
        <v>900</v>
      </c>
      <c r="U113" s="2"/>
      <c r="V113" s="7">
        <f t="shared" si="82"/>
        <v>1.4232016660947503E-3</v>
      </c>
      <c r="W113" s="2"/>
      <c r="X113" s="6">
        <f t="shared" si="83"/>
        <v>-900</v>
      </c>
      <c r="Y113" s="2"/>
      <c r="Z113" s="7">
        <f t="shared" si="84"/>
        <v>-1</v>
      </c>
    </row>
    <row r="114" spans="1:26" s="24" customFormat="1" hidden="1" outlineLevel="2" x14ac:dyDescent="0.25">
      <c r="A114" s="29"/>
      <c r="B114" s="11" t="str">
        <f>CONCATENATE("          ", "6298", " - ", "VEHICLE MILEAGE")</f>
        <v xml:space="preserve">          6298 - VEHICLE MILEAGE</v>
      </c>
      <c r="C114" s="11"/>
      <c r="D114" s="6">
        <v>152.52000000000001</v>
      </c>
      <c r="E114" s="2"/>
      <c r="F114" s="7">
        <f t="shared" si="77"/>
        <v>6.6016648817095679E-4</v>
      </c>
      <c r="G114" s="2"/>
      <c r="H114" s="6"/>
      <c r="I114" s="2"/>
      <c r="J114" s="7">
        <f t="shared" si="78"/>
        <v>0</v>
      </c>
      <c r="K114" s="2"/>
      <c r="L114" s="6">
        <f t="shared" si="79"/>
        <v>152.52000000000001</v>
      </c>
      <c r="M114" s="2"/>
      <c r="N114" s="7">
        <f t="shared" si="80"/>
        <v>0</v>
      </c>
      <c r="O114" s="11"/>
      <c r="P114" s="6">
        <v>332.21</v>
      </c>
      <c r="Q114" s="2"/>
      <c r="R114" s="7">
        <f t="shared" si="81"/>
        <v>1.0860707027090927E-3</v>
      </c>
      <c r="S114" s="2"/>
      <c r="T114" s="6"/>
      <c r="U114" s="2"/>
      <c r="V114" s="7">
        <f t="shared" si="82"/>
        <v>0</v>
      </c>
      <c r="W114" s="2"/>
      <c r="X114" s="6">
        <f t="shared" si="83"/>
        <v>332.21</v>
      </c>
      <c r="Y114" s="2"/>
      <c r="Z114" s="7">
        <f t="shared" si="84"/>
        <v>0</v>
      </c>
    </row>
    <row r="115" spans="1:26" s="28" customFormat="1" outlineLevel="1" collapsed="1" x14ac:dyDescent="0.25">
      <c r="A115" s="27"/>
      <c r="B115" s="14" t="str">
        <f>CONCATENATE("     ","Utilities                                         ")</f>
        <v xml:space="preserve">     Utilities                                         </v>
      </c>
      <c r="C115" s="14"/>
      <c r="D115" s="1">
        <f>SUM(OSRRefD22_23x_0)</f>
        <v>2300</v>
      </c>
      <c r="E115" s="1"/>
      <c r="F115" s="5">
        <f t="shared" ref="F115:F116" si="85">IF(D$12=0,0,D115/D$12)</f>
        <v>9.9553037161893548E-3</v>
      </c>
      <c r="G115" s="1"/>
      <c r="H115" s="1">
        <f>SUM(OSRRefH22_23x_0)</f>
        <v>3300</v>
      </c>
      <c r="I115" s="1"/>
      <c r="J115" s="5">
        <f t="shared" ref="J115:J116" si="86">IF(H$12=0,0,H115/H$12)</f>
        <v>6.7960805150193383E-3</v>
      </c>
      <c r="K115" s="1"/>
      <c r="L115" s="1">
        <f t="shared" ref="L115:L116" si="87">+D115-H115</f>
        <v>-1000</v>
      </c>
      <c r="M115" s="1"/>
      <c r="N115" s="5">
        <f t="shared" ref="N115:N116" si="88">IF(H115=0,0,L115/H115)</f>
        <v>-0.30303030303030304</v>
      </c>
      <c r="O115" s="14"/>
      <c r="P115" s="1">
        <f>SUM(OSRRefP22_23x_0)</f>
        <v>6900</v>
      </c>
      <c r="Q115" s="1"/>
      <c r="R115" s="5">
        <f t="shared" ref="R115:R116" si="89">IF(P$12=0,0,P115/P$12)</f>
        <v>2.2557682937577858E-2</v>
      </c>
      <c r="S115" s="1"/>
      <c r="T115" s="1">
        <f>SUM(OSRRefT22_23x_0)</f>
        <v>9900</v>
      </c>
      <c r="U115" s="1"/>
      <c r="V115" s="5">
        <f t="shared" ref="V115:V116" si="90">IF(T$12=0,0,T115/T$12)</f>
        <v>1.5655218327042256E-2</v>
      </c>
      <c r="W115" s="1"/>
      <c r="X115" s="1">
        <f t="shared" ref="X115:X116" si="91">+P115-T115</f>
        <v>-3000</v>
      </c>
      <c r="Y115" s="1"/>
      <c r="Z115" s="5">
        <f t="shared" ref="Z115:Z116" si="92">IF(T115=0,0,X115/T115)</f>
        <v>-0.30303030303030304</v>
      </c>
    </row>
    <row r="116" spans="1:26" s="24" customFormat="1" hidden="1" outlineLevel="2" x14ac:dyDescent="0.25">
      <c r="A116" s="29"/>
      <c r="B116" s="11" t="str">
        <f>CONCATENATE("          ", "6274", " - ", "UTILITIES")</f>
        <v xml:space="preserve">          6274 - UTILITIES</v>
      </c>
      <c r="C116" s="11"/>
      <c r="D116" s="6">
        <v>2300</v>
      </c>
      <c r="E116" s="2"/>
      <c r="F116" s="7">
        <f t="shared" si="85"/>
        <v>9.9553037161893548E-3</v>
      </c>
      <c r="G116" s="2"/>
      <c r="H116" s="6">
        <v>3300</v>
      </c>
      <c r="I116" s="2"/>
      <c r="J116" s="7">
        <f t="shared" si="86"/>
        <v>6.7960805150193383E-3</v>
      </c>
      <c r="K116" s="2"/>
      <c r="L116" s="6">
        <f t="shared" si="87"/>
        <v>-1000</v>
      </c>
      <c r="M116" s="2"/>
      <c r="N116" s="7">
        <f t="shared" si="88"/>
        <v>-0.30303030303030304</v>
      </c>
      <c r="O116" s="11"/>
      <c r="P116" s="6">
        <v>6900</v>
      </c>
      <c r="Q116" s="2"/>
      <c r="R116" s="7">
        <f t="shared" si="89"/>
        <v>2.2557682937577858E-2</v>
      </c>
      <c r="S116" s="2"/>
      <c r="T116" s="6">
        <v>9900</v>
      </c>
      <c r="U116" s="2"/>
      <c r="V116" s="7">
        <f t="shared" si="90"/>
        <v>1.5655218327042256E-2</v>
      </c>
      <c r="W116" s="2"/>
      <c r="X116" s="6">
        <f t="shared" si="91"/>
        <v>-3000</v>
      </c>
      <c r="Y116" s="2"/>
      <c r="Z116" s="7">
        <f t="shared" si="92"/>
        <v>-0.30303030303030304</v>
      </c>
    </row>
    <row r="117" spans="1:26" s="61" customFormat="1" x14ac:dyDescent="0.25">
      <c r="A117" s="36"/>
      <c r="B117" s="36"/>
      <c r="C117" s="36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6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5" t="s">
        <v>0</v>
      </c>
      <c r="C118" s="10"/>
      <c r="D118" s="4">
        <f>SUM(OSRRefD25x_0)</f>
        <v>805.53</v>
      </c>
      <c r="E118" s="4"/>
      <c r="F118" s="12">
        <f t="shared" ref="F118:F122" si="93">IF(D$12=0,0,D118/D$12)</f>
        <v>3.4866503489139177E-3</v>
      </c>
      <c r="G118" s="4"/>
      <c r="H118" s="4">
        <f>SUM(OSRRefH25x_0)</f>
        <v>4235</v>
      </c>
      <c r="I118" s="4"/>
      <c r="J118" s="12">
        <f t="shared" ref="J118:J122" si="94">IF(H$12=0,0,H118/H$12)</f>
        <v>8.7216366609414835E-3</v>
      </c>
      <c r="K118" s="4"/>
      <c r="L118" s="4">
        <f t="shared" ref="L118:L122" si="95">+D118-H118</f>
        <v>-3429.4700000000003</v>
      </c>
      <c r="M118" s="4"/>
      <c r="N118" s="12">
        <f t="shared" ref="N118:N122" si="96">IF(H118=0,0,L118/H118)</f>
        <v>-0.80979220779220784</v>
      </c>
      <c r="O118" s="10"/>
      <c r="P118" s="4">
        <f>SUM(OSRRefP25x_0)</f>
        <v>3619.9199999999996</v>
      </c>
      <c r="Q118" s="4"/>
      <c r="R118" s="12">
        <f t="shared" ref="R118:R122" si="97">IF(P$12=0,0,P118/P$12)</f>
        <v>1.1834348930347367E-2</v>
      </c>
      <c r="S118" s="4"/>
      <c r="T118" s="4">
        <f>SUM(OSRRefT25x_0)</f>
        <v>4235</v>
      </c>
      <c r="U118" s="4"/>
      <c r="V118" s="12">
        <f t="shared" ref="V118:V122" si="98">IF(T$12=0,0,T118/T$12)</f>
        <v>6.6969545065680754E-3</v>
      </c>
      <c r="W118" s="4"/>
      <c r="X118" s="4">
        <f t="shared" ref="X118:X122" si="99">+P118-T118</f>
        <v>-615.08000000000038</v>
      </c>
      <c r="Y118" s="4"/>
      <c r="Z118" s="12">
        <f t="shared" ref="Z118:Z122" si="100">IF(T118=0,0,X118/T118)</f>
        <v>-0.14523730814639915</v>
      </c>
    </row>
    <row r="119" spans="1:26" s="24" customFormat="1" hidden="1" outlineLevel="1" x14ac:dyDescent="0.25">
      <c r="A119" s="51"/>
      <c r="B119" s="11" t="str">
        <f>CONCATENATE("          ", "9150", " - ", "MISC. INCOME")</f>
        <v xml:space="preserve">          9150 - MISC. INCOME</v>
      </c>
      <c r="C119" s="11"/>
      <c r="D119" s="2">
        <f>--180.85</f>
        <v>180.85</v>
      </c>
      <c r="E119" s="2"/>
      <c r="F119" s="22">
        <f t="shared" si="93"/>
        <v>7.8278985959688899E-4</v>
      </c>
      <c r="G119" s="2"/>
      <c r="H119" s="2">
        <v>2036</v>
      </c>
      <c r="I119" s="2"/>
      <c r="J119" s="22">
        <f t="shared" si="94"/>
        <v>4.1929757359331432E-3</v>
      </c>
      <c r="K119" s="2"/>
      <c r="L119" s="2">
        <f t="shared" si="95"/>
        <v>-1855.15</v>
      </c>
      <c r="M119" s="2"/>
      <c r="N119" s="22">
        <f t="shared" si="96"/>
        <v>-0.91117387033398822</v>
      </c>
      <c r="O119" s="11"/>
      <c r="P119" s="2">
        <f>--804.68</f>
        <v>804.68</v>
      </c>
      <c r="Q119" s="2"/>
      <c r="R119" s="22">
        <f t="shared" si="97"/>
        <v>2.630683522639152E-3</v>
      </c>
      <c r="S119" s="2"/>
      <c r="T119" s="2">
        <v>2036</v>
      </c>
      <c r="U119" s="2"/>
      <c r="V119" s="22">
        <f t="shared" si="98"/>
        <v>3.2195984357432355E-3</v>
      </c>
      <c r="W119" s="2"/>
      <c r="X119" s="2">
        <f t="shared" si="99"/>
        <v>-1231.3200000000002</v>
      </c>
      <c r="Y119" s="2"/>
      <c r="Z119" s="22">
        <f t="shared" si="100"/>
        <v>-0.60477406679764256</v>
      </c>
    </row>
    <row r="120" spans="1:26" s="24" customFormat="1" hidden="1" outlineLevel="1" x14ac:dyDescent="0.25">
      <c r="A120" s="51"/>
      <c r="B120" s="11" t="str">
        <f>CONCATENATE("          ", "9151", " - ", "MISC. INCOME")</f>
        <v xml:space="preserve">          9151 - MISC. INCOME</v>
      </c>
      <c r="C120" s="11"/>
      <c r="D120" s="2">
        <f t="shared" ref="D120:D121" si="101">0</f>
        <v>0</v>
      </c>
      <c r="E120" s="2"/>
      <c r="F120" s="22">
        <f t="shared" si="93"/>
        <v>0</v>
      </c>
      <c r="G120" s="2"/>
      <c r="H120" s="2">
        <v>2199</v>
      </c>
      <c r="I120" s="2"/>
      <c r="J120" s="22">
        <f t="shared" si="94"/>
        <v>4.5286609250083402E-3</v>
      </c>
      <c r="K120" s="2"/>
      <c r="L120" s="2">
        <f t="shared" si="95"/>
        <v>-2199</v>
      </c>
      <c r="M120" s="2"/>
      <c r="N120" s="22">
        <f t="shared" si="96"/>
        <v>-1</v>
      </c>
      <c r="O120" s="11"/>
      <c r="P120" s="2">
        <f>0</f>
        <v>0</v>
      </c>
      <c r="Q120" s="2"/>
      <c r="R120" s="22">
        <f t="shared" si="97"/>
        <v>0</v>
      </c>
      <c r="S120" s="2"/>
      <c r="T120" s="2">
        <v>2199</v>
      </c>
      <c r="U120" s="2"/>
      <c r="V120" s="22">
        <f t="shared" si="98"/>
        <v>3.4773560708248404E-3</v>
      </c>
      <c r="W120" s="2"/>
      <c r="X120" s="2">
        <f t="shared" si="99"/>
        <v>-2199</v>
      </c>
      <c r="Y120" s="2"/>
      <c r="Z120" s="22">
        <f t="shared" si="100"/>
        <v>-1</v>
      </c>
    </row>
    <row r="121" spans="1:26" s="24" customFormat="1" hidden="1" outlineLevel="1" x14ac:dyDescent="0.25">
      <c r="A121" s="51"/>
      <c r="B121" s="11" t="str">
        <f>CONCATENATE("          ", "9160", " - ", "MISC. INCOME")</f>
        <v xml:space="preserve">          9160 - MISC. INCOME</v>
      </c>
      <c r="C121" s="11"/>
      <c r="D121" s="2">
        <f t="shared" si="101"/>
        <v>0</v>
      </c>
      <c r="E121" s="2"/>
      <c r="F121" s="22">
        <f t="shared" si="93"/>
        <v>0</v>
      </c>
      <c r="G121" s="2"/>
      <c r="H121" s="2"/>
      <c r="I121" s="2"/>
      <c r="J121" s="22">
        <f t="shared" si="94"/>
        <v>0</v>
      </c>
      <c r="K121" s="2"/>
      <c r="L121" s="2">
        <f t="shared" si="95"/>
        <v>0</v>
      </c>
      <c r="M121" s="2"/>
      <c r="N121" s="22">
        <f t="shared" si="96"/>
        <v>0</v>
      </c>
      <c r="O121" s="11"/>
      <c r="P121" s="2">
        <f>--1990.06</f>
        <v>1990.06</v>
      </c>
      <c r="Q121" s="2"/>
      <c r="R121" s="22">
        <f t="shared" si="97"/>
        <v>6.5059626821385788E-3</v>
      </c>
      <c r="S121" s="2"/>
      <c r="T121" s="2"/>
      <c r="U121" s="2"/>
      <c r="V121" s="22">
        <f t="shared" si="98"/>
        <v>0</v>
      </c>
      <c r="W121" s="2"/>
      <c r="X121" s="2">
        <f t="shared" si="99"/>
        <v>1990.06</v>
      </c>
      <c r="Y121" s="2"/>
      <c r="Z121" s="22">
        <f t="shared" si="100"/>
        <v>0</v>
      </c>
    </row>
    <row r="122" spans="1:26" s="24" customFormat="1" hidden="1" outlineLevel="1" x14ac:dyDescent="0.25">
      <c r="A122" s="51"/>
      <c r="B122" s="11" t="str">
        <f>CONCATENATE("          ", "9165", " - ", "OTHER INCOME")</f>
        <v xml:space="preserve">          9165 - OTHER INCOME</v>
      </c>
      <c r="C122" s="11"/>
      <c r="D122" s="2">
        <f>--624.68</f>
        <v>624.67999999999995</v>
      </c>
      <c r="E122" s="2"/>
      <c r="F122" s="22">
        <f t="shared" si="93"/>
        <v>2.7038604893170285E-3</v>
      </c>
      <c r="G122" s="2"/>
      <c r="H122" s="2"/>
      <c r="I122" s="2"/>
      <c r="J122" s="22">
        <f t="shared" si="94"/>
        <v>0</v>
      </c>
      <c r="K122" s="2"/>
      <c r="L122" s="2">
        <f t="shared" si="95"/>
        <v>624.67999999999995</v>
      </c>
      <c r="M122" s="2"/>
      <c r="N122" s="22">
        <f t="shared" si="96"/>
        <v>0</v>
      </c>
      <c r="O122" s="11"/>
      <c r="P122" s="2">
        <f>--825.18</f>
        <v>825.18</v>
      </c>
      <c r="Q122" s="2"/>
      <c r="R122" s="22">
        <f t="shared" si="97"/>
        <v>2.6977027255696371E-3</v>
      </c>
      <c r="S122" s="2"/>
      <c r="T122" s="2"/>
      <c r="U122" s="2"/>
      <c r="V122" s="22">
        <f t="shared" si="98"/>
        <v>0</v>
      </c>
      <c r="W122" s="2"/>
      <c r="X122" s="2">
        <f t="shared" si="99"/>
        <v>825.18</v>
      </c>
      <c r="Y122" s="2"/>
      <c r="Z122" s="22">
        <f t="shared" si="100"/>
        <v>0</v>
      </c>
    </row>
    <row r="123" spans="1:26" x14ac:dyDescent="0.25">
      <c r="A123" s="9"/>
      <c r="B123" s="10"/>
      <c r="C123" s="10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O123" s="10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x14ac:dyDescent="0.25">
      <c r="A124" s="10"/>
      <c r="B124" s="26" t="s">
        <v>3</v>
      </c>
      <c r="C124" s="26"/>
      <c r="D124" s="20">
        <f>+D26-D28+D118</f>
        <v>-173263.55000000013</v>
      </c>
      <c r="E124" s="13"/>
      <c r="F124" s="21">
        <f>IF(D$12=0,0,D124/D$12)</f>
        <v>-0.74995272312833106</v>
      </c>
      <c r="G124" s="13"/>
      <c r="H124" s="20">
        <f>+H26-H28+H118</f>
        <v>-104078.28560870566</v>
      </c>
      <c r="I124" s="13"/>
      <c r="J124" s="21">
        <f>IF(H$12=0,0,H124/H$12)</f>
        <v>-0.21434072995816428</v>
      </c>
      <c r="K124" s="16"/>
      <c r="L124" s="20">
        <f>+D124-H124</f>
        <v>-69185.264391294477</v>
      </c>
      <c r="M124" s="16"/>
      <c r="N124" s="21">
        <f>IF(H124=0,0,L124/H124)</f>
        <v>0.66474254439013791</v>
      </c>
      <c r="O124" s="25"/>
      <c r="P124" s="20">
        <f>+P26-P28+P118</f>
        <v>-753631.5299999998</v>
      </c>
      <c r="Q124" s="13"/>
      <c r="R124" s="21">
        <f>IF(P$12=0,0,P124/P$12)</f>
        <v>-2.4637943631161869</v>
      </c>
      <c r="S124" s="13"/>
      <c r="T124" s="20">
        <f>+T26-T28+T118</f>
        <v>-834285.8610047102</v>
      </c>
      <c r="U124" s="13"/>
      <c r="V124" s="21">
        <f>IF(T$12=0,0,T124/T$12)</f>
        <v>-1.3192855859791077</v>
      </c>
      <c r="W124" s="16"/>
      <c r="X124" s="20">
        <f>+P124-T124</f>
        <v>80654.331004710402</v>
      </c>
      <c r="Y124" s="16"/>
      <c r="Z124" s="21">
        <f>IF(T124=0,0,X124/T124)</f>
        <v>-9.6674694819327694E-2</v>
      </c>
    </row>
    <row r="125" spans="1:26" x14ac:dyDescent="0.25">
      <c r="A125" s="9"/>
      <c r="B125" s="10"/>
      <c r="C125" s="9"/>
      <c r="D125" s="3"/>
      <c r="E125" s="3"/>
      <c r="F125" s="8"/>
      <c r="G125" s="3"/>
      <c r="H125" s="3"/>
      <c r="I125" s="3"/>
      <c r="J125" s="8"/>
      <c r="K125" s="3"/>
      <c r="L125" s="3"/>
      <c r="M125" s="3"/>
      <c r="N125" s="8"/>
      <c r="P125" s="3"/>
      <c r="Q125" s="3"/>
      <c r="R125" s="8"/>
      <c r="S125" s="3"/>
      <c r="T125" s="3"/>
      <c r="U125" s="3"/>
      <c r="V125" s="8"/>
      <c r="W125" s="3"/>
      <c r="X125" s="3"/>
      <c r="Y125" s="3"/>
      <c r="Z125" s="8"/>
    </row>
    <row r="126" spans="1:26" s="23" customFormat="1" x14ac:dyDescent="0.25">
      <c r="A126" s="52"/>
      <c r="B126" s="10" t="s">
        <v>14</v>
      </c>
      <c r="C126" s="10"/>
      <c r="D126" s="4">
        <v>44028.87</v>
      </c>
      <c r="E126" s="4"/>
      <c r="F126" s="12">
        <f>IF(D$12=0,0,D126/D$12)</f>
        <v>0.19057424918722524</v>
      </c>
      <c r="G126" s="4"/>
      <c r="H126" s="4">
        <v>67450</v>
      </c>
      <c r="I126" s="4"/>
      <c r="J126" s="12">
        <f>IF(H$12=0,0,H126/H$12)</f>
        <v>0.1389077668903195</v>
      </c>
      <c r="K126" s="4"/>
      <c r="L126" s="4">
        <f>+D126-H126</f>
        <v>-23421.129999999997</v>
      </c>
      <c r="M126" s="4"/>
      <c r="N126" s="12">
        <f>IF(H126=0,0,L126/H126)</f>
        <v>-0.34723691623424757</v>
      </c>
      <c r="O126" s="10"/>
      <c r="P126" s="4">
        <v>56666.259999999995</v>
      </c>
      <c r="Q126" s="4"/>
      <c r="R126" s="12">
        <f>IF(P$12=0,0,P126/P$12)</f>
        <v>0.18525500381715226</v>
      </c>
      <c r="S126" s="4"/>
      <c r="T126" s="4">
        <v>91424</v>
      </c>
      <c r="U126" s="4"/>
      <c r="V126" s="12">
        <f>IF(T$12=0,0,T126/T$12)</f>
        <v>0.14457198791227385</v>
      </c>
      <c r="W126" s="4"/>
      <c r="X126" s="4">
        <f>+P126-T126</f>
        <v>-34757.740000000005</v>
      </c>
      <c r="Y126" s="4"/>
      <c r="Z126" s="12">
        <f>IF(T126=0,0,X126/T126)</f>
        <v>-0.38018179033951705</v>
      </c>
    </row>
    <row r="127" spans="1:26" x14ac:dyDescent="0.25">
      <c r="A127" s="9"/>
      <c r="B127" s="10"/>
      <c r="C127" s="10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O127" s="10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6" t="s">
        <v>4</v>
      </c>
      <c r="C128" s="26"/>
      <c r="D128" s="33">
        <f>+D124-D126</f>
        <v>-217292.42000000013</v>
      </c>
      <c r="E128" s="13"/>
      <c r="F128" s="34">
        <f>IF(D$12=0,0,D128/D$12)</f>
        <v>-0.94052697231555626</v>
      </c>
      <c r="G128" s="13"/>
      <c r="H128" s="33">
        <f>+H124-H126</f>
        <v>-171528.28560870566</v>
      </c>
      <c r="I128" s="13"/>
      <c r="J128" s="34">
        <f>IF(H$12=0,0,H128/H$12)</f>
        <v>-0.35324849684848375</v>
      </c>
      <c r="K128" s="16"/>
      <c r="L128" s="33">
        <f>D128-H128</f>
        <v>-45764.134391294472</v>
      </c>
      <c r="M128" s="16"/>
      <c r="N128" s="34">
        <f>IF(H128=0,0,L128/H128)</f>
        <v>0.26680226079850577</v>
      </c>
      <c r="O128" s="25"/>
      <c r="P128" s="33">
        <f>+P124-P126</f>
        <v>-810297.7899999998</v>
      </c>
      <c r="Q128" s="13"/>
      <c r="R128" s="34">
        <f>IF(P$12=0,0,P128/P$12)</f>
        <v>-2.6490493669333395</v>
      </c>
      <c r="S128" s="13"/>
      <c r="T128" s="33">
        <f>+T124-T126</f>
        <v>-925709.8610047102</v>
      </c>
      <c r="U128" s="13"/>
      <c r="V128" s="34">
        <f>IF(T$12=0,0,T128/T$12)</f>
        <v>-1.4638575738913815</v>
      </c>
      <c r="W128" s="16"/>
      <c r="X128" s="33">
        <f>P128-T128</f>
        <v>115412.07100471039</v>
      </c>
      <c r="Y128" s="16"/>
      <c r="Z128" s="34">
        <f>IF(T128=0,0,X128/T128)</f>
        <v>-0.12467412940751114</v>
      </c>
    </row>
    <row r="129" spans="1:26" ht="15.75" thickTop="1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x14ac:dyDescent="0.25">
      <c r="A130" s="9"/>
      <c r="B130" s="9"/>
      <c r="C130" s="9"/>
      <c r="D130" s="3"/>
      <c r="E130" s="3"/>
      <c r="F130" s="8"/>
      <c r="G130" s="3"/>
      <c r="H130" s="3"/>
      <c r="I130" s="3"/>
      <c r="J130" s="8"/>
      <c r="K130" s="3"/>
      <c r="L130" s="3"/>
      <c r="M130" s="3"/>
      <c r="N130" s="8"/>
      <c r="P130" s="3"/>
      <c r="Q130" s="3"/>
      <c r="R130" s="8"/>
      <c r="S130" s="3"/>
      <c r="T130" s="3"/>
      <c r="U130" s="3"/>
      <c r="V130" s="8"/>
      <c r="W130" s="3"/>
      <c r="X130" s="3"/>
      <c r="Y130" s="3"/>
      <c r="Z130" s="8"/>
    </row>
    <row r="131" spans="1:26" s="23" customFormat="1" ht="15.75" thickBot="1" x14ac:dyDescent="0.3">
      <c r="A131" s="10"/>
      <c r="B131" s="26" t="s">
        <v>5</v>
      </c>
      <c r="C131" s="26"/>
      <c r="D131" s="31">
        <f>SUM(D128:D130)</f>
        <v>-217292.42000000013</v>
      </c>
      <c r="E131" s="13"/>
      <c r="F131" s="32">
        <f>IF(D$12=0,0,D131/D$12)</f>
        <v>-0.94052697231555626</v>
      </c>
      <c r="G131" s="13"/>
      <c r="H131" s="31">
        <f>SUM(H128:H130)</f>
        <v>-171528.28560870566</v>
      </c>
      <c r="I131" s="13"/>
      <c r="J131" s="32">
        <f>IF(H$12=0,0,H131/H$12)</f>
        <v>-0.35324849684848375</v>
      </c>
      <c r="K131" s="16"/>
      <c r="L131" s="31">
        <f>+D131-H131</f>
        <v>-45764.134391294472</v>
      </c>
      <c r="M131" s="16"/>
      <c r="N131" s="32">
        <f>IF(H131=0,0,L131/H131)</f>
        <v>0.26680226079850577</v>
      </c>
      <c r="O131" s="25"/>
      <c r="P131" s="31">
        <f>SUM(P128:P130)</f>
        <v>-810297.7899999998</v>
      </c>
      <c r="Q131" s="13"/>
      <c r="R131" s="32">
        <f>IF(P$12=0,0,P131/P$12)</f>
        <v>-2.6490493669333395</v>
      </c>
      <c r="S131" s="13"/>
      <c r="T131" s="31">
        <f>SUM(T128:T130)</f>
        <v>-925709.8610047102</v>
      </c>
      <c r="U131" s="13"/>
      <c r="V131" s="32">
        <f>IF(T$12=0,0,T131/T$12)</f>
        <v>-1.4638575738913815</v>
      </c>
      <c r="W131" s="16"/>
      <c r="X131" s="31">
        <f>+P131-T131</f>
        <v>115412.07100471039</v>
      </c>
      <c r="Y131" s="16"/>
      <c r="Z131" s="32">
        <f>IF(T131=0,0,X131/T131)</f>
        <v>-0.12467412940751114</v>
      </c>
    </row>
    <row r="132" spans="1:26" ht="15.75" thickTop="1" x14ac:dyDescent="0.25">
      <c r="A132" s="9"/>
      <c r="C132" s="9"/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6" x14ac:dyDescent="0.25">
      <c r="A133" s="9"/>
      <c r="B133" s="55">
        <v>44123.571577349539</v>
      </c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  <row r="134" spans="1:26" x14ac:dyDescent="0.25">
      <c r="A134" s="9"/>
      <c r="B134" s="53" t="s">
        <v>314</v>
      </c>
      <c r="D134" s="17"/>
      <c r="E134" s="17"/>
      <c r="G134" s="17"/>
      <c r="H134" s="17"/>
      <c r="I134" s="17"/>
      <c r="J134" s="43"/>
      <c r="K134" s="17"/>
      <c r="L134" s="17"/>
      <c r="M134" s="17"/>
      <c r="P134" s="17"/>
      <c r="Q134" s="17"/>
      <c r="R134" s="43"/>
      <c r="S134" s="17"/>
      <c r="T134" s="17"/>
      <c r="U134" s="17"/>
      <c r="V134" s="43"/>
      <c r="W134" s="17"/>
      <c r="X134" s="17"/>
    </row>
    <row r="135" spans="1:26" x14ac:dyDescent="0.25">
      <c r="A135" s="9"/>
      <c r="B135" s="62"/>
      <c r="D135" s="17"/>
      <c r="E135" s="17"/>
      <c r="G135" s="17"/>
      <c r="H135" s="17"/>
      <c r="I135" s="17"/>
      <c r="J135" s="43"/>
      <c r="K135" s="17"/>
      <c r="L135" s="17"/>
      <c r="M135" s="17"/>
      <c r="P135" s="17"/>
      <c r="Q135" s="17"/>
      <c r="R135" s="43"/>
      <c r="S135" s="17"/>
      <c r="T135" s="17"/>
      <c r="U135" s="17"/>
      <c r="V135" s="43"/>
      <c r="W135" s="17"/>
      <c r="X135" s="17"/>
    </row>
    <row r="136" spans="1:26" x14ac:dyDescent="0.25">
      <c r="D136" s="17"/>
      <c r="E136" s="17"/>
      <c r="G136" s="17"/>
      <c r="H136" s="17"/>
      <c r="I136" s="17"/>
      <c r="J136" s="43"/>
      <c r="K136" s="17"/>
      <c r="L136" s="17"/>
      <c r="M136" s="17"/>
      <c r="P136" s="17"/>
      <c r="Q136" s="17"/>
      <c r="R136" s="43"/>
      <c r="S136" s="17"/>
      <c r="T136" s="17"/>
      <c r="U136" s="17"/>
      <c r="V136" s="43"/>
      <c r="W136" s="17"/>
      <c r="X136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313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10440.119999999999</v>
      </c>
      <c r="E12" s="4"/>
      <c r="F12" s="12"/>
      <c r="G12" s="4"/>
      <c r="H12" s="4">
        <f>SUM(OSRRefH13x_0)</f>
        <v>71935</v>
      </c>
      <c r="I12" s="4"/>
      <c r="J12" s="12"/>
      <c r="K12" s="4"/>
      <c r="L12" s="4">
        <f t="shared" ref="L12:L20" si="0">+D12-H12</f>
        <v>-61494.880000000005</v>
      </c>
      <c r="M12" s="4"/>
      <c r="N12" s="12">
        <f t="shared" ref="N12:N20" si="1">IF(H12=0,0,L12/H12)</f>
        <v>-0.85486731076666445</v>
      </c>
      <c r="O12" s="10"/>
      <c r="P12" s="4">
        <f>SUM(OSRRefP13x_0)</f>
        <v>16957.97</v>
      </c>
      <c r="Q12" s="4"/>
      <c r="R12" s="12"/>
      <c r="S12" s="4"/>
      <c r="T12" s="4">
        <f>SUM(OSRRefT13x_0)</f>
        <v>89567</v>
      </c>
      <c r="U12" s="4"/>
      <c r="V12" s="12"/>
      <c r="W12" s="4"/>
      <c r="X12" s="4">
        <f t="shared" ref="X12:X20" si="2">+P12-T12</f>
        <v>-72609.03</v>
      </c>
      <c r="Y12" s="4"/>
      <c r="Z12" s="12">
        <f t="shared" ref="Z12:Z20" si="3">IF(T12=0,0,X12/T12)</f>
        <v>-0.81066721002154807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10842</v>
      </c>
      <c r="I13" s="2"/>
      <c r="J13" s="22"/>
      <c r="K13" s="2"/>
      <c r="L13" s="2">
        <f t="shared" si="0"/>
        <v>-10842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14833</v>
      </c>
      <c r="U13" s="2"/>
      <c r="V13" s="22"/>
      <c r="W13" s="2"/>
      <c r="X13" s="2">
        <f t="shared" si="2"/>
        <v>-14833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"4032", " - ", "TAXABLE SALES-JUICE")</f>
        <v xml:space="preserve">          4032 - TAXABLE SALES-JUICE</v>
      </c>
      <c r="C14" s="11"/>
      <c r="D14" s="2">
        <f>--356.39</f>
        <v>356.39</v>
      </c>
      <c r="E14" s="2"/>
      <c r="F14" s="22"/>
      <c r="G14" s="2"/>
      <c r="H14" s="2"/>
      <c r="I14" s="2"/>
      <c r="J14" s="22"/>
      <c r="K14" s="2"/>
      <c r="L14" s="2">
        <f t="shared" si="0"/>
        <v>356.39</v>
      </c>
      <c r="M14" s="2"/>
      <c r="N14" s="22">
        <f t="shared" si="1"/>
        <v>0</v>
      </c>
      <c r="O14" s="11"/>
      <c r="P14" s="2">
        <f>--444.59</f>
        <v>444.59</v>
      </c>
      <c r="Q14" s="2"/>
      <c r="R14" s="22"/>
      <c r="S14" s="2"/>
      <c r="T14" s="2"/>
      <c r="U14" s="2"/>
      <c r="V14" s="22"/>
      <c r="W14" s="2"/>
      <c r="X14" s="2">
        <f t="shared" si="2"/>
        <v>444.59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"4051", " - ", "TAXABLE SALES-FOOD")</f>
        <v xml:space="preserve">          4051 - TAXABLE SALES-FOOD</v>
      </c>
      <c r="C15" s="11"/>
      <c r="D15" s="2">
        <f>--4141.96</f>
        <v>4141.96</v>
      </c>
      <c r="E15" s="2"/>
      <c r="F15" s="22"/>
      <c r="G15" s="2"/>
      <c r="H15" s="2"/>
      <c r="I15" s="2"/>
      <c r="J15" s="22"/>
      <c r="K15" s="2"/>
      <c r="L15" s="2">
        <f t="shared" si="0"/>
        <v>4141.96</v>
      </c>
      <c r="M15" s="2"/>
      <c r="N15" s="22">
        <f t="shared" si="1"/>
        <v>0</v>
      </c>
      <c r="O15" s="11"/>
      <c r="P15" s="2">
        <f>--6652.68</f>
        <v>6652.68</v>
      </c>
      <c r="Q15" s="2"/>
      <c r="R15" s="22"/>
      <c r="S15" s="2"/>
      <c r="T15" s="2"/>
      <c r="U15" s="2"/>
      <c r="V15" s="22"/>
      <c r="W15" s="2"/>
      <c r="X15" s="2">
        <f t="shared" si="2"/>
        <v>6652.68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"4058", " - ", "TAXABLE SALES-FOOD")</f>
        <v xml:space="preserve">          4058 - TAXABLE SALES-FOOD</v>
      </c>
      <c r="C16" s="11"/>
      <c r="D16" s="2">
        <f t="shared" ref="D16:D17" si="4">0</f>
        <v>0</v>
      </c>
      <c r="E16" s="2"/>
      <c r="F16" s="22"/>
      <c r="G16" s="2"/>
      <c r="H16" s="2"/>
      <c r="I16" s="2"/>
      <c r="J16" s="22"/>
      <c r="K16" s="2"/>
      <c r="L16" s="2">
        <f t="shared" si="0"/>
        <v>0</v>
      </c>
      <c r="M16" s="2"/>
      <c r="N16" s="22">
        <f t="shared" si="1"/>
        <v>0</v>
      </c>
      <c r="O16" s="11"/>
      <c r="P16" s="2">
        <f>--974.91</f>
        <v>974.91</v>
      </c>
      <c r="Q16" s="2"/>
      <c r="R16" s="22"/>
      <c r="S16" s="2"/>
      <c r="T16" s="2"/>
      <c r="U16" s="2"/>
      <c r="V16" s="22"/>
      <c r="W16" s="2"/>
      <c r="X16" s="2">
        <f t="shared" si="2"/>
        <v>974.91</v>
      </c>
      <c r="Y16" s="2"/>
      <c r="Z16" s="22">
        <f t="shared" si="3"/>
        <v>0</v>
      </c>
    </row>
    <row r="17" spans="1:26" s="24" customFormat="1" hidden="1" outlineLevel="1" x14ac:dyDescent="0.25">
      <c r="A17" s="51"/>
      <c r="B17" s="11" t="str">
        <f>CONCATENATE("          ", "4100", " - ", "NON-TAXABLE SALES")</f>
        <v xml:space="preserve">          4100 - NON-TAXABLE SALES</v>
      </c>
      <c r="C17" s="11"/>
      <c r="D17" s="2">
        <f t="shared" si="4"/>
        <v>0</v>
      </c>
      <c r="E17" s="2"/>
      <c r="F17" s="22"/>
      <c r="G17" s="2"/>
      <c r="H17" s="2">
        <v>61092.999999999993</v>
      </c>
      <c r="I17" s="2"/>
      <c r="J17" s="22"/>
      <c r="K17" s="2"/>
      <c r="L17" s="2">
        <f t="shared" si="0"/>
        <v>-61092.999999999993</v>
      </c>
      <c r="M17" s="2"/>
      <c r="N17" s="22">
        <f t="shared" si="1"/>
        <v>-1</v>
      </c>
      <c r="O17" s="11"/>
      <c r="P17" s="2">
        <f>0</f>
        <v>0</v>
      </c>
      <c r="Q17" s="2"/>
      <c r="R17" s="22"/>
      <c r="S17" s="2"/>
      <c r="T17" s="2">
        <v>74734</v>
      </c>
      <c r="U17" s="2"/>
      <c r="V17" s="22"/>
      <c r="W17" s="2"/>
      <c r="X17" s="2">
        <f t="shared" si="2"/>
        <v>-74734</v>
      </c>
      <c r="Y17" s="2"/>
      <c r="Z17" s="22">
        <f t="shared" si="3"/>
        <v>-1</v>
      </c>
    </row>
    <row r="18" spans="1:26" s="24" customFormat="1" hidden="1" outlineLevel="1" x14ac:dyDescent="0.25">
      <c r="A18" s="51"/>
      <c r="B18" s="11" t="str">
        <f>CONCATENATE("          ", "4132", " - ", "NON-TAXABLE SALES-JUICE")</f>
        <v xml:space="preserve">          4132 - NON-TAXABLE SALES-JUICE</v>
      </c>
      <c r="C18" s="11"/>
      <c r="D18" s="2">
        <f>--1406.08</f>
        <v>1406.08</v>
      </c>
      <c r="E18" s="2"/>
      <c r="F18" s="22"/>
      <c r="G18" s="2"/>
      <c r="H18" s="2"/>
      <c r="I18" s="2"/>
      <c r="J18" s="22"/>
      <c r="K18" s="2"/>
      <c r="L18" s="2">
        <f t="shared" si="0"/>
        <v>1406.08</v>
      </c>
      <c r="M18" s="2"/>
      <c r="N18" s="22">
        <f t="shared" si="1"/>
        <v>0</v>
      </c>
      <c r="O18" s="11"/>
      <c r="P18" s="2">
        <f>--2031.88</f>
        <v>2031.88</v>
      </c>
      <c r="Q18" s="2"/>
      <c r="R18" s="22"/>
      <c r="S18" s="2"/>
      <c r="T18" s="2"/>
      <c r="U18" s="2"/>
      <c r="V18" s="22"/>
      <c r="W18" s="2"/>
      <c r="X18" s="2">
        <f t="shared" si="2"/>
        <v>2031.88</v>
      </c>
      <c r="Y18" s="2"/>
      <c r="Z18" s="22">
        <f t="shared" si="3"/>
        <v>0</v>
      </c>
    </row>
    <row r="19" spans="1:26" s="24" customFormat="1" hidden="1" outlineLevel="1" x14ac:dyDescent="0.25">
      <c r="A19" s="51"/>
      <c r="B19" s="11" t="str">
        <f>CONCATENATE("          ", "4151", " - ", "NON-TAXABLE SALES-FOOD")</f>
        <v xml:space="preserve">          4151 - NON-TAXABLE SALES-FOOD</v>
      </c>
      <c r="C19" s="11"/>
      <c r="D19" s="2">
        <f>--4535.69</f>
        <v>4535.6899999999996</v>
      </c>
      <c r="E19" s="2"/>
      <c r="F19" s="22"/>
      <c r="G19" s="2"/>
      <c r="H19" s="2"/>
      <c r="I19" s="2"/>
      <c r="J19" s="22"/>
      <c r="K19" s="2"/>
      <c r="L19" s="2">
        <f t="shared" si="0"/>
        <v>4535.6899999999996</v>
      </c>
      <c r="M19" s="2"/>
      <c r="N19" s="22">
        <f t="shared" si="1"/>
        <v>0</v>
      </c>
      <c r="O19" s="11"/>
      <c r="P19" s="2">
        <f>--6743.91</f>
        <v>6743.91</v>
      </c>
      <c r="Q19" s="2"/>
      <c r="R19" s="22"/>
      <c r="S19" s="2"/>
      <c r="T19" s="2"/>
      <c r="U19" s="2"/>
      <c r="V19" s="22"/>
      <c r="W19" s="2"/>
      <c r="X19" s="2">
        <f t="shared" si="2"/>
        <v>6743.91</v>
      </c>
      <c r="Y19" s="2"/>
      <c r="Z19" s="22">
        <f t="shared" si="3"/>
        <v>0</v>
      </c>
    </row>
    <row r="20" spans="1:26" s="24" customFormat="1" hidden="1" outlineLevel="1" x14ac:dyDescent="0.25">
      <c r="A20" s="51"/>
      <c r="B20" s="11" t="str">
        <f>CONCATENATE("          ", "4153", " - ", "NON-TAXABLE SALES-FOOD")</f>
        <v xml:space="preserve">          4153 - NON-TAXABLE SALES-FOOD</v>
      </c>
      <c r="C20" s="11"/>
      <c r="D20" s="2">
        <f>0</f>
        <v>0</v>
      </c>
      <c r="E20" s="2"/>
      <c r="F20" s="22"/>
      <c r="G20" s="2"/>
      <c r="H20" s="2"/>
      <c r="I20" s="2"/>
      <c r="J20" s="22"/>
      <c r="K20" s="2"/>
      <c r="L20" s="2">
        <f t="shared" si="0"/>
        <v>0</v>
      </c>
      <c r="M20" s="2"/>
      <c r="N20" s="22">
        <f t="shared" si="1"/>
        <v>0</v>
      </c>
      <c r="O20" s="11"/>
      <c r="P20" s="2">
        <f>--110</f>
        <v>110</v>
      </c>
      <c r="Q20" s="2"/>
      <c r="R20" s="22"/>
      <c r="S20" s="2"/>
      <c r="T20" s="2"/>
      <c r="U20" s="2"/>
      <c r="V20" s="22"/>
      <c r="W20" s="2"/>
      <c r="X20" s="2">
        <f t="shared" si="2"/>
        <v>110</v>
      </c>
      <c r="Y20" s="2"/>
      <c r="Z20" s="22">
        <f t="shared" si="3"/>
        <v>0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5" t="s">
        <v>8</v>
      </c>
      <c r="C22" s="10"/>
      <c r="D22" s="4">
        <f>SUM(OSRRefD16x_0)</f>
        <v>1823.61</v>
      </c>
      <c r="E22" s="4"/>
      <c r="F22" s="12">
        <f t="shared" ref="F22:F25" si="5">IF(D$12=0,0,D22/D$12)</f>
        <v>0.17467327961747567</v>
      </c>
      <c r="G22" s="4"/>
      <c r="H22" s="4">
        <f>SUM(OSRRefH16x_0)</f>
        <v>28806</v>
      </c>
      <c r="I22" s="4"/>
      <c r="J22" s="12">
        <f t="shared" ref="J22:J25" si="6">IF(H$12=0,0,H22/H$12)</f>
        <v>0.40044484604156533</v>
      </c>
      <c r="K22" s="4"/>
      <c r="L22" s="4">
        <f t="shared" ref="L22:L25" si="7">+D22-H22</f>
        <v>-26982.39</v>
      </c>
      <c r="M22" s="4"/>
      <c r="N22" s="12">
        <f t="shared" ref="N22:N25" si="8">IF(H22=0,0,L22/H22)</f>
        <v>-0.93669339720891476</v>
      </c>
      <c r="O22" s="10"/>
      <c r="P22" s="4">
        <f>SUM(OSRRefP16x_0)</f>
        <v>3799.91</v>
      </c>
      <c r="Q22" s="4"/>
      <c r="R22" s="12">
        <f t="shared" ref="R22:R25" si="9">IF(P$12=0,0,P22/P$12)</f>
        <v>0.22407811784075568</v>
      </c>
      <c r="S22" s="4"/>
      <c r="T22" s="4">
        <f>SUM(OSRRefT16x_0)</f>
        <v>35424</v>
      </c>
      <c r="U22" s="4"/>
      <c r="V22" s="12">
        <f t="shared" ref="V22:V25" si="10">IF(T$12=0,0,T22/T$12)</f>
        <v>0.39550280795382226</v>
      </c>
      <c r="W22" s="4"/>
      <c r="X22" s="4">
        <f t="shared" ref="X22:X25" si="11">+P22-T22</f>
        <v>-31624.09</v>
      </c>
      <c r="Y22" s="4"/>
      <c r="Z22" s="12">
        <f t="shared" ref="Z22:Z25" si="12">IF(T22=0,0,X22/T22)</f>
        <v>-0.89273063459801261</v>
      </c>
    </row>
    <row r="23" spans="1:26" s="24" customFormat="1" hidden="1" outlineLevel="1" x14ac:dyDescent="0.25">
      <c r="A23" s="51"/>
      <c r="B23" s="11" t="str">
        <f>CONCATENATE("          ", "5000", " - ", "PURCHASES @ COST")</f>
        <v xml:space="preserve">          5000 - PURCHASES @ COST</v>
      </c>
      <c r="C23" s="11"/>
      <c r="D23" s="2"/>
      <c r="E23" s="2"/>
      <c r="F23" s="22">
        <f t="shared" si="5"/>
        <v>0</v>
      </c>
      <c r="G23" s="2"/>
      <c r="H23" s="2">
        <v>28806</v>
      </c>
      <c r="I23" s="2"/>
      <c r="J23" s="22">
        <f t="shared" si="6"/>
        <v>0.40044484604156533</v>
      </c>
      <c r="K23" s="2"/>
      <c r="L23" s="2">
        <f t="shared" si="7"/>
        <v>-28806</v>
      </c>
      <c r="M23" s="2"/>
      <c r="N23" s="22">
        <f t="shared" si="8"/>
        <v>-1</v>
      </c>
      <c r="O23" s="11"/>
      <c r="P23" s="2"/>
      <c r="Q23" s="2"/>
      <c r="R23" s="22">
        <f t="shared" si="9"/>
        <v>0</v>
      </c>
      <c r="S23" s="2"/>
      <c r="T23" s="2">
        <v>35424</v>
      </c>
      <c r="U23" s="2"/>
      <c r="V23" s="22">
        <f t="shared" si="10"/>
        <v>0.39550280795382226</v>
      </c>
      <c r="W23" s="2"/>
      <c r="X23" s="2">
        <f t="shared" si="11"/>
        <v>-35424</v>
      </c>
      <c r="Y23" s="2"/>
      <c r="Z23" s="22">
        <f t="shared" si="12"/>
        <v>-1</v>
      </c>
    </row>
    <row r="24" spans="1:26" s="24" customFormat="1" hidden="1" outlineLevel="1" x14ac:dyDescent="0.25">
      <c r="A24" s="51"/>
      <c r="B24" s="11" t="str">
        <f>CONCATENATE("          ", "5053", " - ", "PURCHASES @ COST-FOOD")</f>
        <v xml:space="preserve">          5053 - PURCHASES @ COST-FOOD</v>
      </c>
      <c r="C24" s="11"/>
      <c r="D24" s="2">
        <v>1282.55</v>
      </c>
      <c r="E24" s="2"/>
      <c r="F24" s="22">
        <f t="shared" si="5"/>
        <v>0.12284820480990641</v>
      </c>
      <c r="G24" s="2"/>
      <c r="H24" s="2"/>
      <c r="I24" s="2"/>
      <c r="J24" s="22">
        <f t="shared" si="6"/>
        <v>0</v>
      </c>
      <c r="K24" s="2"/>
      <c r="L24" s="2">
        <f t="shared" si="7"/>
        <v>1282.55</v>
      </c>
      <c r="M24" s="2"/>
      <c r="N24" s="22">
        <f t="shared" si="8"/>
        <v>0</v>
      </c>
      <c r="O24" s="11"/>
      <c r="P24" s="2">
        <v>3144.94</v>
      </c>
      <c r="Q24" s="2"/>
      <c r="R24" s="22">
        <f t="shared" si="9"/>
        <v>0.18545498075536163</v>
      </c>
      <c r="S24" s="2"/>
      <c r="T24" s="2"/>
      <c r="U24" s="2"/>
      <c r="V24" s="22">
        <f t="shared" si="10"/>
        <v>0</v>
      </c>
      <c r="W24" s="2"/>
      <c r="X24" s="2">
        <f t="shared" si="11"/>
        <v>3144.94</v>
      </c>
      <c r="Y24" s="2"/>
      <c r="Z24" s="22">
        <f t="shared" si="12"/>
        <v>0</v>
      </c>
    </row>
    <row r="25" spans="1:26" s="24" customFormat="1" hidden="1" outlineLevel="1" x14ac:dyDescent="0.25">
      <c r="A25" s="51"/>
      <c r="B25" s="11" t="str">
        <f>CONCATENATE("          ", "5059", " - ", "PURCHASES @ COST-FOOD")</f>
        <v xml:space="preserve">          5059 - PURCHASES @ COST-FOOD</v>
      </c>
      <c r="C25" s="11"/>
      <c r="D25" s="2">
        <v>541.05999999999995</v>
      </c>
      <c r="E25" s="2"/>
      <c r="F25" s="22">
        <f t="shared" si="5"/>
        <v>5.182507480756926E-2</v>
      </c>
      <c r="G25" s="2"/>
      <c r="H25" s="2"/>
      <c r="I25" s="2"/>
      <c r="J25" s="22">
        <f t="shared" si="6"/>
        <v>0</v>
      </c>
      <c r="K25" s="2"/>
      <c r="L25" s="2">
        <f t="shared" si="7"/>
        <v>541.05999999999995</v>
      </c>
      <c r="M25" s="2"/>
      <c r="N25" s="22">
        <f t="shared" si="8"/>
        <v>0</v>
      </c>
      <c r="O25" s="11"/>
      <c r="P25" s="2">
        <v>654.97</v>
      </c>
      <c r="Q25" s="2"/>
      <c r="R25" s="22">
        <f t="shared" si="9"/>
        <v>3.8623137085394062E-2</v>
      </c>
      <c r="S25" s="2"/>
      <c r="T25" s="2"/>
      <c r="U25" s="2"/>
      <c r="V25" s="22">
        <f t="shared" si="10"/>
        <v>0</v>
      </c>
      <c r="W25" s="2"/>
      <c r="X25" s="2">
        <f t="shared" si="11"/>
        <v>654.97</v>
      </c>
      <c r="Y25" s="2"/>
      <c r="Z25" s="22">
        <f t="shared" si="12"/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6</v>
      </c>
      <c r="C27" s="26"/>
      <c r="D27" s="20">
        <f>D12-D22</f>
        <v>8616.5099999999984</v>
      </c>
      <c r="E27" s="13"/>
      <c r="F27" s="21">
        <f>IF(D$12=0,0,D27/D$12)</f>
        <v>0.8253267203825243</v>
      </c>
      <c r="G27" s="13"/>
      <c r="H27" s="20">
        <f>H12-H22</f>
        <v>43129</v>
      </c>
      <c r="I27" s="13"/>
      <c r="J27" s="21">
        <f>IF(H$12=0,0,H27/H$12)</f>
        <v>0.59955515395843473</v>
      </c>
      <c r="K27" s="16"/>
      <c r="L27" s="20">
        <f>+D27-H27</f>
        <v>-34512.490000000005</v>
      </c>
      <c r="M27" s="16"/>
      <c r="N27" s="21">
        <f>IF(H27=0,0,L27/H27)</f>
        <v>-0.80021540031069593</v>
      </c>
      <c r="O27" s="25"/>
      <c r="P27" s="20">
        <f>P12-P22</f>
        <v>13158.060000000001</v>
      </c>
      <c r="Q27" s="13"/>
      <c r="R27" s="21">
        <f>IF(P$12=0,0,P27/P$12)</f>
        <v>0.77592188215924429</v>
      </c>
      <c r="S27" s="13"/>
      <c r="T27" s="20">
        <f>T12-T22</f>
        <v>54143</v>
      </c>
      <c r="U27" s="13"/>
      <c r="V27" s="21">
        <f>IF(T$12=0,0,T27/T$12)</f>
        <v>0.60449719204617769</v>
      </c>
      <c r="W27" s="16"/>
      <c r="X27" s="20">
        <f>+P27-T27</f>
        <v>-40984.94</v>
      </c>
      <c r="Y27" s="16"/>
      <c r="Z27" s="21">
        <f>IF(T27=0,0,X27/T27)</f>
        <v>-0.75697578634357165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6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9</v>
      </c>
      <c r="C29" s="10"/>
      <c r="D29" s="19">
        <f>SUM(OSRRefD22x_0)</f>
        <v>150007.05000000002</v>
      </c>
      <c r="E29" s="19"/>
      <c r="F29" s="35">
        <f t="shared" ref="F29:F39" si="13">IF(D$12=0,0,D29/D$12)</f>
        <v>14.368326226135334</v>
      </c>
      <c r="G29" s="19"/>
      <c r="H29" s="19">
        <f>SUM(OSRRefH22x_0)</f>
        <v>161486.3484732795</v>
      </c>
      <c r="I29" s="19"/>
      <c r="J29" s="35">
        <f t="shared" ref="J29:J39" si="14">IF(H$12=0,0,H29/H$12)</f>
        <v>2.2448925901616668</v>
      </c>
      <c r="K29" s="4"/>
      <c r="L29" s="19">
        <f t="shared" ref="L29:L39" si="15">+D29-H29</f>
        <v>-11479.298473279487</v>
      </c>
      <c r="M29" s="4"/>
      <c r="N29" s="35">
        <f t="shared" ref="N29:N39" si="16">IF(H29=0,0,L29/H29)</f>
        <v>-7.108525631922949E-2</v>
      </c>
      <c r="O29" s="10"/>
      <c r="P29" s="19">
        <f>SUM(OSRRefP22x_0)</f>
        <v>427222.50000000006</v>
      </c>
      <c r="Q29" s="19"/>
      <c r="R29" s="35">
        <f t="shared" ref="R29:R39" si="17">IF(P$12=0,0,P29/P$12)</f>
        <v>25.193021334511148</v>
      </c>
      <c r="S29" s="19"/>
      <c r="T29" s="19">
        <f>SUM(OSRRefT22x_0)</f>
        <v>460993.81810234999</v>
      </c>
      <c r="U29" s="19"/>
      <c r="V29" s="35">
        <f t="shared" ref="V29:V39" si="18">IF(T$12=0,0,T29/T$12)</f>
        <v>5.1469159188356199</v>
      </c>
      <c r="W29" s="4"/>
      <c r="X29" s="19">
        <f t="shared" ref="X29:X39" si="19">+P29-T29</f>
        <v>-33771.318102349935</v>
      </c>
      <c r="Y29" s="4"/>
      <c r="Z29" s="35">
        <f t="shared" ref="Z29:Z39" si="20">IF(T29=0,0,X29/T29)</f>
        <v>-7.3257637686698907E-2</v>
      </c>
    </row>
    <row r="30" spans="1:26" s="28" customFormat="1" outlineLevel="1" collapsed="1" x14ac:dyDescent="0.2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27566.019999999997</v>
      </c>
      <c r="E30" s="1"/>
      <c r="F30" s="5">
        <f t="shared" si="13"/>
        <v>2.6403930223024257</v>
      </c>
      <c r="G30" s="1"/>
      <c r="H30" s="1">
        <f>SUM(OSRRefH22_0x_0)</f>
        <v>20566.49544763847</v>
      </c>
      <c r="I30" s="1"/>
      <c r="J30" s="5">
        <f t="shared" si="14"/>
        <v>0.28590387777352427</v>
      </c>
      <c r="K30" s="1"/>
      <c r="L30" s="1">
        <f t="shared" si="15"/>
        <v>6999.5245523615267</v>
      </c>
      <c r="M30" s="1"/>
      <c r="N30" s="5">
        <f t="shared" si="16"/>
        <v>0.34033627995503923</v>
      </c>
      <c r="O30" s="14"/>
      <c r="P30" s="1">
        <f>SUM(OSRRefP22_0x_0)</f>
        <v>89794.95</v>
      </c>
      <c r="Q30" s="1"/>
      <c r="R30" s="5">
        <f t="shared" si="17"/>
        <v>5.2951473554912525</v>
      </c>
      <c r="S30" s="1"/>
      <c r="T30" s="1">
        <f>SUM(OSRRefT22_0x_0)</f>
        <v>63632.812602350015</v>
      </c>
      <c r="U30" s="1"/>
      <c r="V30" s="5">
        <f t="shared" si="18"/>
        <v>0.71044930166635045</v>
      </c>
      <c r="W30" s="1"/>
      <c r="X30" s="1">
        <f t="shared" si="19"/>
        <v>26162.137397649982</v>
      </c>
      <c r="Y30" s="1"/>
      <c r="Z30" s="5">
        <f t="shared" si="20"/>
        <v>0.41114224450741615</v>
      </c>
    </row>
    <row r="31" spans="1:26" s="24" customFormat="1" hidden="1" outlineLevel="2" x14ac:dyDescent="0.25">
      <c r="A31" s="29"/>
      <c r="B31" s="11" t="str">
        <f>CONCATENATE("          ", "6111", " - ", "F.I.C.A.")</f>
        <v xml:space="preserve">          6111 - F.I.C.A.</v>
      </c>
      <c r="C31" s="11"/>
      <c r="D31" s="6">
        <v>3178.71</v>
      </c>
      <c r="E31" s="2"/>
      <c r="F31" s="7">
        <f t="shared" si="13"/>
        <v>0.30447063826852566</v>
      </c>
      <c r="G31" s="2"/>
      <c r="H31" s="6">
        <v>2497.1969178692307</v>
      </c>
      <c r="I31" s="2"/>
      <c r="J31" s="7">
        <f t="shared" si="14"/>
        <v>3.4714630122599996E-2</v>
      </c>
      <c r="K31" s="2"/>
      <c r="L31" s="6">
        <f t="shared" si="15"/>
        <v>681.51308213076936</v>
      </c>
      <c r="M31" s="2"/>
      <c r="N31" s="7">
        <f t="shared" si="16"/>
        <v>0.272911229889023</v>
      </c>
      <c r="O31" s="11"/>
      <c r="P31" s="6">
        <v>9769.8700000000008</v>
      </c>
      <c r="Q31" s="2"/>
      <c r="R31" s="7">
        <f t="shared" si="17"/>
        <v>0.57612261373265783</v>
      </c>
      <c r="S31" s="2"/>
      <c r="T31" s="6">
        <v>8003.6256388500015</v>
      </c>
      <c r="U31" s="2"/>
      <c r="V31" s="7">
        <f t="shared" si="18"/>
        <v>8.9359090277111003E-2</v>
      </c>
      <c r="W31" s="2"/>
      <c r="X31" s="6">
        <f t="shared" si="19"/>
        <v>1766.2443611499993</v>
      </c>
      <c r="Y31" s="2"/>
      <c r="Z31" s="7">
        <f t="shared" si="20"/>
        <v>0.22068053165512394</v>
      </c>
    </row>
    <row r="32" spans="1:26" s="24" customFormat="1" hidden="1" outlineLevel="2" x14ac:dyDescent="0.25">
      <c r="A32" s="29"/>
      <c r="B32" s="11" t="str">
        <f>CONCATENATE("          ", "6112", " - ", "COMPENSATION INSURANCE")</f>
        <v xml:space="preserve">          6112 - COMPENSATION INSURANCE</v>
      </c>
      <c r="C32" s="11"/>
      <c r="D32" s="6">
        <v>988.18</v>
      </c>
      <c r="E32" s="2"/>
      <c r="F32" s="7">
        <f t="shared" si="13"/>
        <v>9.4652168749018217E-2</v>
      </c>
      <c r="G32" s="2"/>
      <c r="H32" s="6">
        <v>956.46249853846155</v>
      </c>
      <c r="I32" s="2"/>
      <c r="J32" s="7">
        <f t="shared" si="14"/>
        <v>1.3296204886890409E-2</v>
      </c>
      <c r="K32" s="2"/>
      <c r="L32" s="6">
        <f t="shared" si="15"/>
        <v>31.717501461538404</v>
      </c>
      <c r="M32" s="2"/>
      <c r="N32" s="7">
        <f t="shared" si="16"/>
        <v>3.3161259861212398E-2</v>
      </c>
      <c r="O32" s="11"/>
      <c r="P32" s="6">
        <v>2504.19</v>
      </c>
      <c r="Q32" s="2"/>
      <c r="R32" s="7">
        <f t="shared" si="17"/>
        <v>0.14767038743434502</v>
      </c>
      <c r="S32" s="2"/>
      <c r="T32" s="6">
        <v>2712.9448164999999</v>
      </c>
      <c r="U32" s="2"/>
      <c r="V32" s="7">
        <f t="shared" si="18"/>
        <v>3.0289557722152131E-2</v>
      </c>
      <c r="W32" s="2"/>
      <c r="X32" s="6">
        <f t="shared" si="19"/>
        <v>-208.75481649999983</v>
      </c>
      <c r="Y32" s="2"/>
      <c r="Z32" s="7">
        <f t="shared" si="20"/>
        <v>-7.6947682544209181E-2</v>
      </c>
    </row>
    <row r="33" spans="1:26" s="24" customFormat="1" hidden="1" outlineLevel="2" x14ac:dyDescent="0.25">
      <c r="A33" s="29"/>
      <c r="B33" s="11" t="str">
        <f>CONCATENATE("          ", "6113", " - ", "GROUP INSURANCE")</f>
        <v xml:space="preserve">          6113 - GROUP INSURANCE</v>
      </c>
      <c r="C33" s="11"/>
      <c r="D33" s="6">
        <v>13367.12</v>
      </c>
      <c r="E33" s="2"/>
      <c r="F33" s="7">
        <f t="shared" si="13"/>
        <v>1.2803607621368338</v>
      </c>
      <c r="G33" s="2"/>
      <c r="H33" s="6">
        <v>11221.153846153849</v>
      </c>
      <c r="I33" s="2"/>
      <c r="J33" s="7">
        <f t="shared" si="14"/>
        <v>0.15599018344552512</v>
      </c>
      <c r="K33" s="2"/>
      <c r="L33" s="6">
        <f t="shared" si="15"/>
        <v>2145.9661538461514</v>
      </c>
      <c r="M33" s="2"/>
      <c r="N33" s="7">
        <f t="shared" si="16"/>
        <v>0.19124291345329877</v>
      </c>
      <c r="O33" s="11"/>
      <c r="P33" s="6">
        <v>44973.33</v>
      </c>
      <c r="Q33" s="2"/>
      <c r="R33" s="7">
        <f t="shared" si="17"/>
        <v>2.6520467956954752</v>
      </c>
      <c r="S33" s="2"/>
      <c r="T33" s="6">
        <v>34440</v>
      </c>
      <c r="U33" s="2"/>
      <c r="V33" s="7">
        <f t="shared" si="18"/>
        <v>0.38451661884399391</v>
      </c>
      <c r="W33" s="2"/>
      <c r="X33" s="6">
        <f t="shared" si="19"/>
        <v>10533.330000000002</v>
      </c>
      <c r="Y33" s="2"/>
      <c r="Z33" s="7">
        <f t="shared" si="20"/>
        <v>0.30584581881533107</v>
      </c>
    </row>
    <row r="34" spans="1:26" s="24" customFormat="1" hidden="1" outlineLevel="2" x14ac:dyDescent="0.25">
      <c r="A34" s="29"/>
      <c r="B34" s="11" t="str">
        <f>CONCATENATE("          ", "6114", " - ", "STATE UNEMPLOYMENT INSURANCE")</f>
        <v xml:space="preserve">          6114 - STATE UNEMPLOYMENT INSURANCE</v>
      </c>
      <c r="C34" s="11"/>
      <c r="D34" s="6">
        <v>114.28</v>
      </c>
      <c r="E34" s="2"/>
      <c r="F34" s="7">
        <f t="shared" si="13"/>
        <v>1.0946234334471252E-2</v>
      </c>
      <c r="G34" s="2"/>
      <c r="H34" s="6">
        <v>118.343682</v>
      </c>
      <c r="I34" s="2"/>
      <c r="J34" s="7">
        <f t="shared" si="14"/>
        <v>1.6451474525613402E-3</v>
      </c>
      <c r="K34" s="2"/>
      <c r="L34" s="6">
        <f t="shared" si="15"/>
        <v>-4.063682</v>
      </c>
      <c r="M34" s="2"/>
      <c r="N34" s="7">
        <f t="shared" si="16"/>
        <v>-3.4337971671356313E-2</v>
      </c>
      <c r="O34" s="11"/>
      <c r="P34" s="6">
        <v>327.75</v>
      </c>
      <c r="Q34" s="2"/>
      <c r="R34" s="7">
        <f t="shared" si="17"/>
        <v>1.9327195413130226E-2</v>
      </c>
      <c r="S34" s="2"/>
      <c r="T34" s="6">
        <v>330.48273699999999</v>
      </c>
      <c r="U34" s="2"/>
      <c r="V34" s="7">
        <f t="shared" si="18"/>
        <v>3.6897823640403274E-3</v>
      </c>
      <c r="W34" s="2"/>
      <c r="X34" s="6">
        <f t="shared" si="19"/>
        <v>-2.732736999999986</v>
      </c>
      <c r="Y34" s="2"/>
      <c r="Z34" s="7">
        <f t="shared" si="20"/>
        <v>-8.2689251027353548E-3</v>
      </c>
    </row>
    <row r="35" spans="1:26" s="24" customFormat="1" hidden="1" outlineLevel="2" x14ac:dyDescent="0.25">
      <c r="A35" s="29"/>
      <c r="B35" s="11" t="str">
        <f>CONCATENATE("          ", "6115", " - ", "P.E.R.S.")</f>
        <v xml:space="preserve">          6115 - P.E.R.S.</v>
      </c>
      <c r="C35" s="11"/>
      <c r="D35" s="6">
        <v>3683.98</v>
      </c>
      <c r="E35" s="2"/>
      <c r="F35" s="7">
        <f t="shared" si="13"/>
        <v>0.35286759156025033</v>
      </c>
      <c r="G35" s="2"/>
      <c r="H35" s="6">
        <v>2222.5677261538458</v>
      </c>
      <c r="I35" s="2"/>
      <c r="J35" s="7">
        <f t="shared" si="14"/>
        <v>3.0896889221572889E-2</v>
      </c>
      <c r="K35" s="2"/>
      <c r="L35" s="6">
        <f t="shared" si="15"/>
        <v>1461.4122738461542</v>
      </c>
      <c r="M35" s="2"/>
      <c r="N35" s="7">
        <f t="shared" si="16"/>
        <v>0.65753329207885536</v>
      </c>
      <c r="O35" s="11"/>
      <c r="P35" s="6">
        <v>13879.09</v>
      </c>
      <c r="Q35" s="2"/>
      <c r="R35" s="7">
        <f t="shared" si="17"/>
        <v>0.81844053268168293</v>
      </c>
      <c r="S35" s="2"/>
      <c r="T35" s="6">
        <v>7223.345110000002</v>
      </c>
      <c r="U35" s="2"/>
      <c r="V35" s="7">
        <f t="shared" si="18"/>
        <v>8.0647393682941285E-2</v>
      </c>
      <c r="W35" s="2"/>
      <c r="X35" s="6">
        <f t="shared" si="19"/>
        <v>6655.7448899999981</v>
      </c>
      <c r="Y35" s="2"/>
      <c r="Z35" s="7">
        <f t="shared" si="20"/>
        <v>0.92142141745183714</v>
      </c>
    </row>
    <row r="36" spans="1:26" s="24" customFormat="1" hidden="1" outlineLevel="2" x14ac:dyDescent="0.25">
      <c r="A36" s="29"/>
      <c r="B36" s="11" t="str">
        <f>CONCATENATE("          ", "6116", " - ", "EDUCATIONAL BENEFITS")</f>
        <v xml:space="preserve">          6116 - EDUCATIONAL BENEFITS</v>
      </c>
      <c r="C36" s="11"/>
      <c r="D36" s="6"/>
      <c r="E36" s="2"/>
      <c r="F36" s="7">
        <f t="shared" si="13"/>
        <v>0</v>
      </c>
      <c r="G36" s="2"/>
      <c r="H36" s="6">
        <v>0</v>
      </c>
      <c r="I36" s="2"/>
      <c r="J36" s="7">
        <f t="shared" si="14"/>
        <v>0</v>
      </c>
      <c r="K36" s="2"/>
      <c r="L36" s="6">
        <f t="shared" si="15"/>
        <v>0</v>
      </c>
      <c r="M36" s="2"/>
      <c r="N36" s="7">
        <f t="shared" si="16"/>
        <v>0</v>
      </c>
      <c r="O36" s="11"/>
      <c r="P36" s="6"/>
      <c r="Q36" s="2"/>
      <c r="R36" s="7">
        <f t="shared" si="17"/>
        <v>0</v>
      </c>
      <c r="S36" s="2"/>
      <c r="T36" s="6">
        <v>0</v>
      </c>
      <c r="U36" s="2"/>
      <c r="V36" s="7">
        <f t="shared" si="18"/>
        <v>0</v>
      </c>
      <c r="W36" s="2"/>
      <c r="X36" s="6">
        <f t="shared" si="19"/>
        <v>0</v>
      </c>
      <c r="Y36" s="2"/>
      <c r="Z36" s="7">
        <f t="shared" si="20"/>
        <v>0</v>
      </c>
    </row>
    <row r="37" spans="1:26" s="24" customFormat="1" hidden="1" outlineLevel="2" x14ac:dyDescent="0.25">
      <c r="A37" s="29"/>
      <c r="B37" s="11" t="str">
        <f>CONCATENATE("          ", "6118", " - ", "VACATION")</f>
        <v xml:space="preserve">          6118 - VACATION</v>
      </c>
      <c r="C37" s="11"/>
      <c r="D37" s="6">
        <v>3208.6</v>
      </c>
      <c r="E37" s="2"/>
      <c r="F37" s="7">
        <f t="shared" si="13"/>
        <v>0.30733363218047305</v>
      </c>
      <c r="G37" s="2"/>
      <c r="H37" s="6">
        <v>1899.1320769230799</v>
      </c>
      <c r="I37" s="2"/>
      <c r="J37" s="7">
        <f t="shared" si="14"/>
        <v>2.6400668338403835E-2</v>
      </c>
      <c r="K37" s="2"/>
      <c r="L37" s="6">
        <f t="shared" si="15"/>
        <v>1309.46792307692</v>
      </c>
      <c r="M37" s="2"/>
      <c r="N37" s="7">
        <f t="shared" si="16"/>
        <v>0.68950861237543992</v>
      </c>
      <c r="O37" s="11"/>
      <c r="P37" s="6">
        <v>9776.41</v>
      </c>
      <c r="Q37" s="2"/>
      <c r="R37" s="7">
        <f t="shared" si="17"/>
        <v>0.57650827310108455</v>
      </c>
      <c r="S37" s="2"/>
      <c r="T37" s="6">
        <v>6172.1792500000092</v>
      </c>
      <c r="U37" s="2"/>
      <c r="V37" s="7">
        <f t="shared" si="18"/>
        <v>6.8911309410832219E-2</v>
      </c>
      <c r="W37" s="2"/>
      <c r="X37" s="6">
        <f t="shared" si="19"/>
        <v>3604.2307499999906</v>
      </c>
      <c r="Y37" s="2"/>
      <c r="Z37" s="7">
        <f t="shared" si="20"/>
        <v>0.58394784143703948</v>
      </c>
    </row>
    <row r="38" spans="1:26" s="24" customFormat="1" hidden="1" outlineLevel="2" x14ac:dyDescent="0.25">
      <c r="A38" s="29"/>
      <c r="B38" s="11" t="str">
        <f>CONCATENATE("          ", "6119", " - ", "SICK LEAVE")</f>
        <v xml:space="preserve">          6119 - SICK LEAVE</v>
      </c>
      <c r="C38" s="11"/>
      <c r="D38" s="6">
        <v>1945.96</v>
      </c>
      <c r="E38" s="2"/>
      <c r="F38" s="7">
        <f t="shared" si="13"/>
        <v>0.18639249357287083</v>
      </c>
      <c r="G38" s="2"/>
      <c r="H38" s="6">
        <v>1126.6387</v>
      </c>
      <c r="I38" s="2"/>
      <c r="J38" s="7">
        <f t="shared" si="14"/>
        <v>1.5661898936539933E-2</v>
      </c>
      <c r="K38" s="2"/>
      <c r="L38" s="6">
        <f t="shared" si="15"/>
        <v>819.32130000000006</v>
      </c>
      <c r="M38" s="2"/>
      <c r="N38" s="7">
        <f t="shared" si="16"/>
        <v>0.72722630600209281</v>
      </c>
      <c r="O38" s="11"/>
      <c r="P38" s="6">
        <v>6121.11</v>
      </c>
      <c r="Q38" s="2"/>
      <c r="R38" s="7">
        <f t="shared" si="17"/>
        <v>0.36095770897106194</v>
      </c>
      <c r="S38" s="2"/>
      <c r="T38" s="6">
        <v>3175.2350499999998</v>
      </c>
      <c r="U38" s="2"/>
      <c r="V38" s="7">
        <f t="shared" si="18"/>
        <v>3.5450947893755511E-2</v>
      </c>
      <c r="W38" s="2"/>
      <c r="X38" s="6">
        <f t="shared" si="19"/>
        <v>2945.8749499999999</v>
      </c>
      <c r="Y38" s="2"/>
      <c r="Z38" s="7">
        <f t="shared" si="20"/>
        <v>0.92776594602027973</v>
      </c>
    </row>
    <row r="39" spans="1:26" s="24" customFormat="1" hidden="1" outlineLevel="2" x14ac:dyDescent="0.25">
      <c r="A39" s="29"/>
      <c r="B39" s="11" t="str">
        <f>CONCATENATE("          ", "6156", " - ", "EMPLOYEE MEALS")</f>
        <v xml:space="preserve">          6156 - EMPLOYEE MEALS</v>
      </c>
      <c r="C39" s="11"/>
      <c r="D39" s="6">
        <v>1079.19</v>
      </c>
      <c r="E39" s="2"/>
      <c r="F39" s="7">
        <f t="shared" si="13"/>
        <v>0.10336950149998278</v>
      </c>
      <c r="G39" s="2"/>
      <c r="H39" s="6">
        <v>525</v>
      </c>
      <c r="I39" s="2"/>
      <c r="J39" s="7">
        <f t="shared" si="14"/>
        <v>7.298255369430736E-3</v>
      </c>
      <c r="K39" s="2"/>
      <c r="L39" s="6">
        <f t="shared" si="15"/>
        <v>554.19000000000005</v>
      </c>
      <c r="M39" s="2"/>
      <c r="N39" s="7">
        <f t="shared" si="16"/>
        <v>1.0556000000000001</v>
      </c>
      <c r="O39" s="11"/>
      <c r="P39" s="6">
        <v>2443.1999999999998</v>
      </c>
      <c r="Q39" s="2"/>
      <c r="R39" s="7">
        <f t="shared" si="17"/>
        <v>0.1440738484618147</v>
      </c>
      <c r="S39" s="2"/>
      <c r="T39" s="6">
        <v>1575</v>
      </c>
      <c r="U39" s="2"/>
      <c r="V39" s="7">
        <f t="shared" si="18"/>
        <v>1.758460147152411E-2</v>
      </c>
      <c r="W39" s="2"/>
      <c r="X39" s="6">
        <f t="shared" si="19"/>
        <v>868.19999999999982</v>
      </c>
      <c r="Y39" s="2"/>
      <c r="Z39" s="7">
        <f t="shared" si="20"/>
        <v>0.55123809523809508</v>
      </c>
    </row>
    <row r="40" spans="1:26" s="28" customFormat="1" outlineLevel="1" collapsed="1" x14ac:dyDescent="0.25">
      <c r="A40" s="27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40840.409999999996</v>
      </c>
      <c r="E40" s="1"/>
      <c r="F40" s="5">
        <f t="shared" ref="F40:F50" si="21">IF(D$12=0,0,D40/D$12)</f>
        <v>3.9118717026241079</v>
      </c>
      <c r="G40" s="1"/>
      <c r="H40" s="1">
        <f>SUM(OSRRefH22_1x_0)</f>
        <v>42631.519692307687</v>
      </c>
      <c r="I40" s="1"/>
      <c r="J40" s="5">
        <f t="shared" ref="J40:J50" si="22">IF(H$12=0,0,H40/H$12)</f>
        <v>0.59263946190738426</v>
      </c>
      <c r="K40" s="1"/>
      <c r="L40" s="1">
        <f t="shared" ref="L40:L50" si="23">+D40-H40</f>
        <v>-1791.1096923076911</v>
      </c>
      <c r="M40" s="1"/>
      <c r="N40" s="5">
        <f t="shared" ref="N40:N50" si="24">IF(H40=0,0,L40/H40)</f>
        <v>-4.2013742536859973E-2</v>
      </c>
      <c r="O40" s="14"/>
      <c r="P40" s="1">
        <f>SUM(OSRRefP22_1x_0)</f>
        <v>129660.37000000001</v>
      </c>
      <c r="Q40" s="1"/>
      <c r="R40" s="5">
        <f t="shared" ref="R40:R50" si="25">IF(P$12=0,0,P40/P$12)</f>
        <v>7.6459841596606202</v>
      </c>
      <c r="S40" s="1"/>
      <c r="T40" s="1">
        <f>SUM(OSRRefT22_1x_0)</f>
        <v>118013.00549999997</v>
      </c>
      <c r="U40" s="1"/>
      <c r="V40" s="5">
        <f t="shared" ref="V40:V50" si="26">IF(T$12=0,0,T40/T$12)</f>
        <v>1.3175947112217665</v>
      </c>
      <c r="W40" s="1"/>
      <c r="X40" s="1">
        <f t="shared" ref="X40:X50" si="27">+P40-T40</f>
        <v>11647.36450000004</v>
      </c>
      <c r="Y40" s="1"/>
      <c r="Z40" s="5">
        <f t="shared" ref="Z40:Z50" si="28">IF(T40=0,0,X40/T40)</f>
        <v>9.8695600969166422E-2</v>
      </c>
    </row>
    <row r="41" spans="1:26" s="24" customFormat="1" hidden="1" outlineLevel="2" x14ac:dyDescent="0.25">
      <c r="A41" s="29"/>
      <c r="B41" s="11" t="str">
        <f>CONCATENATE("          ", "6001", " - ", "ADMINISTRATIVE SALARIES")</f>
        <v xml:space="preserve">          6001 - ADMINISTRATIVE SALARIES</v>
      </c>
      <c r="C41" s="11"/>
      <c r="D41" s="6">
        <v>11069.28</v>
      </c>
      <c r="E41" s="2"/>
      <c r="F41" s="7">
        <f t="shared" si="21"/>
        <v>1.0602636751301711</v>
      </c>
      <c r="G41" s="2"/>
      <c r="H41" s="6">
        <v>15250.00769230769</v>
      </c>
      <c r="I41" s="2"/>
      <c r="J41" s="7">
        <f t="shared" si="22"/>
        <v>0.21199704861760882</v>
      </c>
      <c r="K41" s="2"/>
      <c r="L41" s="6">
        <f t="shared" si="23"/>
        <v>-4180.7276923076897</v>
      </c>
      <c r="M41" s="2"/>
      <c r="N41" s="7">
        <f t="shared" si="24"/>
        <v>-0.27414593990116509</v>
      </c>
      <c r="O41" s="11"/>
      <c r="P41" s="6">
        <v>33345.89</v>
      </c>
      <c r="Q41" s="2"/>
      <c r="R41" s="7">
        <f t="shared" si="25"/>
        <v>1.9663845377719147</v>
      </c>
      <c r="S41" s="2"/>
      <c r="T41" s="6">
        <v>49562.52499999998</v>
      </c>
      <c r="U41" s="2"/>
      <c r="V41" s="7">
        <f t="shared" si="26"/>
        <v>0.55335698415711121</v>
      </c>
      <c r="W41" s="2"/>
      <c r="X41" s="6">
        <f t="shared" si="27"/>
        <v>-16216.63499999998</v>
      </c>
      <c r="Y41" s="2"/>
      <c r="Z41" s="7">
        <f t="shared" si="28"/>
        <v>-0.32719549700101008</v>
      </c>
    </row>
    <row r="42" spans="1:26" s="24" customFormat="1" hidden="1" outlineLevel="2" x14ac:dyDescent="0.25">
      <c r="A42" s="29"/>
      <c r="B42" s="11" t="str">
        <f>CONCATENATE("          ", "6002", " - ", "STAFF SALARIES")</f>
        <v xml:space="preserve">          6002 - STAFF SALARIES</v>
      </c>
      <c r="C42" s="11"/>
      <c r="D42" s="6">
        <v>24492.959999999999</v>
      </c>
      <c r="E42" s="2"/>
      <c r="F42" s="7">
        <f t="shared" si="21"/>
        <v>2.3460419995172472</v>
      </c>
      <c r="G42" s="2"/>
      <c r="H42" s="6">
        <v>8287.7219999999998</v>
      </c>
      <c r="I42" s="2"/>
      <c r="J42" s="7">
        <f t="shared" si="22"/>
        <v>0.11521126016542711</v>
      </c>
      <c r="K42" s="2"/>
      <c r="L42" s="6">
        <f t="shared" si="23"/>
        <v>16205.237999999999</v>
      </c>
      <c r="M42" s="2"/>
      <c r="N42" s="7">
        <f t="shared" si="24"/>
        <v>1.9553307893290821</v>
      </c>
      <c r="O42" s="11"/>
      <c r="P42" s="6">
        <v>81231.010000000009</v>
      </c>
      <c r="Q42" s="2"/>
      <c r="R42" s="7">
        <f t="shared" si="25"/>
        <v>4.7901376167076606</v>
      </c>
      <c r="S42" s="2"/>
      <c r="T42" s="6">
        <v>26935.0965</v>
      </c>
      <c r="U42" s="2"/>
      <c r="V42" s="7">
        <f t="shared" si="26"/>
        <v>0.30072567463463107</v>
      </c>
      <c r="W42" s="2"/>
      <c r="X42" s="6">
        <f t="shared" si="27"/>
        <v>54295.91350000001</v>
      </c>
      <c r="Y42" s="2"/>
      <c r="Z42" s="7">
        <f t="shared" si="28"/>
        <v>2.0158054195202162</v>
      </c>
    </row>
    <row r="43" spans="1:26" s="24" customFormat="1" hidden="1" outlineLevel="2" x14ac:dyDescent="0.25">
      <c r="A43" s="29"/>
      <c r="B43" s="11" t="str">
        <f>CONCATENATE("          ", "6003", " - ", "STAFF HOURLY-9 MONTH")</f>
        <v xml:space="preserve">          6003 - STAFF HOURLY-9 MONTH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9"/>
      <c r="B44" s="11" t="str">
        <f>CONCATENATE("          ", "6004", " - ", "STAFF HOURLY")</f>
        <v xml:space="preserve">          6004 - STAFF HOURLY</v>
      </c>
      <c r="C44" s="11"/>
      <c r="D44" s="6">
        <v>3115.4</v>
      </c>
      <c r="E44" s="2"/>
      <c r="F44" s="7">
        <f t="shared" si="21"/>
        <v>0.29840653172568904</v>
      </c>
      <c r="G44" s="2"/>
      <c r="H44" s="6">
        <v>6456.89</v>
      </c>
      <c r="I44" s="2"/>
      <c r="J44" s="7">
        <f t="shared" si="22"/>
        <v>8.9760061166330715E-2</v>
      </c>
      <c r="K44" s="2"/>
      <c r="L44" s="6">
        <f t="shared" si="23"/>
        <v>-3341.4900000000002</v>
      </c>
      <c r="M44" s="2"/>
      <c r="N44" s="7">
        <f t="shared" si="24"/>
        <v>-0.51750765461390857</v>
      </c>
      <c r="O44" s="11"/>
      <c r="P44" s="6">
        <v>10705.6</v>
      </c>
      <c r="Q44" s="2"/>
      <c r="R44" s="7">
        <f t="shared" si="25"/>
        <v>0.63130197777210362</v>
      </c>
      <c r="S44" s="2"/>
      <c r="T44" s="6">
        <v>16215.96</v>
      </c>
      <c r="U44" s="2"/>
      <c r="V44" s="7">
        <f t="shared" si="26"/>
        <v>0.18104837719249275</v>
      </c>
      <c r="W44" s="2"/>
      <c r="X44" s="6">
        <f t="shared" si="27"/>
        <v>-5510.3599999999988</v>
      </c>
      <c r="Y44" s="2"/>
      <c r="Z44" s="7">
        <f t="shared" si="28"/>
        <v>-0.33981090234559036</v>
      </c>
    </row>
    <row r="45" spans="1:26" s="24" customFormat="1" hidden="1" outlineLevel="2" x14ac:dyDescent="0.25">
      <c r="A45" s="29"/>
      <c r="B45" s="11" t="str">
        <f>CONCATENATE("          ", "6005", " - ", "TEMPORARY WAGES-HOURLY")</f>
        <v xml:space="preserve">          6005 - TEMPORARY WAGES-HOURLY</v>
      </c>
      <c r="C45" s="11"/>
      <c r="D45" s="6">
        <v>3050.77</v>
      </c>
      <c r="E45" s="2"/>
      <c r="F45" s="7">
        <f t="shared" si="21"/>
        <v>0.2922159898545228</v>
      </c>
      <c r="G45" s="2"/>
      <c r="H45" s="6">
        <v>5543.72</v>
      </c>
      <c r="I45" s="2"/>
      <c r="J45" s="7">
        <f t="shared" si="22"/>
        <v>7.7065684298324874E-2</v>
      </c>
      <c r="K45" s="2"/>
      <c r="L45" s="6">
        <f t="shared" si="23"/>
        <v>-2492.9500000000003</v>
      </c>
      <c r="M45" s="2"/>
      <c r="N45" s="7">
        <f t="shared" si="24"/>
        <v>-0.44968901748284551</v>
      </c>
      <c r="O45" s="11"/>
      <c r="P45" s="6">
        <v>3205.87</v>
      </c>
      <c r="Q45" s="2"/>
      <c r="R45" s="7">
        <f t="shared" si="25"/>
        <v>0.18904798156854857</v>
      </c>
      <c r="S45" s="2"/>
      <c r="T45" s="6">
        <v>11975.584000000001</v>
      </c>
      <c r="U45" s="2"/>
      <c r="V45" s="7">
        <f t="shared" si="26"/>
        <v>0.13370531557381626</v>
      </c>
      <c r="W45" s="2"/>
      <c r="X45" s="6">
        <f t="shared" si="27"/>
        <v>-8769.7139999999999</v>
      </c>
      <c r="Y45" s="2"/>
      <c r="Z45" s="7">
        <f t="shared" si="28"/>
        <v>-0.7322994853528646</v>
      </c>
    </row>
    <row r="46" spans="1:26" s="24" customFormat="1" hidden="1" outlineLevel="2" x14ac:dyDescent="0.25">
      <c r="A46" s="29"/>
      <c r="B46" s="11" t="str">
        <f>CONCATENATE("          ", "6006", " - ", "TEMPORARY PART TIME")</f>
        <v xml:space="preserve">          6006 - TEMPORARY PART TIME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9"/>
      <c r="B47" s="11" t="str">
        <f>CONCATENATE("          ", "6007", " - ", "STUDENT HOURLY")</f>
        <v xml:space="preserve">          6007 - STUDENT HOURLY</v>
      </c>
      <c r="C47" s="11"/>
      <c r="D47" s="6">
        <v>-888</v>
      </c>
      <c r="E47" s="2"/>
      <c r="F47" s="7">
        <f t="shared" si="21"/>
        <v>-8.5056493603521813E-2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-888</v>
      </c>
      <c r="M47" s="2"/>
      <c r="N47" s="7">
        <f t="shared" si="24"/>
        <v>0</v>
      </c>
      <c r="O47" s="11"/>
      <c r="P47" s="6">
        <v>1172</v>
      </c>
      <c r="Q47" s="2"/>
      <c r="R47" s="7">
        <f t="shared" si="25"/>
        <v>6.9112045840392447E-2</v>
      </c>
      <c r="S47" s="2"/>
      <c r="T47" s="6">
        <v>3202.94</v>
      </c>
      <c r="U47" s="2"/>
      <c r="V47" s="7">
        <f t="shared" si="26"/>
        <v>3.5760268849018055E-2</v>
      </c>
      <c r="W47" s="2"/>
      <c r="X47" s="6">
        <f t="shared" si="27"/>
        <v>-2030.94</v>
      </c>
      <c r="Y47" s="2"/>
      <c r="Z47" s="7">
        <f t="shared" si="28"/>
        <v>-0.63408618331907562</v>
      </c>
    </row>
    <row r="48" spans="1:26" s="24" customFormat="1" hidden="1" outlineLevel="2" x14ac:dyDescent="0.25">
      <c r="A48" s="29"/>
      <c r="B48" s="11" t="str">
        <f>CONCATENATE("          ", "6008", " - ", "STUDENT HOURLY-FICA EXEMPT")</f>
        <v xml:space="preserve">          6008 - STUDENT HOURLY-FICA EXEMPT</v>
      </c>
      <c r="C48" s="11"/>
      <c r="D48" s="6"/>
      <c r="E48" s="2"/>
      <c r="F48" s="7">
        <f t="shared" si="21"/>
        <v>0</v>
      </c>
      <c r="G48" s="2"/>
      <c r="H48" s="6">
        <v>7093.18</v>
      </c>
      <c r="I48" s="2"/>
      <c r="J48" s="7">
        <f t="shared" si="22"/>
        <v>9.8605407659692779E-2</v>
      </c>
      <c r="K48" s="2"/>
      <c r="L48" s="6">
        <f t="shared" si="23"/>
        <v>-7093.18</v>
      </c>
      <c r="M48" s="2"/>
      <c r="N48" s="7">
        <f t="shared" si="24"/>
        <v>-1</v>
      </c>
      <c r="O48" s="11"/>
      <c r="P48" s="6"/>
      <c r="Q48" s="2"/>
      <c r="R48" s="7">
        <f t="shared" si="25"/>
        <v>0</v>
      </c>
      <c r="S48" s="2"/>
      <c r="T48" s="6">
        <v>10120.9</v>
      </c>
      <c r="U48" s="2"/>
      <c r="V48" s="7">
        <f t="shared" si="26"/>
        <v>0.11299809081469737</v>
      </c>
      <c r="W48" s="2"/>
      <c r="X48" s="6">
        <f t="shared" si="27"/>
        <v>-10120.9</v>
      </c>
      <c r="Y48" s="2"/>
      <c r="Z48" s="7">
        <f t="shared" si="28"/>
        <v>-1</v>
      </c>
    </row>
    <row r="49" spans="1:26" s="24" customFormat="1" hidden="1" outlineLevel="2" x14ac:dyDescent="0.25">
      <c r="A49" s="29"/>
      <c r="B49" s="11" t="str">
        <f>CONCATENATE("          ", "6009", " - ", "TEMPORARY-SEASONAL")</f>
        <v xml:space="preserve">          6009 - TEMPORARY-SEASONAL</v>
      </c>
      <c r="C49" s="11"/>
      <c r="D49" s="6"/>
      <c r="E49" s="2"/>
      <c r="F49" s="7">
        <f t="shared" si="21"/>
        <v>0</v>
      </c>
      <c r="G49" s="2"/>
      <c r="H49" s="6">
        <v>0</v>
      </c>
      <c r="I49" s="2"/>
      <c r="J49" s="7">
        <f t="shared" si="22"/>
        <v>0</v>
      </c>
      <c r="K49" s="2"/>
      <c r="L49" s="6">
        <f t="shared" si="23"/>
        <v>0</v>
      </c>
      <c r="M49" s="2"/>
      <c r="N49" s="7">
        <f t="shared" si="24"/>
        <v>0</v>
      </c>
      <c r="O49" s="11"/>
      <c r="P49" s="6"/>
      <c r="Q49" s="2"/>
      <c r="R49" s="7">
        <f t="shared" si="25"/>
        <v>0</v>
      </c>
      <c r="S49" s="2"/>
      <c r="T49" s="6">
        <v>0</v>
      </c>
      <c r="U49" s="2"/>
      <c r="V49" s="7">
        <f t="shared" si="26"/>
        <v>0</v>
      </c>
      <c r="W49" s="2"/>
      <c r="X49" s="6">
        <f t="shared" si="27"/>
        <v>0</v>
      </c>
      <c r="Y49" s="2"/>
      <c r="Z49" s="7">
        <f t="shared" si="28"/>
        <v>0</v>
      </c>
    </row>
    <row r="50" spans="1:26" s="24" customFormat="1" hidden="1" outlineLevel="2" x14ac:dyDescent="0.25">
      <c r="A50" s="29"/>
      <c r="B50" s="11" t="str">
        <f>CONCATENATE("          ", "6010", " - ", "GRATUITY")</f>
        <v xml:space="preserve">          6010 - GRATUITY</v>
      </c>
      <c r="C50" s="11"/>
      <c r="D50" s="6"/>
      <c r="E50" s="2"/>
      <c r="F50" s="7">
        <f t="shared" si="21"/>
        <v>0</v>
      </c>
      <c r="G50" s="2"/>
      <c r="H50" s="6">
        <v>0</v>
      </c>
      <c r="I50" s="2"/>
      <c r="J50" s="7">
        <f t="shared" si="22"/>
        <v>0</v>
      </c>
      <c r="K50" s="2"/>
      <c r="L50" s="6">
        <f t="shared" si="23"/>
        <v>0</v>
      </c>
      <c r="M50" s="2"/>
      <c r="N50" s="7">
        <f t="shared" si="24"/>
        <v>0</v>
      </c>
      <c r="O50" s="11"/>
      <c r="P50" s="6"/>
      <c r="Q50" s="2"/>
      <c r="R50" s="7">
        <f t="shared" si="25"/>
        <v>0</v>
      </c>
      <c r="S50" s="2"/>
      <c r="T50" s="6">
        <v>0</v>
      </c>
      <c r="U50" s="2"/>
      <c r="V50" s="7">
        <f t="shared" si="26"/>
        <v>0</v>
      </c>
      <c r="W50" s="2"/>
      <c r="X50" s="6">
        <f t="shared" si="27"/>
        <v>0</v>
      </c>
      <c r="Y50" s="2"/>
      <c r="Z50" s="7">
        <f t="shared" si="28"/>
        <v>0</v>
      </c>
    </row>
    <row r="51" spans="1:26" s="28" customFormat="1" outlineLevel="1" collapsed="1" x14ac:dyDescent="0.25">
      <c r="A51" s="27"/>
      <c r="B51" s="14" t="str">
        <f>CONCATENATE("     ","Advertising/Promo                                 ")</f>
        <v xml:space="preserve">     Advertising/Promo                                 </v>
      </c>
      <c r="C51" s="14"/>
      <c r="D51" s="1">
        <f>SUM(OSRRefD22_2x_0)</f>
        <v>49.61</v>
      </c>
      <c r="E51" s="1"/>
      <c r="F51" s="5">
        <f t="shared" ref="F51:F60" si="29">IF(D$12=0,0,D51/D$12)</f>
        <v>4.7518610897192759E-3</v>
      </c>
      <c r="G51" s="1"/>
      <c r="H51" s="1">
        <f>SUM(OSRRefH22_2x_0)</f>
        <v>213</v>
      </c>
      <c r="I51" s="1"/>
      <c r="J51" s="5">
        <f t="shared" ref="J51:J60" si="30">IF(H$12=0,0,H51/H$12)</f>
        <v>2.9610064641690417E-3</v>
      </c>
      <c r="K51" s="1"/>
      <c r="L51" s="1">
        <f t="shared" ref="L51:L60" si="31">+D51-H51</f>
        <v>-163.38999999999999</v>
      </c>
      <c r="M51" s="1"/>
      <c r="N51" s="5">
        <f t="shared" ref="N51:N60" si="32">IF(H51=0,0,L51/H51)</f>
        <v>-0.76708920187793417</v>
      </c>
      <c r="O51" s="14"/>
      <c r="P51" s="1">
        <f>SUM(OSRRefP22_2x_0)</f>
        <v>95.58</v>
      </c>
      <c r="Q51" s="1"/>
      <c r="R51" s="5">
        <f t="shared" ref="R51:R60" si="33">IF(P$12=0,0,P51/P$12)</f>
        <v>5.6362878339801283E-3</v>
      </c>
      <c r="S51" s="1"/>
      <c r="T51" s="1">
        <f>SUM(OSRRefT22_2x_0)</f>
        <v>2493</v>
      </c>
      <c r="U51" s="1"/>
      <c r="V51" s="5">
        <f t="shared" ref="V51:V60" si="34">IF(T$12=0,0,T51/T$12)</f>
        <v>2.7833912043498162E-2</v>
      </c>
      <c r="W51" s="1"/>
      <c r="X51" s="1">
        <f t="shared" ref="X51:X60" si="35">+P51-T51</f>
        <v>-2397.42</v>
      </c>
      <c r="Y51" s="1"/>
      <c r="Z51" s="5">
        <f t="shared" ref="Z51:Z60" si="36">IF(T51=0,0,X51/T51)</f>
        <v>-0.96166064981949462</v>
      </c>
    </row>
    <row r="52" spans="1:26" s="24" customFormat="1" hidden="1" outlineLevel="2" x14ac:dyDescent="0.25">
      <c r="A52" s="29"/>
      <c r="B52" s="11" t="str">
        <f>CONCATENATE("          ", "6362", " - ", "ADVERTISING EXPENSE")</f>
        <v xml:space="preserve">          6362 - ADVERTISING EXPENSE</v>
      </c>
      <c r="C52" s="11"/>
      <c r="D52" s="6">
        <v>49.61</v>
      </c>
      <c r="E52" s="2"/>
      <c r="F52" s="7">
        <f t="shared" si="29"/>
        <v>4.7518610897192759E-3</v>
      </c>
      <c r="G52" s="2"/>
      <c r="H52" s="6">
        <v>213</v>
      </c>
      <c r="I52" s="2"/>
      <c r="J52" s="7">
        <f t="shared" si="30"/>
        <v>2.9610064641690417E-3</v>
      </c>
      <c r="K52" s="2"/>
      <c r="L52" s="6">
        <f t="shared" si="31"/>
        <v>-163.38999999999999</v>
      </c>
      <c r="M52" s="2"/>
      <c r="N52" s="7">
        <f t="shared" si="32"/>
        <v>-0.76708920187793417</v>
      </c>
      <c r="O52" s="11"/>
      <c r="P52" s="6">
        <v>95.58</v>
      </c>
      <c r="Q52" s="2"/>
      <c r="R52" s="7">
        <f t="shared" si="33"/>
        <v>5.6362878339801283E-3</v>
      </c>
      <c r="S52" s="2"/>
      <c r="T52" s="6">
        <v>2493</v>
      </c>
      <c r="U52" s="2"/>
      <c r="V52" s="7">
        <f t="shared" si="34"/>
        <v>2.7833912043498162E-2</v>
      </c>
      <c r="W52" s="2"/>
      <c r="X52" s="6">
        <f t="shared" si="35"/>
        <v>-2397.42</v>
      </c>
      <c r="Y52" s="2"/>
      <c r="Z52" s="7">
        <f t="shared" si="36"/>
        <v>-0.96166064981949462</v>
      </c>
    </row>
    <row r="53" spans="1:26" s="28" customFormat="1" outlineLevel="1" collapsed="1" x14ac:dyDescent="0.25">
      <c r="A53" s="27"/>
      <c r="B53" s="14" t="str">
        <f>CONCATENATE("     ","Bad Debts/Over/Short                              ")</f>
        <v xml:space="preserve">     Bad Debts/Over/Short                              </v>
      </c>
      <c r="C53" s="14"/>
      <c r="D53" s="1">
        <f>SUM(OSRRefD22_3x_0)</f>
        <v>-193.82</v>
      </c>
      <c r="E53" s="1"/>
      <c r="F53" s="5">
        <f t="shared" si="29"/>
        <v>-1.8564920709723643E-2</v>
      </c>
      <c r="G53" s="1"/>
      <c r="H53" s="1">
        <f>SUM(OSRRefH22_3x_0)</f>
        <v>13</v>
      </c>
      <c r="I53" s="1"/>
      <c r="J53" s="5">
        <f t="shared" si="30"/>
        <v>1.8071870438590395E-4</v>
      </c>
      <c r="K53" s="1"/>
      <c r="L53" s="1">
        <f t="shared" si="31"/>
        <v>-206.82</v>
      </c>
      <c r="M53" s="1"/>
      <c r="N53" s="5">
        <f t="shared" si="32"/>
        <v>-15.909230769230769</v>
      </c>
      <c r="O53" s="14"/>
      <c r="P53" s="1">
        <f>SUM(OSRRefP22_3x_0)</f>
        <v>-190.21</v>
      </c>
      <c r="Q53" s="1"/>
      <c r="R53" s="5">
        <f t="shared" si="33"/>
        <v>-1.1216554811690314E-2</v>
      </c>
      <c r="S53" s="1"/>
      <c r="T53" s="1">
        <f>SUM(OSRRefT22_3x_0)</f>
        <v>48</v>
      </c>
      <c r="U53" s="1"/>
      <c r="V53" s="5">
        <f t="shared" si="34"/>
        <v>5.3591166389406811E-4</v>
      </c>
      <c r="W53" s="1"/>
      <c r="X53" s="1">
        <f t="shared" si="35"/>
        <v>-238.21</v>
      </c>
      <c r="Y53" s="1"/>
      <c r="Z53" s="5">
        <f t="shared" si="36"/>
        <v>-4.9627083333333335</v>
      </c>
    </row>
    <row r="54" spans="1:26" s="24" customFormat="1" hidden="1" outlineLevel="2" x14ac:dyDescent="0.25">
      <c r="A54" s="29"/>
      <c r="B54" s="11" t="str">
        <f>CONCATENATE("          ", "6272", " - ", "CASH (OVER/SHORT)")</f>
        <v xml:space="preserve">          6272 - CASH (OVER/SHORT)</v>
      </c>
      <c r="C54" s="11"/>
      <c r="D54" s="6">
        <v>-193.82</v>
      </c>
      <c r="E54" s="2"/>
      <c r="F54" s="7">
        <f t="shared" si="29"/>
        <v>-1.8564920709723643E-2</v>
      </c>
      <c r="G54" s="2"/>
      <c r="H54" s="6">
        <v>13</v>
      </c>
      <c r="I54" s="2"/>
      <c r="J54" s="7">
        <f t="shared" si="30"/>
        <v>1.8071870438590395E-4</v>
      </c>
      <c r="K54" s="2"/>
      <c r="L54" s="6">
        <f t="shared" si="31"/>
        <v>-206.82</v>
      </c>
      <c r="M54" s="2"/>
      <c r="N54" s="7">
        <f t="shared" si="32"/>
        <v>-15.909230769230769</v>
      </c>
      <c r="O54" s="11"/>
      <c r="P54" s="6">
        <v>-190.21</v>
      </c>
      <c r="Q54" s="2"/>
      <c r="R54" s="7">
        <f t="shared" si="33"/>
        <v>-1.1216554811690314E-2</v>
      </c>
      <c r="S54" s="2"/>
      <c r="T54" s="6">
        <v>48</v>
      </c>
      <c r="U54" s="2"/>
      <c r="V54" s="7">
        <f t="shared" si="34"/>
        <v>5.3591166389406811E-4</v>
      </c>
      <c r="W54" s="2"/>
      <c r="X54" s="6">
        <f t="shared" si="35"/>
        <v>-238.21</v>
      </c>
      <c r="Y54" s="2"/>
      <c r="Z54" s="7">
        <f t="shared" si="36"/>
        <v>-4.9627083333333335</v>
      </c>
    </row>
    <row r="55" spans="1:26" s="28" customFormat="1" outlineLevel="1" collapsed="1" x14ac:dyDescent="0.25">
      <c r="A55" s="27"/>
      <c r="B55" s="14" t="str">
        <f>CONCATENATE("     ","Bank/card Fees                                    ")</f>
        <v xml:space="preserve">     Bank/card Fees                                    </v>
      </c>
      <c r="C55" s="14"/>
      <c r="D55" s="1">
        <f>SUM(OSRRefD22_4x_0)</f>
        <v>603.61</v>
      </c>
      <c r="E55" s="1"/>
      <c r="F55" s="5">
        <f t="shared" si="29"/>
        <v>5.7816385252276802E-2</v>
      </c>
      <c r="G55" s="1"/>
      <c r="H55" s="1">
        <f>SUM(OSRRefH22_4x_0)</f>
        <v>9142</v>
      </c>
      <c r="I55" s="1"/>
      <c r="J55" s="5">
        <f t="shared" si="30"/>
        <v>0.12708695349968721</v>
      </c>
      <c r="K55" s="1"/>
      <c r="L55" s="1">
        <f t="shared" si="31"/>
        <v>-8538.39</v>
      </c>
      <c r="M55" s="1"/>
      <c r="N55" s="5">
        <f t="shared" si="32"/>
        <v>-0.93397396630934149</v>
      </c>
      <c r="O55" s="14"/>
      <c r="P55" s="1">
        <f>SUM(OSRRefP22_4x_0)</f>
        <v>1339.5</v>
      </c>
      <c r="Q55" s="1"/>
      <c r="R55" s="5">
        <f t="shared" si="33"/>
        <v>7.8989407340619183E-2</v>
      </c>
      <c r="S55" s="1"/>
      <c r="T55" s="1">
        <f>SUM(OSRRefT22_4x_0)</f>
        <v>13256</v>
      </c>
      <c r="U55" s="1"/>
      <c r="V55" s="5">
        <f t="shared" si="34"/>
        <v>0.14800093784541182</v>
      </c>
      <c r="W55" s="1"/>
      <c r="X55" s="1">
        <f t="shared" si="35"/>
        <v>-11916.5</v>
      </c>
      <c r="Y55" s="1"/>
      <c r="Z55" s="5">
        <f t="shared" si="36"/>
        <v>-0.89895141822570912</v>
      </c>
    </row>
    <row r="56" spans="1:26" s="24" customFormat="1" hidden="1" outlineLevel="2" x14ac:dyDescent="0.25">
      <c r="A56" s="29"/>
      <c r="B56" s="11" t="str">
        <f>CONCATENATE("          ", "6381", " - ", "BANK/CREDIT CARD FEES")</f>
        <v xml:space="preserve">          6381 - BANK/CREDIT CARD FEES</v>
      </c>
      <c r="C56" s="11"/>
      <c r="D56" s="6">
        <v>603.61</v>
      </c>
      <c r="E56" s="2"/>
      <c r="F56" s="7">
        <f t="shared" si="29"/>
        <v>5.7816385252276802E-2</v>
      </c>
      <c r="G56" s="2"/>
      <c r="H56" s="6">
        <v>9142</v>
      </c>
      <c r="I56" s="2"/>
      <c r="J56" s="7">
        <f t="shared" si="30"/>
        <v>0.12708695349968721</v>
      </c>
      <c r="K56" s="2"/>
      <c r="L56" s="6">
        <f t="shared" si="31"/>
        <v>-8538.39</v>
      </c>
      <c r="M56" s="2"/>
      <c r="N56" s="7">
        <f t="shared" si="32"/>
        <v>-0.93397396630934149</v>
      </c>
      <c r="O56" s="11"/>
      <c r="P56" s="6">
        <v>1339.5</v>
      </c>
      <c r="Q56" s="2"/>
      <c r="R56" s="7">
        <f t="shared" si="33"/>
        <v>7.8989407340619183E-2</v>
      </c>
      <c r="S56" s="2"/>
      <c r="T56" s="6">
        <v>13256</v>
      </c>
      <c r="U56" s="2"/>
      <c r="V56" s="7">
        <f t="shared" si="34"/>
        <v>0.14800093784541182</v>
      </c>
      <c r="W56" s="2"/>
      <c r="X56" s="6">
        <f t="shared" si="35"/>
        <v>-11916.5</v>
      </c>
      <c r="Y56" s="2"/>
      <c r="Z56" s="7">
        <f t="shared" si="36"/>
        <v>-0.89895141822570912</v>
      </c>
    </row>
    <row r="57" spans="1:26" s="28" customFormat="1" outlineLevel="1" collapsed="1" x14ac:dyDescent="0.25">
      <c r="A57" s="27"/>
      <c r="B57" s="14" t="str">
        <f>CONCATENATE("     ","Depreciation                                      ")</f>
        <v xml:space="preserve">     Depreciation                                      </v>
      </c>
      <c r="C57" s="14"/>
      <c r="D57" s="1">
        <f>SUM(OSRRefD22_5x_0)</f>
        <v>46945.41</v>
      </c>
      <c r="E57" s="1"/>
      <c r="F57" s="5">
        <f t="shared" si="29"/>
        <v>4.4966350961483208</v>
      </c>
      <c r="G57" s="1"/>
      <c r="H57" s="1">
        <f>SUM(OSRRefH22_5x_0)</f>
        <v>47241</v>
      </c>
      <c r="I57" s="1"/>
      <c r="J57" s="5">
        <f t="shared" si="30"/>
        <v>0.65671787029957596</v>
      </c>
      <c r="K57" s="1"/>
      <c r="L57" s="1">
        <f t="shared" si="31"/>
        <v>-295.58999999999651</v>
      </c>
      <c r="M57" s="1"/>
      <c r="N57" s="5">
        <f t="shared" si="32"/>
        <v>-6.2570648377467987E-3</v>
      </c>
      <c r="O57" s="14"/>
      <c r="P57" s="1">
        <f>SUM(OSRRefP22_5x_0)</f>
        <v>140454.62</v>
      </c>
      <c r="Q57" s="1"/>
      <c r="R57" s="5">
        <f t="shared" si="33"/>
        <v>8.2825137678625449</v>
      </c>
      <c r="S57" s="1"/>
      <c r="T57" s="1">
        <f>SUM(OSRRefT22_5x_0)</f>
        <v>141723</v>
      </c>
      <c r="U57" s="1"/>
      <c r="V57" s="5">
        <f t="shared" si="34"/>
        <v>1.5823126821262294</v>
      </c>
      <c r="W57" s="1"/>
      <c r="X57" s="1">
        <f t="shared" si="35"/>
        <v>-1268.3800000000047</v>
      </c>
      <c r="Y57" s="1"/>
      <c r="Z57" s="5">
        <f t="shared" si="36"/>
        <v>-8.9497117616759783E-3</v>
      </c>
    </row>
    <row r="58" spans="1:26" s="24" customFormat="1" hidden="1" outlineLevel="2" x14ac:dyDescent="0.25">
      <c r="A58" s="29"/>
      <c r="B58" s="11" t="str">
        <f>CONCATENATE("          ", "6321", " - ", "BUILDING DEPRECIATION")</f>
        <v xml:space="preserve">          6321 - BUILDING DEPRECIATION</v>
      </c>
      <c r="C58" s="11"/>
      <c r="D58" s="6">
        <v>28925.390000000003</v>
      </c>
      <c r="E58" s="2"/>
      <c r="F58" s="7">
        <f t="shared" si="29"/>
        <v>2.7705993800837545</v>
      </c>
      <c r="G58" s="2"/>
      <c r="H58" s="6"/>
      <c r="I58" s="2"/>
      <c r="J58" s="7">
        <f t="shared" si="30"/>
        <v>0</v>
      </c>
      <c r="K58" s="2"/>
      <c r="L58" s="6">
        <f t="shared" si="31"/>
        <v>28925.390000000003</v>
      </c>
      <c r="M58" s="2"/>
      <c r="N58" s="7">
        <f t="shared" si="32"/>
        <v>0</v>
      </c>
      <c r="O58" s="11"/>
      <c r="P58" s="6">
        <v>86776.19</v>
      </c>
      <c r="Q58" s="2"/>
      <c r="R58" s="7">
        <f t="shared" si="33"/>
        <v>5.1171331238349875</v>
      </c>
      <c r="S58" s="2"/>
      <c r="T58" s="6"/>
      <c r="U58" s="2"/>
      <c r="V58" s="7">
        <f t="shared" si="34"/>
        <v>0</v>
      </c>
      <c r="W58" s="2"/>
      <c r="X58" s="6">
        <f t="shared" si="35"/>
        <v>86776.19</v>
      </c>
      <c r="Y58" s="2"/>
      <c r="Z58" s="7">
        <f t="shared" si="36"/>
        <v>0</v>
      </c>
    </row>
    <row r="59" spans="1:26" s="24" customFormat="1" hidden="1" outlineLevel="2" x14ac:dyDescent="0.25">
      <c r="A59" s="29"/>
      <c r="B59" s="11" t="str">
        <f>CONCATENATE("          ", "6322", " - ", "EQUIPMENT DEPRECIATION EXPENSE")</f>
        <v xml:space="preserve">          6322 - EQUIPMENT DEPRECIATION EXPENSE</v>
      </c>
      <c r="C59" s="11"/>
      <c r="D59" s="6">
        <v>18020.02</v>
      </c>
      <c r="E59" s="2"/>
      <c r="F59" s="7">
        <f t="shared" si="29"/>
        <v>1.7260357160645665</v>
      </c>
      <c r="G59" s="2"/>
      <c r="H59" s="6">
        <v>46691</v>
      </c>
      <c r="I59" s="2"/>
      <c r="J59" s="7">
        <f t="shared" si="30"/>
        <v>0.64907207896017238</v>
      </c>
      <c r="K59" s="2"/>
      <c r="L59" s="6">
        <f t="shared" si="31"/>
        <v>-28670.98</v>
      </c>
      <c r="M59" s="2"/>
      <c r="N59" s="7">
        <f t="shared" si="32"/>
        <v>-0.61405795549463493</v>
      </c>
      <c r="O59" s="11"/>
      <c r="P59" s="6">
        <v>53678.43</v>
      </c>
      <c r="Q59" s="2"/>
      <c r="R59" s="7">
        <f t="shared" si="33"/>
        <v>3.1653806440275574</v>
      </c>
      <c r="S59" s="2"/>
      <c r="T59" s="6">
        <v>140073</v>
      </c>
      <c r="U59" s="2"/>
      <c r="V59" s="7">
        <f t="shared" si="34"/>
        <v>1.563890718679871</v>
      </c>
      <c r="W59" s="2"/>
      <c r="X59" s="6">
        <f t="shared" si="35"/>
        <v>-86394.57</v>
      </c>
      <c r="Y59" s="2"/>
      <c r="Z59" s="7">
        <f t="shared" si="36"/>
        <v>-0.61678246342978305</v>
      </c>
    </row>
    <row r="60" spans="1:26" s="24" customFormat="1" hidden="1" outlineLevel="2" x14ac:dyDescent="0.25">
      <c r="A60" s="29"/>
      <c r="B60" s="11" t="str">
        <f>CONCATENATE("          ", "6326", " - ", "VEHICLES DEPRECIATION EXPENSE")</f>
        <v xml:space="preserve">          6326 - VEHICLES DEPRECIATION EXPENSE</v>
      </c>
      <c r="C60" s="11"/>
      <c r="D60" s="6"/>
      <c r="E60" s="2"/>
      <c r="F60" s="7">
        <f t="shared" si="29"/>
        <v>0</v>
      </c>
      <c r="G60" s="2"/>
      <c r="H60" s="6">
        <v>550</v>
      </c>
      <c r="I60" s="2"/>
      <c r="J60" s="7">
        <f t="shared" si="30"/>
        <v>7.6457913394036283E-3</v>
      </c>
      <c r="K60" s="2"/>
      <c r="L60" s="6">
        <f t="shared" si="31"/>
        <v>-550</v>
      </c>
      <c r="M60" s="2"/>
      <c r="N60" s="7">
        <f t="shared" si="32"/>
        <v>-1</v>
      </c>
      <c r="O60" s="11"/>
      <c r="P60" s="6"/>
      <c r="Q60" s="2"/>
      <c r="R60" s="7">
        <f t="shared" si="33"/>
        <v>0</v>
      </c>
      <c r="S60" s="2"/>
      <c r="T60" s="6">
        <v>1650</v>
      </c>
      <c r="U60" s="2"/>
      <c r="V60" s="7">
        <f t="shared" si="34"/>
        <v>1.8421963446358592E-2</v>
      </c>
      <c r="W60" s="2"/>
      <c r="X60" s="6">
        <f t="shared" si="35"/>
        <v>-1650</v>
      </c>
      <c r="Y60" s="2"/>
      <c r="Z60" s="7">
        <f t="shared" si="36"/>
        <v>-1</v>
      </c>
    </row>
    <row r="61" spans="1:26" s="28" customFormat="1" outlineLevel="1" collapsed="1" x14ac:dyDescent="0.25">
      <c r="A61" s="27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SUM(OSRRefD22_6x_0)</f>
        <v>0</v>
      </c>
      <c r="E61" s="1"/>
      <c r="F61" s="5">
        <f t="shared" ref="F61:F67" si="37">IF(D$12=0,0,D61/D$12)</f>
        <v>0</v>
      </c>
      <c r="G61" s="1"/>
      <c r="H61" s="1">
        <f>SUM(OSRRefH22_6x_0)</f>
        <v>0</v>
      </c>
      <c r="I61" s="1"/>
      <c r="J61" s="5">
        <f t="shared" ref="J61:J67" si="38">IF(H$12=0,0,H61/H$12)</f>
        <v>0</v>
      </c>
      <c r="K61" s="1"/>
      <c r="L61" s="1">
        <f t="shared" ref="L61:L67" si="39">+D61-H61</f>
        <v>0</v>
      </c>
      <c r="M61" s="1"/>
      <c r="N61" s="5">
        <f t="shared" ref="N61:N67" si="40">IF(H61=0,0,L61/H61)</f>
        <v>0</v>
      </c>
      <c r="O61" s="14"/>
      <c r="P61" s="1">
        <f>SUM(OSRRefP22_6x_0)</f>
        <v>0</v>
      </c>
      <c r="Q61" s="1"/>
      <c r="R61" s="5">
        <f t="shared" ref="R61:R67" si="41">IF(P$12=0,0,P61/P$12)</f>
        <v>0</v>
      </c>
      <c r="S61" s="1"/>
      <c r="T61" s="1">
        <f>SUM(OSRRefT22_6x_0)</f>
        <v>0</v>
      </c>
      <c r="U61" s="1"/>
      <c r="V61" s="5">
        <f t="shared" ref="V61:V67" si="42">IF(T$12=0,0,T61/T$12)</f>
        <v>0</v>
      </c>
      <c r="W61" s="1"/>
      <c r="X61" s="1">
        <f t="shared" ref="X61:X67" si="43">+P61-T61</f>
        <v>0</v>
      </c>
      <c r="Y61" s="1"/>
      <c r="Z61" s="5">
        <f t="shared" ref="Z61:Z67" si="44">IF(T61=0,0,X61/T61)</f>
        <v>0</v>
      </c>
    </row>
    <row r="62" spans="1:26" s="24" customFormat="1" hidden="1" outlineLevel="2" x14ac:dyDescent="0.25">
      <c r="A62" s="29"/>
      <c r="B62" s="11" t="str">
        <f>CONCATENATE("          ", "6277", " - ", "EMPLOYEE APPRECIATION")</f>
        <v xml:space="preserve">          6277 - EMPLOYEE APPRECIATION</v>
      </c>
      <c r="C62" s="11"/>
      <c r="D62" s="6"/>
      <c r="E62" s="2"/>
      <c r="F62" s="7">
        <f t="shared" si="37"/>
        <v>0</v>
      </c>
      <c r="G62" s="2"/>
      <c r="H62" s="6">
        <v>0</v>
      </c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/>
      <c r="Q62" s="2"/>
      <c r="R62" s="7">
        <f t="shared" si="41"/>
        <v>0</v>
      </c>
      <c r="S62" s="2"/>
      <c r="T62" s="6">
        <v>0</v>
      </c>
      <c r="U62" s="2"/>
      <c r="V62" s="7">
        <f t="shared" si="42"/>
        <v>0</v>
      </c>
      <c r="W62" s="2"/>
      <c r="X62" s="6">
        <f t="shared" si="43"/>
        <v>0</v>
      </c>
      <c r="Y62" s="2"/>
      <c r="Z62" s="7">
        <f t="shared" si="44"/>
        <v>0</v>
      </c>
    </row>
    <row r="63" spans="1:26" s="28" customFormat="1" outlineLevel="1" collapsed="1" x14ac:dyDescent="0.25">
      <c r="A63" s="27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SUM(OSRRefD22_7x_0)</f>
        <v>283.86</v>
      </c>
      <c r="E63" s="1"/>
      <c r="F63" s="5">
        <f t="shared" si="37"/>
        <v>2.7189342651233898E-2</v>
      </c>
      <c r="G63" s="1"/>
      <c r="H63" s="1">
        <f>SUM(OSRRefH22_7x_0)</f>
        <v>265.33333333333297</v>
      </c>
      <c r="I63" s="1"/>
      <c r="J63" s="5">
        <f t="shared" si="38"/>
        <v>3.6885150946456241E-3</v>
      </c>
      <c r="K63" s="1"/>
      <c r="L63" s="1">
        <f t="shared" si="39"/>
        <v>18.52666666666704</v>
      </c>
      <c r="M63" s="1"/>
      <c r="N63" s="5">
        <f t="shared" si="40"/>
        <v>6.9824120603016585E-2</v>
      </c>
      <c r="O63" s="14"/>
      <c r="P63" s="1">
        <f>SUM(OSRRefP22_7x_0)</f>
        <v>1316.61</v>
      </c>
      <c r="Q63" s="1"/>
      <c r="R63" s="5">
        <f t="shared" si="41"/>
        <v>7.763959955112551E-2</v>
      </c>
      <c r="S63" s="1"/>
      <c r="T63" s="1">
        <f>SUM(OSRRefT22_7x_0)</f>
        <v>973.99999999999898</v>
      </c>
      <c r="U63" s="1"/>
      <c r="V63" s="5">
        <f t="shared" si="42"/>
        <v>1.0874540846517121E-2</v>
      </c>
      <c r="W63" s="1"/>
      <c r="X63" s="1">
        <f t="shared" si="43"/>
        <v>342.61000000000092</v>
      </c>
      <c r="Y63" s="1"/>
      <c r="Z63" s="5">
        <f t="shared" si="44"/>
        <v>0.3517556468172498</v>
      </c>
    </row>
    <row r="64" spans="1:26" s="24" customFormat="1" hidden="1" outlineLevel="2" x14ac:dyDescent="0.25">
      <c r="A64" s="29"/>
      <c r="B64" s="11" t="str">
        <f>CONCATENATE("          ", "6351", " - ", "EQUIPMENT RENTAL")</f>
        <v xml:space="preserve">          6351 - EQUIPMENT RENTAL</v>
      </c>
      <c r="C64" s="11"/>
      <c r="D64" s="6">
        <v>283.86</v>
      </c>
      <c r="E64" s="2"/>
      <c r="F64" s="7">
        <f t="shared" si="37"/>
        <v>2.7189342651233898E-2</v>
      </c>
      <c r="G64" s="2"/>
      <c r="H64" s="6">
        <v>265.33333333333297</v>
      </c>
      <c r="I64" s="2"/>
      <c r="J64" s="7">
        <f t="shared" si="38"/>
        <v>3.6885150946456241E-3</v>
      </c>
      <c r="K64" s="2"/>
      <c r="L64" s="6">
        <f t="shared" si="39"/>
        <v>18.52666666666704</v>
      </c>
      <c r="M64" s="2"/>
      <c r="N64" s="7">
        <f t="shared" si="40"/>
        <v>6.9824120603016585E-2</v>
      </c>
      <c r="O64" s="11"/>
      <c r="P64" s="6">
        <v>1316.61</v>
      </c>
      <c r="Q64" s="2"/>
      <c r="R64" s="7">
        <f t="shared" si="41"/>
        <v>7.763959955112551E-2</v>
      </c>
      <c r="S64" s="2"/>
      <c r="T64" s="6">
        <v>973.99999999999898</v>
      </c>
      <c r="U64" s="2"/>
      <c r="V64" s="7">
        <f t="shared" si="42"/>
        <v>1.0874540846517121E-2</v>
      </c>
      <c r="W64" s="2"/>
      <c r="X64" s="6">
        <f t="shared" si="43"/>
        <v>342.61000000000092</v>
      </c>
      <c r="Y64" s="2"/>
      <c r="Z64" s="7">
        <f t="shared" si="44"/>
        <v>0.3517556468172498</v>
      </c>
    </row>
    <row r="65" spans="1:26" s="28" customFormat="1" outlineLevel="1" collapsed="1" x14ac:dyDescent="0.25">
      <c r="A65" s="27"/>
      <c r="B65" s="14" t="str">
        <f>CONCATENATE("     ","Freight out/Postage                               ")</f>
        <v xml:space="preserve">     Freight out/Postage                               </v>
      </c>
      <c r="C65" s="14"/>
      <c r="D65" s="1">
        <f>SUM(OSRRefD22_8x_0)</f>
        <v>0.64999999999999947</v>
      </c>
      <c r="E65" s="1"/>
      <c r="F65" s="5">
        <f t="shared" si="37"/>
        <v>6.2259820768343618E-5</v>
      </c>
      <c r="G65" s="1"/>
      <c r="H65" s="1">
        <f>SUM(OSRRefH22_8x_0)</f>
        <v>0</v>
      </c>
      <c r="I65" s="1"/>
      <c r="J65" s="5">
        <f t="shared" si="38"/>
        <v>0</v>
      </c>
      <c r="K65" s="1"/>
      <c r="L65" s="1">
        <f t="shared" si="39"/>
        <v>0.64999999999999947</v>
      </c>
      <c r="M65" s="1"/>
      <c r="N65" s="5">
        <f t="shared" si="40"/>
        <v>0</v>
      </c>
      <c r="O65" s="14"/>
      <c r="P65" s="1">
        <f>SUM(OSRRefP22_8x_0)</f>
        <v>4.59</v>
      </c>
      <c r="Q65" s="1"/>
      <c r="R65" s="5">
        <f t="shared" si="41"/>
        <v>2.7066918976740727E-4</v>
      </c>
      <c r="S65" s="1"/>
      <c r="T65" s="1">
        <f>SUM(OSRRefT22_8x_0)</f>
        <v>0</v>
      </c>
      <c r="U65" s="1"/>
      <c r="V65" s="5">
        <f t="shared" si="42"/>
        <v>0</v>
      </c>
      <c r="W65" s="1"/>
      <c r="X65" s="1">
        <f t="shared" si="43"/>
        <v>4.59</v>
      </c>
      <c r="Y65" s="1"/>
      <c r="Z65" s="5">
        <f t="shared" si="44"/>
        <v>0</v>
      </c>
    </row>
    <row r="66" spans="1:26" s="24" customFormat="1" hidden="1" outlineLevel="2" x14ac:dyDescent="0.25">
      <c r="A66" s="29"/>
      <c r="B66" s="11" t="str">
        <f>CONCATENATE("          ", "6305", " - ", "FREIGHT OUT")</f>
        <v xml:space="preserve">          6305 - FREIGHT OUT</v>
      </c>
      <c r="C66" s="11"/>
      <c r="D66" s="6">
        <v>6.06</v>
      </c>
      <c r="E66" s="2"/>
      <c r="F66" s="7">
        <f t="shared" si="37"/>
        <v>5.8045309824025012E-4</v>
      </c>
      <c r="G66" s="2"/>
      <c r="H66" s="6"/>
      <c r="I66" s="2"/>
      <c r="J66" s="7">
        <f t="shared" si="38"/>
        <v>0</v>
      </c>
      <c r="K66" s="2"/>
      <c r="L66" s="6">
        <f t="shared" si="39"/>
        <v>6.06</v>
      </c>
      <c r="M66" s="2"/>
      <c r="N66" s="7">
        <f t="shared" si="40"/>
        <v>0</v>
      </c>
      <c r="O66" s="11"/>
      <c r="P66" s="6">
        <v>10</v>
      </c>
      <c r="Q66" s="2"/>
      <c r="R66" s="7">
        <f t="shared" si="41"/>
        <v>5.8969322389413356E-4</v>
      </c>
      <c r="S66" s="2"/>
      <c r="T66" s="6"/>
      <c r="U66" s="2"/>
      <c r="V66" s="7">
        <f t="shared" si="42"/>
        <v>0</v>
      </c>
      <c r="W66" s="2"/>
      <c r="X66" s="6">
        <f t="shared" si="43"/>
        <v>10</v>
      </c>
      <c r="Y66" s="2"/>
      <c r="Z66" s="7">
        <f t="shared" si="44"/>
        <v>0</v>
      </c>
    </row>
    <row r="67" spans="1:26" s="24" customFormat="1" hidden="1" outlineLevel="2" x14ac:dyDescent="0.25">
      <c r="A67" s="29"/>
      <c r="B67" s="11" t="str">
        <f>CONCATENATE("          ", "6307", " - ", "POSTAGE")</f>
        <v xml:space="preserve">          6307 - POSTAGE</v>
      </c>
      <c r="C67" s="11"/>
      <c r="D67" s="6">
        <v>-5.41</v>
      </c>
      <c r="E67" s="2"/>
      <c r="F67" s="7">
        <f t="shared" si="37"/>
        <v>-5.1819327747190647E-4</v>
      </c>
      <c r="G67" s="2"/>
      <c r="H67" s="6"/>
      <c r="I67" s="2"/>
      <c r="J67" s="7">
        <f t="shared" si="38"/>
        <v>0</v>
      </c>
      <c r="K67" s="2"/>
      <c r="L67" s="6">
        <f t="shared" si="39"/>
        <v>-5.41</v>
      </c>
      <c r="M67" s="2"/>
      <c r="N67" s="7">
        <f t="shared" si="40"/>
        <v>0</v>
      </c>
      <c r="O67" s="11"/>
      <c r="P67" s="6">
        <v>-5.41</v>
      </c>
      <c r="Q67" s="2"/>
      <c r="R67" s="7">
        <f t="shared" si="41"/>
        <v>-3.1902403412672624E-4</v>
      </c>
      <c r="S67" s="2"/>
      <c r="T67" s="6"/>
      <c r="U67" s="2"/>
      <c r="V67" s="7">
        <f t="shared" si="42"/>
        <v>0</v>
      </c>
      <c r="W67" s="2"/>
      <c r="X67" s="6">
        <f t="shared" si="43"/>
        <v>-5.41</v>
      </c>
      <c r="Y67" s="2"/>
      <c r="Z67" s="7">
        <f t="shared" si="44"/>
        <v>0</v>
      </c>
    </row>
    <row r="68" spans="1:26" s="28" customFormat="1" outlineLevel="1" collapsed="1" x14ac:dyDescent="0.25">
      <c r="A68" s="27"/>
      <c r="B68" s="14" t="str">
        <f>CONCATENATE("     ","General                                           ")</f>
        <v xml:space="preserve">     General                                           </v>
      </c>
      <c r="C68" s="14"/>
      <c r="D68" s="1">
        <f>SUM(OSRRefD22_9x_0)</f>
        <v>550.52</v>
      </c>
      <c r="E68" s="1"/>
      <c r="F68" s="5">
        <f t="shared" ref="F68:F80" si="45">IF(D$12=0,0,D68/D$12)</f>
        <v>5.2731194660597773E-2</v>
      </c>
      <c r="G68" s="1"/>
      <c r="H68" s="1">
        <f>SUM(OSRRefH22_9x_0)</f>
        <v>0</v>
      </c>
      <c r="I68" s="1"/>
      <c r="J68" s="5">
        <f t="shared" ref="J68:J80" si="46">IF(H$12=0,0,H68/H$12)</f>
        <v>0</v>
      </c>
      <c r="K68" s="1"/>
      <c r="L68" s="1">
        <f t="shared" ref="L68:L80" si="47">+D68-H68</f>
        <v>550.52</v>
      </c>
      <c r="M68" s="1"/>
      <c r="N68" s="5">
        <f t="shared" ref="N68:N80" si="48">IF(H68=0,0,L68/H68)</f>
        <v>0</v>
      </c>
      <c r="O68" s="14"/>
      <c r="P68" s="1">
        <f>SUM(OSRRefP22_9x_0)</f>
        <v>5275.55</v>
      </c>
      <c r="Q68" s="1"/>
      <c r="R68" s="5">
        <f t="shared" ref="R68:R80" si="49">IF(P$12=0,0,P68/P$12)</f>
        <v>0.31109560873146963</v>
      </c>
      <c r="S68" s="1"/>
      <c r="T68" s="1">
        <f>SUM(OSRRefT22_9x_0)</f>
        <v>7505</v>
      </c>
      <c r="U68" s="1"/>
      <c r="V68" s="5">
        <f t="shared" ref="V68:V80" si="50">IF(T$12=0,0,T68/T$12)</f>
        <v>8.3792021615103782E-2</v>
      </c>
      <c r="W68" s="1"/>
      <c r="X68" s="1">
        <f t="shared" ref="X68:X80" si="51">+P68-T68</f>
        <v>-2229.4499999999998</v>
      </c>
      <c r="Y68" s="1"/>
      <c r="Z68" s="5">
        <f t="shared" ref="Z68:Z80" si="52">IF(T68=0,0,X68/T68)</f>
        <v>-0.29706195869420382</v>
      </c>
    </row>
    <row r="69" spans="1:26" s="24" customFormat="1" hidden="1" outlineLevel="2" x14ac:dyDescent="0.25">
      <c r="A69" s="29"/>
      <c r="B69" s="11" t="str">
        <f>CONCATENATE("          ", "6279", " - ", "GENERAL EXPENSE")</f>
        <v xml:space="preserve">          6279 - GENERAL EXPENSE</v>
      </c>
      <c r="C69" s="11"/>
      <c r="D69" s="6">
        <v>550.52</v>
      </c>
      <c r="E69" s="2"/>
      <c r="F69" s="7">
        <f t="shared" si="45"/>
        <v>5.2731194660597773E-2</v>
      </c>
      <c r="G69" s="2"/>
      <c r="H69" s="6">
        <v>0</v>
      </c>
      <c r="I69" s="2"/>
      <c r="J69" s="7">
        <f t="shared" si="46"/>
        <v>0</v>
      </c>
      <c r="K69" s="2"/>
      <c r="L69" s="6">
        <f t="shared" si="47"/>
        <v>550.52</v>
      </c>
      <c r="M69" s="2"/>
      <c r="N69" s="7">
        <f t="shared" si="48"/>
        <v>0</v>
      </c>
      <c r="O69" s="11"/>
      <c r="P69" s="6">
        <v>5275.55</v>
      </c>
      <c r="Q69" s="2"/>
      <c r="R69" s="7">
        <f t="shared" si="49"/>
        <v>0.31109560873146963</v>
      </c>
      <c r="S69" s="2"/>
      <c r="T69" s="6">
        <v>7505</v>
      </c>
      <c r="U69" s="2"/>
      <c r="V69" s="7">
        <f t="shared" si="50"/>
        <v>8.3792021615103782E-2</v>
      </c>
      <c r="W69" s="2"/>
      <c r="X69" s="6">
        <f t="shared" si="51"/>
        <v>-2229.4499999999998</v>
      </c>
      <c r="Y69" s="2"/>
      <c r="Z69" s="7">
        <f t="shared" si="52"/>
        <v>-0.29706195869420382</v>
      </c>
    </row>
    <row r="70" spans="1:26" s="28" customFormat="1" outlineLevel="1" collapsed="1" x14ac:dyDescent="0.25">
      <c r="A70" s="27"/>
      <c r="B70" s="14" t="str">
        <f>CONCATENATE("     ","Insurance                                         ")</f>
        <v xml:space="preserve">     Insurance                                         </v>
      </c>
      <c r="C70" s="14"/>
      <c r="D70" s="1">
        <f>SUM(OSRRefD22_10x_0)</f>
        <v>4483.67</v>
      </c>
      <c r="E70" s="1"/>
      <c r="F70" s="5">
        <f t="shared" si="45"/>
        <v>0.42946537012984531</v>
      </c>
      <c r="G70" s="1"/>
      <c r="H70" s="1">
        <f>SUM(OSRRefH22_10x_0)</f>
        <v>4835</v>
      </c>
      <c r="I70" s="1"/>
      <c r="J70" s="5">
        <f t="shared" si="46"/>
        <v>6.7213456592757348E-2</v>
      </c>
      <c r="K70" s="1"/>
      <c r="L70" s="1">
        <f t="shared" si="47"/>
        <v>-351.32999999999993</v>
      </c>
      <c r="M70" s="1"/>
      <c r="N70" s="5">
        <f t="shared" si="48"/>
        <v>-7.2663908996897605E-2</v>
      </c>
      <c r="O70" s="14"/>
      <c r="P70" s="1">
        <f>SUM(OSRRefP22_10x_0)</f>
        <v>13451.01</v>
      </c>
      <c r="Q70" s="1"/>
      <c r="R70" s="5">
        <f t="shared" si="49"/>
        <v>0.79319694515322292</v>
      </c>
      <c r="S70" s="1"/>
      <c r="T70" s="1">
        <f>SUM(OSRRefT22_10x_0)</f>
        <v>14505</v>
      </c>
      <c r="U70" s="1"/>
      <c r="V70" s="5">
        <f t="shared" si="50"/>
        <v>0.16194580593298871</v>
      </c>
      <c r="W70" s="1"/>
      <c r="X70" s="1">
        <f t="shared" si="51"/>
        <v>-1053.9899999999998</v>
      </c>
      <c r="Y70" s="1"/>
      <c r="Z70" s="5">
        <f t="shared" si="52"/>
        <v>-7.2663908996897605E-2</v>
      </c>
    </row>
    <row r="71" spans="1:26" s="24" customFormat="1" hidden="1" outlineLevel="2" x14ac:dyDescent="0.25">
      <c r="A71" s="29"/>
      <c r="B71" s="11" t="str">
        <f>CONCATENATE("          ", "6314", " - ", "LIABILITY INSURANCE")</f>
        <v xml:space="preserve">          6314 - LIABILITY INSURANCE</v>
      </c>
      <c r="C71" s="11"/>
      <c r="D71" s="6">
        <v>4483.67</v>
      </c>
      <c r="E71" s="2"/>
      <c r="F71" s="7">
        <f t="shared" si="45"/>
        <v>0.42946537012984531</v>
      </c>
      <c r="G71" s="2"/>
      <c r="H71" s="6">
        <v>4835</v>
      </c>
      <c r="I71" s="2"/>
      <c r="J71" s="7">
        <f t="shared" si="46"/>
        <v>6.7213456592757348E-2</v>
      </c>
      <c r="K71" s="2"/>
      <c r="L71" s="6">
        <f t="shared" si="47"/>
        <v>-351.32999999999993</v>
      </c>
      <c r="M71" s="2"/>
      <c r="N71" s="7">
        <f t="shared" si="48"/>
        <v>-7.2663908996897605E-2</v>
      </c>
      <c r="O71" s="11"/>
      <c r="P71" s="6">
        <v>13451.01</v>
      </c>
      <c r="Q71" s="2"/>
      <c r="R71" s="7">
        <f t="shared" si="49"/>
        <v>0.79319694515322292</v>
      </c>
      <c r="S71" s="2"/>
      <c r="T71" s="6">
        <v>14505</v>
      </c>
      <c r="U71" s="2"/>
      <c r="V71" s="7">
        <f t="shared" si="50"/>
        <v>0.16194580593298871</v>
      </c>
      <c r="W71" s="2"/>
      <c r="X71" s="6">
        <f t="shared" si="51"/>
        <v>-1053.9899999999998</v>
      </c>
      <c r="Y71" s="2"/>
      <c r="Z71" s="7">
        <f t="shared" si="52"/>
        <v>-7.2663908996897605E-2</v>
      </c>
    </row>
    <row r="72" spans="1:26" s="28" customFormat="1" outlineLevel="1" collapsed="1" x14ac:dyDescent="0.25">
      <c r="A72" s="27"/>
      <c r="B72" s="14" t="str">
        <f>CONCATENATE("     ","Interest                                          ")</f>
        <v xml:space="preserve">     Interest                                          </v>
      </c>
      <c r="C72" s="14"/>
      <c r="D72" s="1">
        <f>SUM(OSRRefD22_11x_0)</f>
        <v>11554</v>
      </c>
      <c r="E72" s="1"/>
      <c r="F72" s="5">
        <f t="shared" si="45"/>
        <v>1.1066922602422196</v>
      </c>
      <c r="G72" s="1"/>
      <c r="H72" s="1">
        <f>SUM(OSRRefH22_11x_0)</f>
        <v>11554</v>
      </c>
      <c r="I72" s="1"/>
      <c r="J72" s="5">
        <f t="shared" si="46"/>
        <v>0.16061722388267186</v>
      </c>
      <c r="K72" s="1"/>
      <c r="L72" s="1">
        <f t="shared" si="47"/>
        <v>0</v>
      </c>
      <c r="M72" s="1"/>
      <c r="N72" s="5">
        <f t="shared" si="48"/>
        <v>0</v>
      </c>
      <c r="O72" s="14"/>
      <c r="P72" s="1">
        <f>SUM(OSRRefP22_11x_0)</f>
        <v>34662</v>
      </c>
      <c r="Q72" s="1"/>
      <c r="R72" s="5">
        <f t="shared" si="49"/>
        <v>2.0439946526618455</v>
      </c>
      <c r="S72" s="1"/>
      <c r="T72" s="1">
        <f>SUM(OSRRefT22_11x_0)</f>
        <v>34662</v>
      </c>
      <c r="U72" s="1"/>
      <c r="V72" s="5">
        <f t="shared" si="50"/>
        <v>0.38699521028950395</v>
      </c>
      <c r="W72" s="1"/>
      <c r="X72" s="1">
        <f t="shared" si="51"/>
        <v>0</v>
      </c>
      <c r="Y72" s="1"/>
      <c r="Z72" s="5">
        <f t="shared" si="52"/>
        <v>0</v>
      </c>
    </row>
    <row r="73" spans="1:26" s="24" customFormat="1" hidden="1" outlineLevel="2" x14ac:dyDescent="0.25">
      <c r="A73" s="29"/>
      <c r="B73" s="11" t="str">
        <f>CONCATENATE("          ", "6401", " - ", "INTEREST EXPENSE")</f>
        <v xml:space="preserve">          6401 - INTEREST EXPENSE</v>
      </c>
      <c r="C73" s="11"/>
      <c r="D73" s="6">
        <v>11554</v>
      </c>
      <c r="E73" s="2"/>
      <c r="F73" s="7">
        <f t="shared" si="45"/>
        <v>1.1066922602422196</v>
      </c>
      <c r="G73" s="2"/>
      <c r="H73" s="6">
        <v>11554</v>
      </c>
      <c r="I73" s="2"/>
      <c r="J73" s="7">
        <f t="shared" si="46"/>
        <v>0.16061722388267186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>
        <v>34662</v>
      </c>
      <c r="Q73" s="2"/>
      <c r="R73" s="7">
        <f t="shared" si="49"/>
        <v>2.0439946526618455</v>
      </c>
      <c r="S73" s="2"/>
      <c r="T73" s="6">
        <v>34662</v>
      </c>
      <c r="U73" s="2"/>
      <c r="V73" s="7">
        <f t="shared" si="50"/>
        <v>0.38699521028950395</v>
      </c>
      <c r="W73" s="2"/>
      <c r="X73" s="6">
        <f t="shared" si="51"/>
        <v>0</v>
      </c>
      <c r="Y73" s="2"/>
      <c r="Z73" s="7">
        <f t="shared" si="52"/>
        <v>0</v>
      </c>
    </row>
    <row r="74" spans="1:26" s="28" customFormat="1" outlineLevel="1" collapsed="1" x14ac:dyDescent="0.25">
      <c r="A74" s="27"/>
      <c r="B74" s="14" t="str">
        <f>CONCATENATE("     ","Rent                                              ")</f>
        <v xml:space="preserve">     Rent                                              </v>
      </c>
      <c r="C74" s="14"/>
      <c r="D74" s="1">
        <f>SUM(OSRRefD22_12x_0)</f>
        <v>5550</v>
      </c>
      <c r="E74" s="1"/>
      <c r="F74" s="5">
        <f t="shared" si="45"/>
        <v>0.53160308502201126</v>
      </c>
      <c r="G74" s="1"/>
      <c r="H74" s="1">
        <f>SUM(OSRRefH22_12x_0)</f>
        <v>1943</v>
      </c>
      <c r="I74" s="1"/>
      <c r="J74" s="5">
        <f t="shared" si="46"/>
        <v>2.701049558629318E-2</v>
      </c>
      <c r="K74" s="1"/>
      <c r="L74" s="1">
        <f t="shared" si="47"/>
        <v>3607</v>
      </c>
      <c r="M74" s="1"/>
      <c r="N74" s="5">
        <f t="shared" si="48"/>
        <v>1.856407617086979</v>
      </c>
      <c r="O74" s="14"/>
      <c r="P74" s="1">
        <f>SUM(OSRRefP22_12x_0)</f>
        <v>5550</v>
      </c>
      <c r="Q74" s="1"/>
      <c r="R74" s="5">
        <f t="shared" si="49"/>
        <v>0.3272797392612441</v>
      </c>
      <c r="S74" s="1"/>
      <c r="T74" s="1">
        <f>SUM(OSRRefT22_12x_0)</f>
        <v>5829</v>
      </c>
      <c r="U74" s="1"/>
      <c r="V74" s="5">
        <f t="shared" si="50"/>
        <v>6.5079772684135895E-2</v>
      </c>
      <c r="W74" s="1"/>
      <c r="X74" s="1">
        <f t="shared" si="51"/>
        <v>-279</v>
      </c>
      <c r="Y74" s="1"/>
      <c r="Z74" s="5">
        <f t="shared" si="52"/>
        <v>-4.7864127637673698E-2</v>
      </c>
    </row>
    <row r="75" spans="1:26" s="24" customFormat="1" hidden="1" outlineLevel="2" x14ac:dyDescent="0.25">
      <c r="A75" s="29"/>
      <c r="B75" s="11" t="str">
        <f>CONCATENATE("          ", "6273", " - ", "RENT")</f>
        <v xml:space="preserve">          6273 - RENT</v>
      </c>
      <c r="C75" s="11"/>
      <c r="D75" s="6">
        <v>5550</v>
      </c>
      <c r="E75" s="2"/>
      <c r="F75" s="7">
        <f t="shared" si="45"/>
        <v>0.53160308502201126</v>
      </c>
      <c r="G75" s="2"/>
      <c r="H75" s="6">
        <v>1943</v>
      </c>
      <c r="I75" s="2"/>
      <c r="J75" s="7">
        <f t="shared" si="46"/>
        <v>2.701049558629318E-2</v>
      </c>
      <c r="K75" s="2"/>
      <c r="L75" s="6">
        <f t="shared" si="47"/>
        <v>3607</v>
      </c>
      <c r="M75" s="2"/>
      <c r="N75" s="7">
        <f t="shared" si="48"/>
        <v>1.856407617086979</v>
      </c>
      <c r="O75" s="11"/>
      <c r="P75" s="6">
        <v>5550</v>
      </c>
      <c r="Q75" s="2"/>
      <c r="R75" s="7">
        <f t="shared" si="49"/>
        <v>0.3272797392612441</v>
      </c>
      <c r="S75" s="2"/>
      <c r="T75" s="6">
        <v>5829</v>
      </c>
      <c r="U75" s="2"/>
      <c r="V75" s="7">
        <f t="shared" si="50"/>
        <v>6.5079772684135895E-2</v>
      </c>
      <c r="W75" s="2"/>
      <c r="X75" s="6">
        <f t="shared" si="51"/>
        <v>-279</v>
      </c>
      <c r="Y75" s="2"/>
      <c r="Z75" s="7">
        <f t="shared" si="52"/>
        <v>-4.7864127637673698E-2</v>
      </c>
    </row>
    <row r="76" spans="1:26" s="28" customFormat="1" outlineLevel="1" collapsed="1" x14ac:dyDescent="0.25">
      <c r="A76" s="27"/>
      <c r="B76" s="14" t="str">
        <f>CONCATENATE("     ","Repair and Maintenance                            ")</f>
        <v xml:space="preserve">     Repair and Maintenance                            </v>
      </c>
      <c r="C76" s="14"/>
      <c r="D76" s="1">
        <f>SUM(OSRRefD22_13x_0)</f>
        <v>3137.59</v>
      </c>
      <c r="E76" s="1"/>
      <c r="F76" s="5">
        <f t="shared" si="45"/>
        <v>0.30053198622238064</v>
      </c>
      <c r="G76" s="1"/>
      <c r="H76" s="1">
        <f>SUM(OSRRefH22_13x_0)</f>
        <v>1106</v>
      </c>
      <c r="I76" s="1"/>
      <c r="J76" s="5">
        <f t="shared" si="46"/>
        <v>1.5374991311600751E-2</v>
      </c>
      <c r="K76" s="1"/>
      <c r="L76" s="1">
        <f t="shared" si="47"/>
        <v>2031.5900000000001</v>
      </c>
      <c r="M76" s="1"/>
      <c r="N76" s="5">
        <f t="shared" si="48"/>
        <v>1.8368806509945752</v>
      </c>
      <c r="O76" s="14"/>
      <c r="P76" s="1">
        <f>SUM(OSRRefP22_13x_0)</f>
        <v>12094.46</v>
      </c>
      <c r="Q76" s="1"/>
      <c r="R76" s="5">
        <f t="shared" si="49"/>
        <v>0.71320211086586416</v>
      </c>
      <c r="S76" s="1"/>
      <c r="T76" s="1">
        <f>SUM(OSRRefT22_13x_0)</f>
        <v>3039</v>
      </c>
      <c r="U76" s="1"/>
      <c r="V76" s="5">
        <f t="shared" si="50"/>
        <v>3.3929907220293189E-2</v>
      </c>
      <c r="W76" s="1"/>
      <c r="X76" s="1">
        <f t="shared" si="51"/>
        <v>9055.4599999999991</v>
      </c>
      <c r="Y76" s="1"/>
      <c r="Z76" s="5">
        <f t="shared" si="52"/>
        <v>2.9797499177360973</v>
      </c>
    </row>
    <row r="77" spans="1:26" s="24" customFormat="1" hidden="1" outlineLevel="2" x14ac:dyDescent="0.25">
      <c r="A77" s="29"/>
      <c r="B77" s="11" t="str">
        <f>CONCATENATE("          ", "6371", " - ", "COMPUTER SOFTWARE MAINTENANCE")</f>
        <v xml:space="preserve">          6371 - COMPUTER SOFTWARE MAINTENANCE</v>
      </c>
      <c r="C77" s="11"/>
      <c r="D77" s="6"/>
      <c r="E77" s="2"/>
      <c r="F77" s="7">
        <f t="shared" si="45"/>
        <v>0</v>
      </c>
      <c r="G77" s="2"/>
      <c r="H77" s="6">
        <v>43</v>
      </c>
      <c r="I77" s="2"/>
      <c r="J77" s="7">
        <f t="shared" si="46"/>
        <v>5.977618683533746E-4</v>
      </c>
      <c r="K77" s="2"/>
      <c r="L77" s="6">
        <f t="shared" si="47"/>
        <v>-43</v>
      </c>
      <c r="M77" s="2"/>
      <c r="N77" s="7">
        <f t="shared" si="48"/>
        <v>-1</v>
      </c>
      <c r="O77" s="11"/>
      <c r="P77" s="6"/>
      <c r="Q77" s="2"/>
      <c r="R77" s="7">
        <f t="shared" si="49"/>
        <v>0</v>
      </c>
      <c r="S77" s="2"/>
      <c r="T77" s="6">
        <v>43</v>
      </c>
      <c r="U77" s="2"/>
      <c r="V77" s="7">
        <f t="shared" si="50"/>
        <v>4.8008753223843602E-4</v>
      </c>
      <c r="W77" s="2"/>
      <c r="X77" s="6">
        <f t="shared" si="51"/>
        <v>-43</v>
      </c>
      <c r="Y77" s="2"/>
      <c r="Z77" s="7">
        <f t="shared" si="52"/>
        <v>-1</v>
      </c>
    </row>
    <row r="78" spans="1:26" s="24" customFormat="1" hidden="1" outlineLevel="2" x14ac:dyDescent="0.25">
      <c r="A78" s="29"/>
      <c r="B78" s="11" t="str">
        <f>CONCATENATE("          ", "6372", " - ", "COMPUTER HARDWARE MAINTENANCE")</f>
        <v xml:space="preserve">          6372 - COMPUTER HARDWARE MAINTENANCE</v>
      </c>
      <c r="C78" s="11"/>
      <c r="D78" s="6"/>
      <c r="E78" s="2"/>
      <c r="F78" s="7">
        <f t="shared" si="45"/>
        <v>0</v>
      </c>
      <c r="G78" s="2"/>
      <c r="H78" s="6">
        <v>437</v>
      </c>
      <c r="I78" s="2"/>
      <c r="J78" s="7">
        <f t="shared" si="46"/>
        <v>6.0749287551261555E-3</v>
      </c>
      <c r="K78" s="2"/>
      <c r="L78" s="6">
        <f t="shared" si="47"/>
        <v>-437</v>
      </c>
      <c r="M78" s="2"/>
      <c r="N78" s="7">
        <f t="shared" si="48"/>
        <v>-1</v>
      </c>
      <c r="O78" s="11"/>
      <c r="P78" s="6"/>
      <c r="Q78" s="2"/>
      <c r="R78" s="7">
        <f t="shared" si="49"/>
        <v>0</v>
      </c>
      <c r="S78" s="2"/>
      <c r="T78" s="6">
        <v>437</v>
      </c>
      <c r="U78" s="2"/>
      <c r="V78" s="7">
        <f t="shared" si="50"/>
        <v>4.8790291067022451E-3</v>
      </c>
      <c r="W78" s="2"/>
      <c r="X78" s="6">
        <f t="shared" si="51"/>
        <v>-437</v>
      </c>
      <c r="Y78" s="2"/>
      <c r="Z78" s="7">
        <f t="shared" si="52"/>
        <v>-1</v>
      </c>
    </row>
    <row r="79" spans="1:26" s="24" customFormat="1" hidden="1" outlineLevel="2" x14ac:dyDescent="0.25">
      <c r="A79" s="29"/>
      <c r="B79" s="11" t="str">
        <f>CONCATENATE("          ", "6373", " - ", "MAINTENANCE CONTRACTS")</f>
        <v xml:space="preserve">          6373 - MAINTENANCE CONTRACTS</v>
      </c>
      <c r="C79" s="11"/>
      <c r="D79" s="6">
        <v>1958.21</v>
      </c>
      <c r="E79" s="2"/>
      <c r="F79" s="7">
        <f t="shared" si="45"/>
        <v>0.18756585173350501</v>
      </c>
      <c r="G79" s="2"/>
      <c r="H79" s="6">
        <v>0</v>
      </c>
      <c r="I79" s="2"/>
      <c r="J79" s="7">
        <f t="shared" si="46"/>
        <v>0</v>
      </c>
      <c r="K79" s="2"/>
      <c r="L79" s="6">
        <f t="shared" si="47"/>
        <v>1958.21</v>
      </c>
      <c r="M79" s="2"/>
      <c r="N79" s="7">
        <f t="shared" si="48"/>
        <v>0</v>
      </c>
      <c r="O79" s="11"/>
      <c r="P79" s="6">
        <v>6352.86</v>
      </c>
      <c r="Q79" s="2"/>
      <c r="R79" s="7">
        <f t="shared" si="49"/>
        <v>0.37462384943480848</v>
      </c>
      <c r="S79" s="2"/>
      <c r="T79" s="6">
        <v>0</v>
      </c>
      <c r="U79" s="2"/>
      <c r="V79" s="7">
        <f t="shared" si="50"/>
        <v>0</v>
      </c>
      <c r="W79" s="2"/>
      <c r="X79" s="6">
        <f t="shared" si="51"/>
        <v>6352.86</v>
      </c>
      <c r="Y79" s="2"/>
      <c r="Z79" s="7">
        <f t="shared" si="52"/>
        <v>0</v>
      </c>
    </row>
    <row r="80" spans="1:26" s="24" customFormat="1" hidden="1" outlineLevel="2" x14ac:dyDescent="0.25">
      <c r="A80" s="29"/>
      <c r="B80" s="11" t="str">
        <f>CONCATENATE("          ", "6375", " - ", "OUTSIDE REPAIRS &amp; MAINTENANCE")</f>
        <v xml:space="preserve">          6375 - OUTSIDE REPAIRS &amp; MAINTENANCE</v>
      </c>
      <c r="C80" s="11"/>
      <c r="D80" s="6">
        <v>1179.3800000000001</v>
      </c>
      <c r="E80" s="2"/>
      <c r="F80" s="7">
        <f t="shared" si="45"/>
        <v>0.11296613448887563</v>
      </c>
      <c r="G80" s="2"/>
      <c r="H80" s="6">
        <v>626</v>
      </c>
      <c r="I80" s="2"/>
      <c r="J80" s="7">
        <f t="shared" si="46"/>
        <v>8.7023006881212211E-3</v>
      </c>
      <c r="K80" s="2"/>
      <c r="L80" s="6">
        <f t="shared" si="47"/>
        <v>553.38000000000011</v>
      </c>
      <c r="M80" s="2"/>
      <c r="N80" s="7">
        <f t="shared" si="48"/>
        <v>0.88399361022364231</v>
      </c>
      <c r="O80" s="11"/>
      <c r="P80" s="6">
        <v>5741.6</v>
      </c>
      <c r="Q80" s="2"/>
      <c r="R80" s="7">
        <f t="shared" si="49"/>
        <v>0.33857826143105574</v>
      </c>
      <c r="S80" s="2"/>
      <c r="T80" s="6">
        <v>2559</v>
      </c>
      <c r="U80" s="2"/>
      <c r="V80" s="7">
        <f t="shared" si="50"/>
        <v>2.8570790581352506E-2</v>
      </c>
      <c r="W80" s="2"/>
      <c r="X80" s="6">
        <f t="shared" si="51"/>
        <v>3182.6000000000004</v>
      </c>
      <c r="Y80" s="2"/>
      <c r="Z80" s="7">
        <f t="shared" si="52"/>
        <v>1.2436889409925753</v>
      </c>
    </row>
    <row r="81" spans="1:26" s="28" customFormat="1" outlineLevel="1" collapsed="1" x14ac:dyDescent="0.25">
      <c r="A81" s="27"/>
      <c r="B81" s="14" t="str">
        <f>CONCATENATE("     ","Royalty &amp; Commissions                             ")</f>
        <v xml:space="preserve">     Royalty &amp; Commissions                             </v>
      </c>
      <c r="C81" s="14"/>
      <c r="D81" s="1">
        <f>SUM(OSRRefD22_14x_0)</f>
        <v>0</v>
      </c>
      <c r="E81" s="1"/>
      <c r="F81" s="5">
        <f t="shared" ref="F81:F83" si="53">IF(D$12=0,0,D81/D$12)</f>
        <v>0</v>
      </c>
      <c r="G81" s="1"/>
      <c r="H81" s="1">
        <f>SUM(OSRRefH22_14x_0)</f>
        <v>857</v>
      </c>
      <c r="I81" s="1"/>
      <c r="J81" s="5">
        <f t="shared" ref="J81:J83" si="54">IF(H$12=0,0,H81/H$12)</f>
        <v>1.1913533050670744E-2</v>
      </c>
      <c r="K81" s="1"/>
      <c r="L81" s="1">
        <f t="shared" ref="L81:L83" si="55">+D81-H81</f>
        <v>-857</v>
      </c>
      <c r="M81" s="1"/>
      <c r="N81" s="5">
        <f t="shared" ref="N81:N83" si="56">IF(H81=0,0,L81/H81)</f>
        <v>-1</v>
      </c>
      <c r="O81" s="14"/>
      <c r="P81" s="1">
        <f>SUM(OSRRefP22_14x_0)</f>
        <v>0</v>
      </c>
      <c r="Q81" s="1"/>
      <c r="R81" s="5">
        <f t="shared" ref="R81:R83" si="57">IF(P$12=0,0,P81/P$12)</f>
        <v>0</v>
      </c>
      <c r="S81" s="1"/>
      <c r="T81" s="1">
        <f>SUM(OSRRefT22_14x_0)</f>
        <v>987</v>
      </c>
      <c r="U81" s="1"/>
      <c r="V81" s="5">
        <f t="shared" ref="V81:V83" si="58">IF(T$12=0,0,T81/T$12)</f>
        <v>1.1019683588821777E-2</v>
      </c>
      <c r="W81" s="1"/>
      <c r="X81" s="1">
        <f t="shared" ref="X81:X83" si="59">+P81-T81</f>
        <v>-987</v>
      </c>
      <c r="Y81" s="1"/>
      <c r="Z81" s="5">
        <f t="shared" ref="Z81:Z83" si="60">IF(T81=0,0,X81/T81)</f>
        <v>-1</v>
      </c>
    </row>
    <row r="82" spans="1:26" s="24" customFormat="1" hidden="1" outlineLevel="2" x14ac:dyDescent="0.25">
      <c r="A82" s="29"/>
      <c r="B82" s="11" t="str">
        <f>CONCATENATE("          ", "6254", " - ", "ROYALTY &amp; COMMISSIONS")</f>
        <v xml:space="preserve">          6254 - ROYALTY &amp; COMMISSIONS</v>
      </c>
      <c r="C82" s="11"/>
      <c r="D82" s="6"/>
      <c r="E82" s="2"/>
      <c r="F82" s="7">
        <f t="shared" si="53"/>
        <v>0</v>
      </c>
      <c r="G82" s="2"/>
      <c r="H82" s="6">
        <v>0</v>
      </c>
      <c r="I82" s="2"/>
      <c r="J82" s="7">
        <f t="shared" si="54"/>
        <v>0</v>
      </c>
      <c r="K82" s="2"/>
      <c r="L82" s="6">
        <f t="shared" si="55"/>
        <v>0</v>
      </c>
      <c r="M82" s="2"/>
      <c r="N82" s="7">
        <f t="shared" si="56"/>
        <v>0</v>
      </c>
      <c r="O82" s="11"/>
      <c r="P82" s="6"/>
      <c r="Q82" s="2"/>
      <c r="R82" s="7">
        <f t="shared" si="57"/>
        <v>0</v>
      </c>
      <c r="S82" s="2"/>
      <c r="T82" s="6">
        <v>0</v>
      </c>
      <c r="U82" s="2"/>
      <c r="V82" s="7">
        <f t="shared" si="58"/>
        <v>0</v>
      </c>
      <c r="W82" s="2"/>
      <c r="X82" s="6">
        <f t="shared" si="59"/>
        <v>0</v>
      </c>
      <c r="Y82" s="2"/>
      <c r="Z82" s="7">
        <f t="shared" si="60"/>
        <v>0</v>
      </c>
    </row>
    <row r="83" spans="1:26" s="24" customFormat="1" hidden="1" outlineLevel="2" x14ac:dyDescent="0.25">
      <c r="A83" s="29"/>
      <c r="B83" s="11" t="str">
        <f>CONCATENATE("          ", "6259", " - ", "ROYALTY &amp; COMMISSIONS")</f>
        <v xml:space="preserve">          6259 - ROYALTY &amp; COMMISSIONS</v>
      </c>
      <c r="C83" s="11"/>
      <c r="D83" s="6"/>
      <c r="E83" s="2"/>
      <c r="F83" s="7">
        <f t="shared" si="53"/>
        <v>0</v>
      </c>
      <c r="G83" s="2"/>
      <c r="H83" s="6">
        <v>857</v>
      </c>
      <c r="I83" s="2"/>
      <c r="J83" s="7">
        <f t="shared" si="54"/>
        <v>1.1913533050670744E-2</v>
      </c>
      <c r="K83" s="2"/>
      <c r="L83" s="6">
        <f t="shared" si="55"/>
        <v>-857</v>
      </c>
      <c r="M83" s="2"/>
      <c r="N83" s="7">
        <f t="shared" si="56"/>
        <v>-1</v>
      </c>
      <c r="O83" s="11"/>
      <c r="P83" s="6"/>
      <c r="Q83" s="2"/>
      <c r="R83" s="7">
        <f t="shared" si="57"/>
        <v>0</v>
      </c>
      <c r="S83" s="2"/>
      <c r="T83" s="6">
        <v>987</v>
      </c>
      <c r="U83" s="2"/>
      <c r="V83" s="7">
        <f t="shared" si="58"/>
        <v>1.1019683588821777E-2</v>
      </c>
      <c r="W83" s="2"/>
      <c r="X83" s="6">
        <f t="shared" si="59"/>
        <v>-987</v>
      </c>
      <c r="Y83" s="2"/>
      <c r="Z83" s="7">
        <f t="shared" si="60"/>
        <v>-1</v>
      </c>
    </row>
    <row r="84" spans="1:26" s="28" customFormat="1" outlineLevel="1" collapsed="1" x14ac:dyDescent="0.25">
      <c r="A84" s="27"/>
      <c r="B84" s="14" t="str">
        <f>CONCATENATE("     ","Services                                          ")</f>
        <v xml:space="preserve">     Services                                          </v>
      </c>
      <c r="C84" s="14"/>
      <c r="D84" s="1">
        <f>SUM(OSRRefD22_15x_0)</f>
        <v>4172.68</v>
      </c>
      <c r="E84" s="1"/>
      <c r="F84" s="5">
        <f t="shared" ref="F84:F89" si="61">IF(D$12=0,0,D84/D$12)</f>
        <v>0.39967739834408039</v>
      </c>
      <c r="G84" s="1"/>
      <c r="H84" s="1">
        <f>SUM(OSRRefH22_15x_0)</f>
        <v>7972</v>
      </c>
      <c r="I84" s="1"/>
      <c r="J84" s="5">
        <f t="shared" ref="J84:J89" si="62">IF(H$12=0,0,H84/H$12)</f>
        <v>0.11082227010495586</v>
      </c>
      <c r="K84" s="1"/>
      <c r="L84" s="1">
        <f t="shared" ref="L84:L89" si="63">+D84-H84</f>
        <v>-3799.3199999999997</v>
      </c>
      <c r="M84" s="1"/>
      <c r="N84" s="5">
        <f t="shared" ref="N84:N89" si="64">IF(H84=0,0,L84/H84)</f>
        <v>-0.47658304064224782</v>
      </c>
      <c r="O84" s="14"/>
      <c r="P84" s="1">
        <f>SUM(OSRRefP22_15x_0)</f>
        <v>8995.3000000000011</v>
      </c>
      <c r="Q84" s="1"/>
      <c r="R84" s="5">
        <f t="shared" ref="R84:R89" si="65">IF(P$12=0,0,P84/P$12)</f>
        <v>0.53044674568949002</v>
      </c>
      <c r="S84" s="1"/>
      <c r="T84" s="1">
        <f>SUM(OSRRefT22_15x_0)</f>
        <v>20859</v>
      </c>
      <c r="U84" s="1"/>
      <c r="V84" s="5">
        <f t="shared" ref="V84:V89" si="66">IF(T$12=0,0,T84/T$12)</f>
        <v>0.23288711244096599</v>
      </c>
      <c r="W84" s="1"/>
      <c r="X84" s="1">
        <f t="shared" ref="X84:X89" si="67">+P84-T84</f>
        <v>-11863.699999999999</v>
      </c>
      <c r="Y84" s="1"/>
      <c r="Z84" s="5">
        <f t="shared" ref="Z84:Z89" si="68">IF(T84=0,0,X84/T84)</f>
        <v>-0.56875689150966002</v>
      </c>
    </row>
    <row r="85" spans="1:26" s="24" customFormat="1" hidden="1" outlineLevel="2" x14ac:dyDescent="0.25">
      <c r="A85" s="29"/>
      <c r="B85" s="11" t="str">
        <f>CONCATENATE("          ", "6282", " - ", "JANITORIAL/EXTERMINATOR EXPENS")</f>
        <v xml:space="preserve">          6282 - JANITORIAL/EXTERMINATOR EXPENS</v>
      </c>
      <c r="C85" s="11"/>
      <c r="D85" s="6">
        <v>49.36</v>
      </c>
      <c r="E85" s="2"/>
      <c r="F85" s="7">
        <f t="shared" si="61"/>
        <v>4.7279150048083743E-3</v>
      </c>
      <c r="G85" s="2"/>
      <c r="H85" s="6">
        <v>955</v>
      </c>
      <c r="I85" s="2"/>
      <c r="J85" s="7">
        <f t="shared" si="62"/>
        <v>1.3275874052964482E-2</v>
      </c>
      <c r="K85" s="2"/>
      <c r="L85" s="6">
        <f t="shared" si="63"/>
        <v>-905.64</v>
      </c>
      <c r="M85" s="2"/>
      <c r="N85" s="7">
        <f t="shared" si="64"/>
        <v>-0.94831413612565441</v>
      </c>
      <c r="O85" s="11"/>
      <c r="P85" s="6">
        <v>52.71</v>
      </c>
      <c r="Q85" s="2"/>
      <c r="R85" s="7">
        <f t="shared" si="65"/>
        <v>3.1082729831459779E-3</v>
      </c>
      <c r="S85" s="2"/>
      <c r="T85" s="6">
        <v>3179</v>
      </c>
      <c r="U85" s="2"/>
      <c r="V85" s="7">
        <f t="shared" si="66"/>
        <v>3.5492982906650886E-2</v>
      </c>
      <c r="W85" s="2"/>
      <c r="X85" s="6">
        <f t="shared" si="67"/>
        <v>-3126.29</v>
      </c>
      <c r="Y85" s="2"/>
      <c r="Z85" s="7">
        <f t="shared" si="68"/>
        <v>-0.98341931424976403</v>
      </c>
    </row>
    <row r="86" spans="1:26" s="24" customFormat="1" hidden="1" outlineLevel="2" x14ac:dyDescent="0.25">
      <c r="A86" s="29"/>
      <c r="B86" s="11" t="str">
        <f>CONCATENATE("          ", "6283", " - ", "PLANT SERVICE")</f>
        <v xml:space="preserve">          6283 - PLANT SERVICE</v>
      </c>
      <c r="C86" s="11"/>
      <c r="D86" s="6"/>
      <c r="E86" s="2"/>
      <c r="F86" s="7">
        <f t="shared" si="61"/>
        <v>0</v>
      </c>
      <c r="G86" s="2"/>
      <c r="H86" s="6">
        <v>62</v>
      </c>
      <c r="I86" s="2"/>
      <c r="J86" s="7">
        <f t="shared" si="62"/>
        <v>8.6188920553277267E-4</v>
      </c>
      <c r="K86" s="2"/>
      <c r="L86" s="6">
        <f t="shared" si="63"/>
        <v>-62</v>
      </c>
      <c r="M86" s="2"/>
      <c r="N86" s="7">
        <f t="shared" si="64"/>
        <v>-1</v>
      </c>
      <c r="O86" s="11"/>
      <c r="P86" s="6"/>
      <c r="Q86" s="2"/>
      <c r="R86" s="7">
        <f t="shared" si="65"/>
        <v>0</v>
      </c>
      <c r="S86" s="2"/>
      <c r="T86" s="6">
        <v>186</v>
      </c>
      <c r="U86" s="2"/>
      <c r="V86" s="7">
        <f t="shared" si="66"/>
        <v>2.0766576975895139E-3</v>
      </c>
      <c r="W86" s="2"/>
      <c r="X86" s="6">
        <f t="shared" si="67"/>
        <v>-186</v>
      </c>
      <c r="Y86" s="2"/>
      <c r="Z86" s="7">
        <f t="shared" si="68"/>
        <v>-1</v>
      </c>
    </row>
    <row r="87" spans="1:26" s="24" customFormat="1" hidden="1" outlineLevel="2" x14ac:dyDescent="0.25">
      <c r="A87" s="29"/>
      <c r="B87" s="11" t="str">
        <f>CONCATENATE("          ", "6284", " - ", "TRASH REMOVAL EXPENSE")</f>
        <v xml:space="preserve">          6284 - TRASH REMOVAL EXPENSE</v>
      </c>
      <c r="C87" s="11"/>
      <c r="D87" s="6">
        <v>761</v>
      </c>
      <c r="E87" s="2"/>
      <c r="F87" s="7">
        <f t="shared" si="61"/>
        <v>7.2891882468783892E-2</v>
      </c>
      <c r="G87" s="2"/>
      <c r="H87" s="6">
        <v>3360</v>
      </c>
      <c r="I87" s="2"/>
      <c r="J87" s="7">
        <f t="shared" si="62"/>
        <v>4.6708834364356709E-2</v>
      </c>
      <c r="K87" s="2"/>
      <c r="L87" s="6">
        <f t="shared" si="63"/>
        <v>-2599</v>
      </c>
      <c r="M87" s="2"/>
      <c r="N87" s="7">
        <f t="shared" si="64"/>
        <v>-0.77351190476190479</v>
      </c>
      <c r="O87" s="11"/>
      <c r="P87" s="6">
        <v>2761</v>
      </c>
      <c r="Q87" s="2"/>
      <c r="R87" s="7">
        <f t="shared" si="65"/>
        <v>0.16281429911717027</v>
      </c>
      <c r="S87" s="2"/>
      <c r="T87" s="6">
        <v>7020</v>
      </c>
      <c r="U87" s="2"/>
      <c r="V87" s="7">
        <f t="shared" si="66"/>
        <v>7.8377080844507466E-2</v>
      </c>
      <c r="W87" s="2"/>
      <c r="X87" s="6">
        <f t="shared" si="67"/>
        <v>-4259</v>
      </c>
      <c r="Y87" s="2"/>
      <c r="Z87" s="7">
        <f t="shared" si="68"/>
        <v>-0.60669515669515672</v>
      </c>
    </row>
    <row r="88" spans="1:26" s="24" customFormat="1" hidden="1" outlineLevel="2" x14ac:dyDescent="0.25">
      <c r="A88" s="29"/>
      <c r="B88" s="11" t="str">
        <f>CONCATENATE("          ", "6285", " - ", "JANITORIAL SERVICES")</f>
        <v xml:space="preserve">          6285 - JANITORIAL SERVICES</v>
      </c>
      <c r="C88" s="11"/>
      <c r="D88" s="6">
        <v>3256.35</v>
      </c>
      <c r="E88" s="2"/>
      <c r="F88" s="7">
        <f t="shared" si="61"/>
        <v>0.31190733439845519</v>
      </c>
      <c r="G88" s="2"/>
      <c r="H88" s="6">
        <v>3491</v>
      </c>
      <c r="I88" s="2"/>
      <c r="J88" s="7">
        <f t="shared" si="62"/>
        <v>4.8529922847014663E-2</v>
      </c>
      <c r="K88" s="2"/>
      <c r="L88" s="6">
        <f t="shared" si="63"/>
        <v>-234.65000000000009</v>
      </c>
      <c r="M88" s="2"/>
      <c r="N88" s="7">
        <f t="shared" si="64"/>
        <v>-6.7215697507877425E-2</v>
      </c>
      <c r="O88" s="11"/>
      <c r="P88" s="6">
        <v>5607.33</v>
      </c>
      <c r="Q88" s="2"/>
      <c r="R88" s="7">
        <f t="shared" si="65"/>
        <v>0.33066045051382914</v>
      </c>
      <c r="S88" s="2"/>
      <c r="T88" s="6">
        <v>10186</v>
      </c>
      <c r="U88" s="2"/>
      <c r="V88" s="7">
        <f t="shared" si="66"/>
        <v>0.1137249210088537</v>
      </c>
      <c r="W88" s="2"/>
      <c r="X88" s="6">
        <f t="shared" si="67"/>
        <v>-4578.67</v>
      </c>
      <c r="Y88" s="2"/>
      <c r="Z88" s="7">
        <f t="shared" si="68"/>
        <v>-0.4495061849597487</v>
      </c>
    </row>
    <row r="89" spans="1:26" s="24" customFormat="1" hidden="1" outlineLevel="2" x14ac:dyDescent="0.25">
      <c r="A89" s="29"/>
      <c r="B89" s="11" t="str">
        <f>CONCATENATE("          ", "6286", " - ", "LAUNDRY EXPENSE")</f>
        <v xml:space="preserve">          6286 - LAUNDRY EXPENSE</v>
      </c>
      <c r="C89" s="11"/>
      <c r="D89" s="6">
        <v>105.97</v>
      </c>
      <c r="E89" s="2"/>
      <c r="F89" s="7">
        <f t="shared" si="61"/>
        <v>1.015026647203289E-2</v>
      </c>
      <c r="G89" s="2"/>
      <c r="H89" s="6">
        <v>104</v>
      </c>
      <c r="I89" s="2"/>
      <c r="J89" s="7">
        <f t="shared" si="62"/>
        <v>1.4457496350872316E-3</v>
      </c>
      <c r="K89" s="2"/>
      <c r="L89" s="6">
        <f t="shared" si="63"/>
        <v>1.9699999999999989</v>
      </c>
      <c r="M89" s="2"/>
      <c r="N89" s="7">
        <f t="shared" si="64"/>
        <v>1.8942307692307682E-2</v>
      </c>
      <c r="O89" s="11"/>
      <c r="P89" s="6">
        <v>574.26</v>
      </c>
      <c r="Q89" s="2"/>
      <c r="R89" s="7">
        <f t="shared" si="65"/>
        <v>3.3863723075344514E-2</v>
      </c>
      <c r="S89" s="2"/>
      <c r="T89" s="6">
        <v>288</v>
      </c>
      <c r="U89" s="2"/>
      <c r="V89" s="7">
        <f t="shared" si="66"/>
        <v>3.2154699833644089E-3</v>
      </c>
      <c r="W89" s="2"/>
      <c r="X89" s="6">
        <f t="shared" si="67"/>
        <v>286.26</v>
      </c>
      <c r="Y89" s="2"/>
      <c r="Z89" s="7">
        <f t="shared" si="68"/>
        <v>0.99395833333333328</v>
      </c>
    </row>
    <row r="90" spans="1:26" s="28" customFormat="1" outlineLevel="1" collapsed="1" x14ac:dyDescent="0.25">
      <c r="A90" s="27"/>
      <c r="B90" s="14" t="str">
        <f>CONCATENATE("     ","Subscriptions &amp; Dues                              ")</f>
        <v xml:space="preserve">     Subscriptions &amp; Dues                              </v>
      </c>
      <c r="C90" s="14"/>
      <c r="D90" s="1">
        <f>SUM(OSRRefD22_16x_0)</f>
        <v>131.34</v>
      </c>
      <c r="E90" s="1"/>
      <c r="F90" s="5">
        <f t="shared" ref="F90:F103" si="69">IF(D$12=0,0,D90/D$12)</f>
        <v>1.2580315168791165E-2</v>
      </c>
      <c r="G90" s="1"/>
      <c r="H90" s="1">
        <f>SUM(OSRRefH22_16x_0)</f>
        <v>373</v>
      </c>
      <c r="I90" s="1"/>
      <c r="J90" s="5">
        <f t="shared" ref="J90:J103" si="70">IF(H$12=0,0,H90/H$12)</f>
        <v>5.1852366719955514E-3</v>
      </c>
      <c r="K90" s="1"/>
      <c r="L90" s="1">
        <f t="shared" ref="L90:L103" si="71">+D90-H90</f>
        <v>-241.66</v>
      </c>
      <c r="M90" s="1"/>
      <c r="N90" s="5">
        <f t="shared" ref="N90:N103" si="72">IF(H90=0,0,L90/H90)</f>
        <v>-0.64788203753351203</v>
      </c>
      <c r="O90" s="14"/>
      <c r="P90" s="1">
        <f>SUM(OSRRefP22_16x_0)</f>
        <v>140.66</v>
      </c>
      <c r="Q90" s="1"/>
      <c r="R90" s="5">
        <f t="shared" ref="R90:R103" si="73">IF(P$12=0,0,P90/P$12)</f>
        <v>8.2946248872948821E-3</v>
      </c>
      <c r="S90" s="1"/>
      <c r="T90" s="1">
        <f>SUM(OSRRefT22_16x_0)</f>
        <v>1119</v>
      </c>
      <c r="U90" s="1"/>
      <c r="V90" s="5">
        <f t="shared" ref="V90:V103" si="74">IF(T$12=0,0,T90/T$12)</f>
        <v>1.2493440664530463E-2</v>
      </c>
      <c r="W90" s="1"/>
      <c r="X90" s="1">
        <f t="shared" ref="X90:X103" si="75">+P90-T90</f>
        <v>-978.34</v>
      </c>
      <c r="Y90" s="1"/>
      <c r="Z90" s="5">
        <f t="shared" ref="Z90:Z103" si="76">IF(T90=0,0,X90/T90)</f>
        <v>-0.87429848078641648</v>
      </c>
    </row>
    <row r="91" spans="1:26" s="24" customFormat="1" hidden="1" outlineLevel="2" x14ac:dyDescent="0.25">
      <c r="A91" s="29"/>
      <c r="B91" s="11" t="str">
        <f>CONCATENATE("          ", "6275", " - ", "SUBSCRIPTIONS")</f>
        <v xml:space="preserve">          6275 - SUBSCRIPTIONS</v>
      </c>
      <c r="C91" s="11"/>
      <c r="D91" s="6">
        <v>131.34</v>
      </c>
      <c r="E91" s="2"/>
      <c r="F91" s="7">
        <f t="shared" si="69"/>
        <v>1.2580315168791165E-2</v>
      </c>
      <c r="G91" s="2"/>
      <c r="H91" s="6">
        <v>373</v>
      </c>
      <c r="I91" s="2"/>
      <c r="J91" s="7">
        <f t="shared" si="70"/>
        <v>5.1852366719955514E-3</v>
      </c>
      <c r="K91" s="2"/>
      <c r="L91" s="6">
        <f t="shared" si="71"/>
        <v>-241.66</v>
      </c>
      <c r="M91" s="2"/>
      <c r="N91" s="7">
        <f t="shared" si="72"/>
        <v>-0.64788203753351203</v>
      </c>
      <c r="O91" s="11"/>
      <c r="P91" s="6">
        <v>140.66</v>
      </c>
      <c r="Q91" s="2"/>
      <c r="R91" s="7">
        <f t="shared" si="73"/>
        <v>8.2946248872948821E-3</v>
      </c>
      <c r="S91" s="2"/>
      <c r="T91" s="6">
        <v>1119</v>
      </c>
      <c r="U91" s="2"/>
      <c r="V91" s="7">
        <f t="shared" si="74"/>
        <v>1.2493440664530463E-2</v>
      </c>
      <c r="W91" s="2"/>
      <c r="X91" s="6">
        <f t="shared" si="75"/>
        <v>-978.34</v>
      </c>
      <c r="Y91" s="2"/>
      <c r="Z91" s="7">
        <f t="shared" si="76"/>
        <v>-0.87429848078641648</v>
      </c>
    </row>
    <row r="92" spans="1:26" s="28" customFormat="1" outlineLevel="1" collapsed="1" x14ac:dyDescent="0.25">
      <c r="A92" s="27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SUM(OSRRefD22_17x_0)</f>
        <v>861.48</v>
      </c>
      <c r="E92" s="1"/>
      <c r="F92" s="5">
        <f t="shared" si="69"/>
        <v>8.2516292916173392E-2</v>
      </c>
      <c r="G92" s="1"/>
      <c r="H92" s="1">
        <f>SUM(OSRRefH22_17x_0)</f>
        <v>7968</v>
      </c>
      <c r="I92" s="1"/>
      <c r="J92" s="5">
        <f t="shared" si="70"/>
        <v>0.11076666434976019</v>
      </c>
      <c r="K92" s="1"/>
      <c r="L92" s="1">
        <f t="shared" si="71"/>
        <v>-7106.52</v>
      </c>
      <c r="M92" s="1"/>
      <c r="N92" s="5">
        <f t="shared" si="72"/>
        <v>-0.89188253012048202</v>
      </c>
      <c r="O92" s="14"/>
      <c r="P92" s="1">
        <f>SUM(OSRRefP22_17x_0)</f>
        <v>-26982.35</v>
      </c>
      <c r="Q92" s="1"/>
      <c r="R92" s="5">
        <f t="shared" si="73"/>
        <v>-1.5911308959739872</v>
      </c>
      <c r="S92" s="1"/>
      <c r="T92" s="1">
        <f>SUM(OSRRefT22_17x_0)</f>
        <v>18743</v>
      </c>
      <c r="U92" s="1"/>
      <c r="V92" s="5">
        <f t="shared" si="74"/>
        <v>0.20926233992430249</v>
      </c>
      <c r="W92" s="1"/>
      <c r="X92" s="1">
        <f t="shared" si="75"/>
        <v>-45725.35</v>
      </c>
      <c r="Y92" s="1"/>
      <c r="Z92" s="5">
        <f t="shared" si="76"/>
        <v>-2.4395961158832629</v>
      </c>
    </row>
    <row r="93" spans="1:26" s="24" customFormat="1" hidden="1" outlineLevel="2" x14ac:dyDescent="0.25">
      <c r="A93" s="29"/>
      <c r="B93" s="11" t="str">
        <f>CONCATENATE("          ", "6234", " - ", "EXPENDABLE SUPPLIES &amp; EQUIPMEN")</f>
        <v xml:space="preserve">          6234 - EXPENDABLE SUPPLIES &amp; EQUIPMEN</v>
      </c>
      <c r="C93" s="11"/>
      <c r="D93" s="6">
        <v>316.67</v>
      </c>
      <c r="E93" s="2"/>
      <c r="F93" s="7">
        <f t="shared" si="69"/>
        <v>3.0332026834940597E-2</v>
      </c>
      <c r="G93" s="2"/>
      <c r="H93" s="6"/>
      <c r="I93" s="2"/>
      <c r="J93" s="7">
        <f t="shared" si="70"/>
        <v>0</v>
      </c>
      <c r="K93" s="2"/>
      <c r="L93" s="6">
        <f t="shared" si="71"/>
        <v>316.67</v>
      </c>
      <c r="M93" s="2"/>
      <c r="N93" s="7">
        <f t="shared" si="72"/>
        <v>0</v>
      </c>
      <c r="O93" s="11"/>
      <c r="P93" s="6">
        <v>572.45000000000005</v>
      </c>
      <c r="Q93" s="2"/>
      <c r="R93" s="7">
        <f t="shared" si="73"/>
        <v>3.3756988601819679E-2</v>
      </c>
      <c r="S93" s="2"/>
      <c r="T93" s="6">
        <v>0</v>
      </c>
      <c r="U93" s="2"/>
      <c r="V93" s="7">
        <f t="shared" si="74"/>
        <v>0</v>
      </c>
      <c r="W93" s="2"/>
      <c r="X93" s="6">
        <f t="shared" si="75"/>
        <v>572.45000000000005</v>
      </c>
      <c r="Y93" s="2"/>
      <c r="Z93" s="7">
        <f t="shared" si="76"/>
        <v>0</v>
      </c>
    </row>
    <row r="94" spans="1:26" s="24" customFormat="1" hidden="1" outlineLevel="2" x14ac:dyDescent="0.25">
      <c r="A94" s="29"/>
      <c r="B94" s="11" t="str">
        <f>CONCATENATE("          ", "6235", " - ", "COVID-19 EXPENSES")</f>
        <v xml:space="preserve">          6235 - COVID-19 EXPENSES</v>
      </c>
      <c r="C94" s="11"/>
      <c r="D94" s="6">
        <v>127.89</v>
      </c>
      <c r="E94" s="2"/>
      <c r="F94" s="7">
        <f t="shared" si="69"/>
        <v>1.2249859197020724E-2</v>
      </c>
      <c r="G94" s="2"/>
      <c r="H94" s="6">
        <v>500</v>
      </c>
      <c r="I94" s="2"/>
      <c r="J94" s="7">
        <f t="shared" si="70"/>
        <v>6.9507193994578437E-3</v>
      </c>
      <c r="K94" s="2"/>
      <c r="L94" s="6">
        <f t="shared" si="71"/>
        <v>-372.11</v>
      </c>
      <c r="M94" s="2"/>
      <c r="N94" s="7">
        <f t="shared" si="72"/>
        <v>-0.74421999999999999</v>
      </c>
      <c r="O94" s="11"/>
      <c r="P94" s="6">
        <v>1157.1300000000001</v>
      </c>
      <c r="Q94" s="2"/>
      <c r="R94" s="7">
        <f t="shared" si="73"/>
        <v>6.8235172016461884E-2</v>
      </c>
      <c r="S94" s="2"/>
      <c r="T94" s="6">
        <v>1700</v>
      </c>
      <c r="U94" s="2"/>
      <c r="V94" s="7">
        <f t="shared" si="74"/>
        <v>1.8980204762914912E-2</v>
      </c>
      <c r="W94" s="2"/>
      <c r="X94" s="6">
        <f t="shared" si="75"/>
        <v>-542.86999999999989</v>
      </c>
      <c r="Y94" s="2"/>
      <c r="Z94" s="7">
        <f t="shared" si="76"/>
        <v>-0.319335294117647</v>
      </c>
    </row>
    <row r="95" spans="1:26" s="24" customFormat="1" hidden="1" outlineLevel="2" x14ac:dyDescent="0.25">
      <c r="A95" s="29"/>
      <c r="B95" s="11" t="str">
        <f>CONCATENATE("          ", "6237", " - ", "JANITORIAL SUPPLIES")</f>
        <v xml:space="preserve">          6237 - JANITORIAL SUPPLIES</v>
      </c>
      <c r="C95" s="11"/>
      <c r="D95" s="6">
        <v>317.57</v>
      </c>
      <c r="E95" s="2"/>
      <c r="F95" s="7">
        <f t="shared" si="69"/>
        <v>3.0418232740619843E-2</v>
      </c>
      <c r="G95" s="2"/>
      <c r="H95" s="6">
        <v>261</v>
      </c>
      <c r="I95" s="2"/>
      <c r="J95" s="7">
        <f t="shared" si="70"/>
        <v>3.6282755265169943E-3</v>
      </c>
      <c r="K95" s="2"/>
      <c r="L95" s="6">
        <f t="shared" si="71"/>
        <v>56.569999999999993</v>
      </c>
      <c r="M95" s="2"/>
      <c r="N95" s="7">
        <f t="shared" si="72"/>
        <v>0.21674329501915707</v>
      </c>
      <c r="O95" s="11"/>
      <c r="P95" s="6">
        <v>317.57</v>
      </c>
      <c r="Q95" s="2"/>
      <c r="R95" s="7">
        <f t="shared" si="73"/>
        <v>1.8726887711205998E-2</v>
      </c>
      <c r="S95" s="2"/>
      <c r="T95" s="6">
        <v>1503</v>
      </c>
      <c r="U95" s="2"/>
      <c r="V95" s="7">
        <f t="shared" si="74"/>
        <v>1.6780733975683009E-2</v>
      </c>
      <c r="W95" s="2"/>
      <c r="X95" s="6">
        <f t="shared" si="75"/>
        <v>-1185.43</v>
      </c>
      <c r="Y95" s="2"/>
      <c r="Z95" s="7">
        <f t="shared" si="76"/>
        <v>-0.78870924817032606</v>
      </c>
    </row>
    <row r="96" spans="1:26" s="24" customFormat="1" hidden="1" outlineLevel="2" x14ac:dyDescent="0.25">
      <c r="A96" s="29"/>
      <c r="B96" s="11" t="str">
        <f>CONCATENATE("          ", "6239", " - ", "KITCHEN SUPPLIES")</f>
        <v xml:space="preserve">          6239 - KITCHEN SUPPLIES</v>
      </c>
      <c r="C96" s="11"/>
      <c r="D96" s="6"/>
      <c r="E96" s="2"/>
      <c r="F96" s="7">
        <f t="shared" si="69"/>
        <v>0</v>
      </c>
      <c r="G96" s="2"/>
      <c r="H96" s="6">
        <v>13</v>
      </c>
      <c r="I96" s="2"/>
      <c r="J96" s="7">
        <f t="shared" si="70"/>
        <v>1.8071870438590395E-4</v>
      </c>
      <c r="K96" s="2"/>
      <c r="L96" s="6">
        <f t="shared" si="71"/>
        <v>-13</v>
      </c>
      <c r="M96" s="2"/>
      <c r="N96" s="7">
        <f t="shared" si="72"/>
        <v>-1</v>
      </c>
      <c r="O96" s="11"/>
      <c r="P96" s="6"/>
      <c r="Q96" s="2"/>
      <c r="R96" s="7">
        <f t="shared" si="73"/>
        <v>0</v>
      </c>
      <c r="S96" s="2"/>
      <c r="T96" s="6">
        <v>149</v>
      </c>
      <c r="U96" s="2"/>
      <c r="V96" s="7">
        <f t="shared" si="74"/>
        <v>1.6635591233378365E-3</v>
      </c>
      <c r="W96" s="2"/>
      <c r="X96" s="6">
        <f t="shared" si="75"/>
        <v>-149</v>
      </c>
      <c r="Y96" s="2"/>
      <c r="Z96" s="7">
        <f t="shared" si="76"/>
        <v>-1</v>
      </c>
    </row>
    <row r="97" spans="1:26" s="24" customFormat="1" hidden="1" outlineLevel="2" x14ac:dyDescent="0.25">
      <c r="A97" s="29"/>
      <c r="B97" s="11" t="str">
        <f>CONCATENATE("          ", "6241", " - ", "OFFICE EXPENSE")</f>
        <v xml:space="preserve">          6241 - OFFICE EXPENSE</v>
      </c>
      <c r="C97" s="11"/>
      <c r="D97" s="6">
        <v>99.35</v>
      </c>
      <c r="E97" s="2"/>
      <c r="F97" s="7">
        <f t="shared" si="69"/>
        <v>9.5161741435922202E-3</v>
      </c>
      <c r="G97" s="2"/>
      <c r="H97" s="6">
        <v>308</v>
      </c>
      <c r="I97" s="2"/>
      <c r="J97" s="7">
        <f t="shared" si="70"/>
        <v>4.2816431500660316E-3</v>
      </c>
      <c r="K97" s="2"/>
      <c r="L97" s="6">
        <f t="shared" si="71"/>
        <v>-208.65</v>
      </c>
      <c r="M97" s="2"/>
      <c r="N97" s="7">
        <f t="shared" si="72"/>
        <v>-0.677435064935065</v>
      </c>
      <c r="O97" s="11"/>
      <c r="P97" s="6">
        <v>-29109.78</v>
      </c>
      <c r="Q97" s="2"/>
      <c r="R97" s="7">
        <f t="shared" si="73"/>
        <v>-1.716584001504897</v>
      </c>
      <c r="S97" s="2"/>
      <c r="T97" s="6">
        <v>5142</v>
      </c>
      <c r="U97" s="2"/>
      <c r="V97" s="7">
        <f t="shared" si="74"/>
        <v>5.7409536994652045E-2</v>
      </c>
      <c r="W97" s="2"/>
      <c r="X97" s="6">
        <f t="shared" si="75"/>
        <v>-34251.78</v>
      </c>
      <c r="Y97" s="2"/>
      <c r="Z97" s="7">
        <f t="shared" si="76"/>
        <v>-6.6611785297549586</v>
      </c>
    </row>
    <row r="98" spans="1:26" s="24" customFormat="1" hidden="1" outlineLevel="2" x14ac:dyDescent="0.25">
      <c r="A98" s="29"/>
      <c r="B98" s="11" t="str">
        <f>CONCATENATE("          ", "6243", " - ", "PAPER SUPPLIES")</f>
        <v xml:space="preserve">          6243 - PAPER SUPPLIES</v>
      </c>
      <c r="C98" s="11"/>
      <c r="D98" s="6"/>
      <c r="E98" s="2"/>
      <c r="F98" s="7">
        <f t="shared" si="69"/>
        <v>0</v>
      </c>
      <c r="G98" s="2"/>
      <c r="H98" s="6">
        <v>775</v>
      </c>
      <c r="I98" s="2"/>
      <c r="J98" s="7">
        <f t="shared" si="70"/>
        <v>1.0773615069159657E-2</v>
      </c>
      <c r="K98" s="2"/>
      <c r="L98" s="6">
        <f t="shared" si="71"/>
        <v>-775</v>
      </c>
      <c r="M98" s="2"/>
      <c r="N98" s="7">
        <f t="shared" si="72"/>
        <v>-1</v>
      </c>
      <c r="O98" s="11"/>
      <c r="P98" s="6"/>
      <c r="Q98" s="2"/>
      <c r="R98" s="7">
        <f t="shared" si="73"/>
        <v>0</v>
      </c>
      <c r="S98" s="2"/>
      <c r="T98" s="6">
        <v>1828</v>
      </c>
      <c r="U98" s="2"/>
      <c r="V98" s="7">
        <f t="shared" si="74"/>
        <v>2.0409302533299093E-2</v>
      </c>
      <c r="W98" s="2"/>
      <c r="X98" s="6">
        <f t="shared" si="75"/>
        <v>-1828</v>
      </c>
      <c r="Y98" s="2"/>
      <c r="Z98" s="7">
        <f t="shared" si="76"/>
        <v>-1</v>
      </c>
    </row>
    <row r="99" spans="1:26" s="24" customFormat="1" hidden="1" outlineLevel="2" x14ac:dyDescent="0.25">
      <c r="A99" s="29"/>
      <c r="B99" s="11" t="str">
        <f>CONCATENATE("          ", "6244", " - ", "SAFETY SUPPLY EXPENSE")</f>
        <v xml:space="preserve">          6244 - SAFETY SUPPLY EXPENSE</v>
      </c>
      <c r="C99" s="11"/>
      <c r="D99" s="6"/>
      <c r="E99" s="2"/>
      <c r="F99" s="7">
        <f t="shared" si="69"/>
        <v>0</v>
      </c>
      <c r="G99" s="2"/>
      <c r="H99" s="6">
        <v>0</v>
      </c>
      <c r="I99" s="2"/>
      <c r="J99" s="7">
        <f t="shared" si="70"/>
        <v>0</v>
      </c>
      <c r="K99" s="2"/>
      <c r="L99" s="6">
        <f t="shared" si="71"/>
        <v>0</v>
      </c>
      <c r="M99" s="2"/>
      <c r="N99" s="7">
        <f t="shared" si="72"/>
        <v>0</v>
      </c>
      <c r="O99" s="11"/>
      <c r="P99" s="6"/>
      <c r="Q99" s="2"/>
      <c r="R99" s="7">
        <f t="shared" si="73"/>
        <v>0</v>
      </c>
      <c r="S99" s="2"/>
      <c r="T99" s="6">
        <v>0</v>
      </c>
      <c r="U99" s="2"/>
      <c r="V99" s="7">
        <f t="shared" si="74"/>
        <v>0</v>
      </c>
      <c r="W99" s="2"/>
      <c r="X99" s="6">
        <f t="shared" si="75"/>
        <v>0</v>
      </c>
      <c r="Y99" s="2"/>
      <c r="Z99" s="7">
        <f t="shared" si="76"/>
        <v>0</v>
      </c>
    </row>
    <row r="100" spans="1:26" s="24" customFormat="1" hidden="1" outlineLevel="2" x14ac:dyDescent="0.25">
      <c r="A100" s="29"/>
      <c r="B100" s="11" t="str">
        <f>CONCATENATE("          ", "6245", " - ", "PRINTING")</f>
        <v xml:space="preserve">          6245 - PRINTING</v>
      </c>
      <c r="C100" s="11"/>
      <c r="D100" s="6"/>
      <c r="E100" s="2"/>
      <c r="F100" s="7">
        <f t="shared" si="69"/>
        <v>0</v>
      </c>
      <c r="G100" s="2"/>
      <c r="H100" s="6">
        <v>0</v>
      </c>
      <c r="I100" s="2"/>
      <c r="J100" s="7">
        <f t="shared" si="70"/>
        <v>0</v>
      </c>
      <c r="K100" s="2"/>
      <c r="L100" s="6">
        <f t="shared" si="71"/>
        <v>0</v>
      </c>
      <c r="M100" s="2"/>
      <c r="N100" s="7">
        <f t="shared" si="72"/>
        <v>0</v>
      </c>
      <c r="O100" s="11"/>
      <c r="P100" s="6"/>
      <c r="Q100" s="2"/>
      <c r="R100" s="7">
        <f t="shared" si="73"/>
        <v>0</v>
      </c>
      <c r="S100" s="2"/>
      <c r="T100" s="6">
        <v>0</v>
      </c>
      <c r="U100" s="2"/>
      <c r="V100" s="7">
        <f t="shared" si="74"/>
        <v>0</v>
      </c>
      <c r="W100" s="2"/>
      <c r="X100" s="6">
        <f t="shared" si="75"/>
        <v>0</v>
      </c>
      <c r="Y100" s="2"/>
      <c r="Z100" s="7">
        <f t="shared" si="76"/>
        <v>0</v>
      </c>
    </row>
    <row r="101" spans="1:26" s="24" customFormat="1" hidden="1" outlineLevel="2" x14ac:dyDescent="0.25">
      <c r="A101" s="29"/>
      <c r="B101" s="11" t="str">
        <f>CONCATENATE("          ", "6246", " - ", "REPLACEMENTS")</f>
        <v xml:space="preserve">          6246 - REPLACEMENTS</v>
      </c>
      <c r="C101" s="11"/>
      <c r="D101" s="6"/>
      <c r="E101" s="2"/>
      <c r="F101" s="7">
        <f t="shared" si="69"/>
        <v>0</v>
      </c>
      <c r="G101" s="2"/>
      <c r="H101" s="6">
        <v>0</v>
      </c>
      <c r="I101" s="2"/>
      <c r="J101" s="7">
        <f t="shared" si="70"/>
        <v>0</v>
      </c>
      <c r="K101" s="2"/>
      <c r="L101" s="6">
        <f t="shared" si="71"/>
        <v>0</v>
      </c>
      <c r="M101" s="2"/>
      <c r="N101" s="7">
        <f t="shared" si="72"/>
        <v>0</v>
      </c>
      <c r="O101" s="11"/>
      <c r="P101" s="6"/>
      <c r="Q101" s="2"/>
      <c r="R101" s="7">
        <f t="shared" si="73"/>
        <v>0</v>
      </c>
      <c r="S101" s="2"/>
      <c r="T101" s="6">
        <v>0</v>
      </c>
      <c r="U101" s="2"/>
      <c r="V101" s="7">
        <f t="shared" si="74"/>
        <v>0</v>
      </c>
      <c r="W101" s="2"/>
      <c r="X101" s="6">
        <f t="shared" si="75"/>
        <v>0</v>
      </c>
      <c r="Y101" s="2"/>
      <c r="Z101" s="7">
        <f t="shared" si="76"/>
        <v>0</v>
      </c>
    </row>
    <row r="102" spans="1:26" s="24" customFormat="1" hidden="1" outlineLevel="2" x14ac:dyDescent="0.25">
      <c r="A102" s="29"/>
      <c r="B102" s="11" t="str">
        <f>CONCATENATE("          ", "6247", " - ", "STORE SUPPLIES")</f>
        <v xml:space="preserve">          6247 - STORE SUPPLIES</v>
      </c>
      <c r="C102" s="11"/>
      <c r="D102" s="6"/>
      <c r="E102" s="2"/>
      <c r="F102" s="7">
        <f t="shared" si="69"/>
        <v>0</v>
      </c>
      <c r="G102" s="2"/>
      <c r="H102" s="6">
        <v>6111</v>
      </c>
      <c r="I102" s="2"/>
      <c r="J102" s="7">
        <f t="shared" si="70"/>
        <v>8.4951692500173773E-2</v>
      </c>
      <c r="K102" s="2"/>
      <c r="L102" s="6">
        <f t="shared" si="71"/>
        <v>-6111</v>
      </c>
      <c r="M102" s="2"/>
      <c r="N102" s="7">
        <f t="shared" si="72"/>
        <v>-1</v>
      </c>
      <c r="O102" s="11"/>
      <c r="P102" s="6">
        <v>80.28</v>
      </c>
      <c r="Q102" s="2"/>
      <c r="R102" s="7">
        <f t="shared" si="73"/>
        <v>4.7340572014221037E-3</v>
      </c>
      <c r="S102" s="2"/>
      <c r="T102" s="6">
        <v>8321</v>
      </c>
      <c r="U102" s="2"/>
      <c r="V102" s="7">
        <f t="shared" si="74"/>
        <v>9.2902519901302938E-2</v>
      </c>
      <c r="W102" s="2"/>
      <c r="X102" s="6">
        <f t="shared" si="75"/>
        <v>-8240.7199999999993</v>
      </c>
      <c r="Y102" s="2"/>
      <c r="Z102" s="7">
        <f t="shared" si="76"/>
        <v>-0.99035212113928606</v>
      </c>
    </row>
    <row r="103" spans="1:26" s="24" customFormat="1" hidden="1" outlineLevel="2" x14ac:dyDescent="0.25">
      <c r="A103" s="29"/>
      <c r="B103" s="11" t="str">
        <f>CONCATENATE("          ", "6248", " - ", "UNIFORMS")</f>
        <v xml:space="preserve">          6248 - UNIFORMS</v>
      </c>
      <c r="C103" s="11"/>
      <c r="D103" s="6"/>
      <c r="E103" s="2"/>
      <c r="F103" s="7">
        <f t="shared" si="69"/>
        <v>0</v>
      </c>
      <c r="G103" s="2"/>
      <c r="H103" s="6"/>
      <c r="I103" s="2"/>
      <c r="J103" s="7">
        <f t="shared" si="70"/>
        <v>0</v>
      </c>
      <c r="K103" s="2"/>
      <c r="L103" s="6">
        <f t="shared" si="71"/>
        <v>0</v>
      </c>
      <c r="M103" s="2"/>
      <c r="N103" s="7">
        <f t="shared" si="72"/>
        <v>0</v>
      </c>
      <c r="O103" s="11"/>
      <c r="P103" s="6"/>
      <c r="Q103" s="2"/>
      <c r="R103" s="7">
        <f t="shared" si="73"/>
        <v>0</v>
      </c>
      <c r="S103" s="2"/>
      <c r="T103" s="6">
        <v>100</v>
      </c>
      <c r="U103" s="2"/>
      <c r="V103" s="7">
        <f t="shared" si="74"/>
        <v>1.116482633112642E-3</v>
      </c>
      <c r="W103" s="2"/>
      <c r="X103" s="6">
        <f t="shared" si="75"/>
        <v>-100</v>
      </c>
      <c r="Y103" s="2"/>
      <c r="Z103" s="7">
        <f t="shared" si="76"/>
        <v>-1</v>
      </c>
    </row>
    <row r="104" spans="1:26" s="28" customFormat="1" outlineLevel="1" collapsed="1" x14ac:dyDescent="0.25">
      <c r="A104" s="27"/>
      <c r="B104" s="14" t="str">
        <f>CONCATENATE("     ","Telephone/Data Lines                              ")</f>
        <v xml:space="preserve">     Telephone/Data Lines                              </v>
      </c>
      <c r="C104" s="14"/>
      <c r="D104" s="1">
        <f>SUM(OSRRefD22_18x_0)</f>
        <v>967.5</v>
      </c>
      <c r="E104" s="1"/>
      <c r="F104" s="5">
        <f t="shared" ref="F104:F106" si="77">IF(D$12=0,0,D104/D$12)</f>
        <v>9.2671348605188456E-2</v>
      </c>
      <c r="G104" s="1"/>
      <c r="H104" s="1">
        <f>SUM(OSRRefH22_18x_0)</f>
        <v>685</v>
      </c>
      <c r="I104" s="1"/>
      <c r="J104" s="5">
        <f t="shared" ref="J104:J106" si="78">IF(H$12=0,0,H104/H$12)</f>
        <v>9.5224855772572461E-3</v>
      </c>
      <c r="K104" s="1"/>
      <c r="L104" s="1">
        <f t="shared" ref="L104:L106" si="79">+D104-H104</f>
        <v>282.5</v>
      </c>
      <c r="M104" s="1"/>
      <c r="N104" s="5">
        <f t="shared" ref="N104:N106" si="80">IF(H104=0,0,L104/H104)</f>
        <v>0.41240875912408759</v>
      </c>
      <c r="O104" s="14"/>
      <c r="P104" s="1">
        <f>SUM(OSRRefP22_18x_0)</f>
        <v>4177.6499999999996</v>
      </c>
      <c r="Q104" s="1"/>
      <c r="R104" s="5">
        <f t="shared" ref="R104:R106" si="81">IF(P$12=0,0,P104/P$12)</f>
        <v>0.24635318968013267</v>
      </c>
      <c r="S104" s="1"/>
      <c r="T104" s="1">
        <f>SUM(OSRRefT22_18x_0)</f>
        <v>1894</v>
      </c>
      <c r="U104" s="1"/>
      <c r="V104" s="5">
        <f t="shared" ref="V104:V106" si="82">IF(T$12=0,0,T104/T$12)</f>
        <v>2.1146181071153437E-2</v>
      </c>
      <c r="W104" s="1"/>
      <c r="X104" s="1">
        <f t="shared" ref="X104:X106" si="83">+P104-T104</f>
        <v>2283.6499999999996</v>
      </c>
      <c r="Y104" s="1"/>
      <c r="Z104" s="5">
        <f t="shared" ref="Z104:Z106" si="84">IF(T104=0,0,X104/T104)</f>
        <v>1.205728616684266</v>
      </c>
    </row>
    <row r="105" spans="1:26" s="24" customFormat="1" hidden="1" outlineLevel="2" x14ac:dyDescent="0.25">
      <c r="A105" s="29"/>
      <c r="B105" s="11" t="str">
        <f>CONCATENATE("          ", "6303", " - ", "DATA PHONE LINES")</f>
        <v xml:space="preserve">          6303 - DATA PHONE LINES</v>
      </c>
      <c r="C105" s="11"/>
      <c r="D105" s="6"/>
      <c r="E105" s="2"/>
      <c r="F105" s="7">
        <f t="shared" si="77"/>
        <v>0</v>
      </c>
      <c r="G105" s="2"/>
      <c r="H105" s="6">
        <v>435</v>
      </c>
      <c r="I105" s="2"/>
      <c r="J105" s="7">
        <f t="shared" si="78"/>
        <v>6.0471258775283239E-3</v>
      </c>
      <c r="K105" s="2"/>
      <c r="L105" s="6">
        <f t="shared" si="79"/>
        <v>-435</v>
      </c>
      <c r="M105" s="2"/>
      <c r="N105" s="7">
        <f t="shared" si="80"/>
        <v>-1</v>
      </c>
      <c r="O105" s="11"/>
      <c r="P105" s="6"/>
      <c r="Q105" s="2"/>
      <c r="R105" s="7">
        <f t="shared" si="81"/>
        <v>0</v>
      </c>
      <c r="S105" s="2"/>
      <c r="T105" s="6">
        <v>1144</v>
      </c>
      <c r="U105" s="2"/>
      <c r="V105" s="7">
        <f t="shared" si="82"/>
        <v>1.2772561322808624E-2</v>
      </c>
      <c r="W105" s="2"/>
      <c r="X105" s="6">
        <f t="shared" si="83"/>
        <v>-1144</v>
      </c>
      <c r="Y105" s="2"/>
      <c r="Z105" s="7">
        <f t="shared" si="84"/>
        <v>-1</v>
      </c>
    </row>
    <row r="106" spans="1:26" s="24" customFormat="1" hidden="1" outlineLevel="2" x14ac:dyDescent="0.25">
      <c r="A106" s="29"/>
      <c r="B106" s="11" t="str">
        <f>CONCATENATE("          ", "6309", " - ", "TELEPHONE")</f>
        <v xml:space="preserve">          6309 - TELEPHONE</v>
      </c>
      <c r="C106" s="11"/>
      <c r="D106" s="6">
        <v>967.5</v>
      </c>
      <c r="E106" s="2"/>
      <c r="F106" s="7">
        <f t="shared" si="77"/>
        <v>9.2671348605188456E-2</v>
      </c>
      <c r="G106" s="2"/>
      <c r="H106" s="6">
        <v>250</v>
      </c>
      <c r="I106" s="2"/>
      <c r="J106" s="7">
        <f t="shared" si="78"/>
        <v>3.4753596997289219E-3</v>
      </c>
      <c r="K106" s="2"/>
      <c r="L106" s="6">
        <f t="shared" si="79"/>
        <v>717.5</v>
      </c>
      <c r="M106" s="2"/>
      <c r="N106" s="7">
        <f t="shared" si="80"/>
        <v>2.87</v>
      </c>
      <c r="O106" s="11"/>
      <c r="P106" s="6">
        <v>4177.6499999999996</v>
      </c>
      <c r="Q106" s="2"/>
      <c r="R106" s="7">
        <f t="shared" si="81"/>
        <v>0.24635318968013267</v>
      </c>
      <c r="S106" s="2"/>
      <c r="T106" s="6">
        <v>750</v>
      </c>
      <c r="U106" s="2"/>
      <c r="V106" s="7">
        <f t="shared" si="82"/>
        <v>8.3736197483448137E-3</v>
      </c>
      <c r="W106" s="2"/>
      <c r="X106" s="6">
        <f t="shared" si="83"/>
        <v>3427.6499999999996</v>
      </c>
      <c r="Y106" s="2"/>
      <c r="Z106" s="7">
        <f t="shared" si="84"/>
        <v>4.5701999999999998</v>
      </c>
    </row>
    <row r="107" spans="1:26" s="28" customFormat="1" outlineLevel="1" collapsed="1" x14ac:dyDescent="0.25">
      <c r="A107" s="27"/>
      <c r="B107" s="14" t="str">
        <f>CONCATENATE("     ","Training                                          ")</f>
        <v xml:space="preserve">     Training                                          </v>
      </c>
      <c r="C107" s="14"/>
      <c r="D107" s="1">
        <f>SUM(OSRRefD22_19x_0)</f>
        <v>0</v>
      </c>
      <c r="E107" s="1"/>
      <c r="F107" s="5">
        <f t="shared" ref="F107:F111" si="85">IF(D$12=0,0,D107/D$12)</f>
        <v>0</v>
      </c>
      <c r="G107" s="1"/>
      <c r="H107" s="1">
        <f>SUM(OSRRefH22_19x_0)</f>
        <v>0</v>
      </c>
      <c r="I107" s="1"/>
      <c r="J107" s="5">
        <f t="shared" ref="J107:J111" si="86">IF(H$12=0,0,H107/H$12)</f>
        <v>0</v>
      </c>
      <c r="K107" s="1"/>
      <c r="L107" s="1">
        <f t="shared" ref="L107:L111" si="87">+D107-H107</f>
        <v>0</v>
      </c>
      <c r="M107" s="1"/>
      <c r="N107" s="5">
        <f t="shared" ref="N107:N111" si="88">IF(H107=0,0,L107/H107)</f>
        <v>0</v>
      </c>
      <c r="O107" s="14"/>
      <c r="P107" s="1">
        <f>SUM(OSRRefP22_19x_0)</f>
        <v>0</v>
      </c>
      <c r="Q107" s="1"/>
      <c r="R107" s="5">
        <f t="shared" ref="R107:R111" si="89">IF(P$12=0,0,P107/P$12)</f>
        <v>0</v>
      </c>
      <c r="S107" s="1"/>
      <c r="T107" s="1">
        <f>SUM(OSRRefT22_19x_0)</f>
        <v>120</v>
      </c>
      <c r="U107" s="1"/>
      <c r="V107" s="5">
        <f t="shared" ref="V107:V111" si="90">IF(T$12=0,0,T107/T$12)</f>
        <v>1.3397791597351703E-3</v>
      </c>
      <c r="W107" s="1"/>
      <c r="X107" s="1">
        <f t="shared" ref="X107:X111" si="91">+P107-T107</f>
        <v>-120</v>
      </c>
      <c r="Y107" s="1"/>
      <c r="Z107" s="5">
        <f t="shared" ref="Z107:Z111" si="92">IF(T107=0,0,X107/T107)</f>
        <v>-1</v>
      </c>
    </row>
    <row r="108" spans="1:26" s="24" customFormat="1" hidden="1" outlineLevel="2" x14ac:dyDescent="0.25">
      <c r="A108" s="29"/>
      <c r="B108" s="11" t="str">
        <f>CONCATENATE("          ", "6376", " - ", "TRAINING")</f>
        <v xml:space="preserve">          6376 - TRAINING</v>
      </c>
      <c r="C108" s="11"/>
      <c r="D108" s="6"/>
      <c r="E108" s="2"/>
      <c r="F108" s="7">
        <f t="shared" si="85"/>
        <v>0</v>
      </c>
      <c r="G108" s="2"/>
      <c r="H108" s="6">
        <v>0</v>
      </c>
      <c r="I108" s="2"/>
      <c r="J108" s="7">
        <f t="shared" si="86"/>
        <v>0</v>
      </c>
      <c r="K108" s="2"/>
      <c r="L108" s="6">
        <f t="shared" si="87"/>
        <v>0</v>
      </c>
      <c r="M108" s="2"/>
      <c r="N108" s="7">
        <f t="shared" si="88"/>
        <v>0</v>
      </c>
      <c r="O108" s="11"/>
      <c r="P108" s="6"/>
      <c r="Q108" s="2"/>
      <c r="R108" s="7">
        <f t="shared" si="89"/>
        <v>0</v>
      </c>
      <c r="S108" s="2"/>
      <c r="T108" s="6">
        <v>120</v>
      </c>
      <c r="U108" s="2"/>
      <c r="V108" s="7">
        <f t="shared" si="90"/>
        <v>1.3397791597351703E-3</v>
      </c>
      <c r="W108" s="2"/>
      <c r="X108" s="6">
        <f t="shared" si="91"/>
        <v>-120</v>
      </c>
      <c r="Y108" s="2"/>
      <c r="Z108" s="7">
        <f t="shared" si="92"/>
        <v>-1</v>
      </c>
    </row>
    <row r="109" spans="1:26" s="28" customFormat="1" outlineLevel="1" collapsed="1" x14ac:dyDescent="0.25">
      <c r="A109" s="27"/>
      <c r="B109" s="14" t="str">
        <f>CONCATENATE("     ","Travel                                            ")</f>
        <v xml:space="preserve">     Travel                                            </v>
      </c>
      <c r="C109" s="14"/>
      <c r="D109" s="1">
        <f>SUM(OSRRefD22_20x_0)</f>
        <v>152.52000000000001</v>
      </c>
      <c r="E109" s="1"/>
      <c r="F109" s="5">
        <f t="shared" si="85"/>
        <v>1.4609027482442733E-2</v>
      </c>
      <c r="G109" s="1"/>
      <c r="H109" s="1">
        <f>SUM(OSRRefH22_20x_0)</f>
        <v>0</v>
      </c>
      <c r="I109" s="1"/>
      <c r="J109" s="5">
        <f t="shared" si="86"/>
        <v>0</v>
      </c>
      <c r="K109" s="1"/>
      <c r="L109" s="1">
        <f t="shared" si="87"/>
        <v>152.52000000000001</v>
      </c>
      <c r="M109" s="1"/>
      <c r="N109" s="5">
        <f t="shared" si="88"/>
        <v>0</v>
      </c>
      <c r="O109" s="14"/>
      <c r="P109" s="1">
        <f>SUM(OSRRefP22_20x_0)</f>
        <v>332.21</v>
      </c>
      <c r="Q109" s="1"/>
      <c r="R109" s="5">
        <f t="shared" si="89"/>
        <v>1.9590198590987009E-2</v>
      </c>
      <c r="S109" s="1"/>
      <c r="T109" s="1">
        <f>SUM(OSRRefT22_20x_0)</f>
        <v>0</v>
      </c>
      <c r="U109" s="1"/>
      <c r="V109" s="5">
        <f t="shared" si="90"/>
        <v>0</v>
      </c>
      <c r="W109" s="1"/>
      <c r="X109" s="1">
        <f t="shared" si="91"/>
        <v>332.21</v>
      </c>
      <c r="Y109" s="1"/>
      <c r="Z109" s="5">
        <f t="shared" si="92"/>
        <v>0</v>
      </c>
    </row>
    <row r="110" spans="1:26" s="24" customFormat="1" hidden="1" outlineLevel="2" x14ac:dyDescent="0.25">
      <c r="A110" s="29"/>
      <c r="B110" s="11" t="str">
        <f>CONCATENATE("          ", "6292", " - ", "TRAVEL/CONFERENCE")</f>
        <v xml:space="preserve">          6292 - TRAVEL/CONFERENCE</v>
      </c>
      <c r="C110" s="11"/>
      <c r="D110" s="6"/>
      <c r="E110" s="2"/>
      <c r="F110" s="7">
        <f t="shared" si="85"/>
        <v>0</v>
      </c>
      <c r="G110" s="2"/>
      <c r="H110" s="6">
        <v>0</v>
      </c>
      <c r="I110" s="2"/>
      <c r="J110" s="7">
        <f t="shared" si="86"/>
        <v>0</v>
      </c>
      <c r="K110" s="2"/>
      <c r="L110" s="6">
        <f t="shared" si="87"/>
        <v>0</v>
      </c>
      <c r="M110" s="2"/>
      <c r="N110" s="7">
        <f t="shared" si="88"/>
        <v>0</v>
      </c>
      <c r="O110" s="11"/>
      <c r="P110" s="6"/>
      <c r="Q110" s="2"/>
      <c r="R110" s="7">
        <f t="shared" si="89"/>
        <v>0</v>
      </c>
      <c r="S110" s="2"/>
      <c r="T110" s="6">
        <v>0</v>
      </c>
      <c r="U110" s="2"/>
      <c r="V110" s="7">
        <f t="shared" si="90"/>
        <v>0</v>
      </c>
      <c r="W110" s="2"/>
      <c r="X110" s="6">
        <f t="shared" si="91"/>
        <v>0</v>
      </c>
      <c r="Y110" s="2"/>
      <c r="Z110" s="7">
        <f t="shared" si="92"/>
        <v>0</v>
      </c>
    </row>
    <row r="111" spans="1:26" s="24" customFormat="1" hidden="1" outlineLevel="2" x14ac:dyDescent="0.25">
      <c r="A111" s="29"/>
      <c r="B111" s="11" t="str">
        <f>CONCATENATE("          ", "6298", " - ", "VEHICLE MILEAGE")</f>
        <v xml:space="preserve">          6298 - VEHICLE MILEAGE</v>
      </c>
      <c r="C111" s="11"/>
      <c r="D111" s="6">
        <v>152.52000000000001</v>
      </c>
      <c r="E111" s="2"/>
      <c r="F111" s="7">
        <f t="shared" si="85"/>
        <v>1.4609027482442733E-2</v>
      </c>
      <c r="G111" s="2"/>
      <c r="H111" s="6"/>
      <c r="I111" s="2"/>
      <c r="J111" s="7">
        <f t="shared" si="86"/>
        <v>0</v>
      </c>
      <c r="K111" s="2"/>
      <c r="L111" s="6">
        <f t="shared" si="87"/>
        <v>152.52000000000001</v>
      </c>
      <c r="M111" s="2"/>
      <c r="N111" s="7">
        <f t="shared" si="88"/>
        <v>0</v>
      </c>
      <c r="O111" s="11"/>
      <c r="P111" s="6">
        <v>332.21</v>
      </c>
      <c r="Q111" s="2"/>
      <c r="R111" s="7">
        <f t="shared" si="89"/>
        <v>1.9590198590987009E-2</v>
      </c>
      <c r="S111" s="2"/>
      <c r="T111" s="6"/>
      <c r="U111" s="2"/>
      <c r="V111" s="7">
        <f t="shared" si="90"/>
        <v>0</v>
      </c>
      <c r="W111" s="2"/>
      <c r="X111" s="6">
        <f t="shared" si="91"/>
        <v>332.21</v>
      </c>
      <c r="Y111" s="2"/>
      <c r="Z111" s="7">
        <f t="shared" si="92"/>
        <v>0</v>
      </c>
    </row>
    <row r="112" spans="1:26" s="28" customFormat="1" outlineLevel="1" collapsed="1" x14ac:dyDescent="0.25">
      <c r="A112" s="27"/>
      <c r="B112" s="14" t="str">
        <f>CONCATENATE("     ","Utilities                                         ")</f>
        <v xml:space="preserve">     Utilities                                         </v>
      </c>
      <c r="C112" s="14"/>
      <c r="D112" s="1">
        <f>SUM(OSRRefD22_21x_0)</f>
        <v>2350</v>
      </c>
      <c r="E112" s="1"/>
      <c r="F112" s="5">
        <f t="shared" ref="F112:F113" si="93">IF(D$12=0,0,D112/D$12)</f>
        <v>0.22509319816247325</v>
      </c>
      <c r="G112" s="1"/>
      <c r="H112" s="1">
        <f>SUM(OSRRefH22_21x_0)</f>
        <v>4121</v>
      </c>
      <c r="I112" s="1"/>
      <c r="J112" s="5">
        <f t="shared" ref="J112:J113" si="94">IF(H$12=0,0,H112/H$12)</f>
        <v>5.7287829290331549E-2</v>
      </c>
      <c r="K112" s="1"/>
      <c r="L112" s="1">
        <f t="shared" ref="L112:L113" si="95">+D112-H112</f>
        <v>-1771</v>
      </c>
      <c r="M112" s="1"/>
      <c r="N112" s="5">
        <f t="shared" ref="N112:N113" si="96">IF(H112=0,0,L112/H112)</f>
        <v>-0.42975006066488719</v>
      </c>
      <c r="O112" s="14"/>
      <c r="P112" s="1">
        <f>SUM(OSRRefP22_21x_0)</f>
        <v>7050</v>
      </c>
      <c r="Q112" s="1"/>
      <c r="R112" s="5">
        <f t="shared" ref="R112:R113" si="97">IF(P$12=0,0,P112/P$12)</f>
        <v>0.41573372284536414</v>
      </c>
      <c r="S112" s="1"/>
      <c r="T112" s="1">
        <f>SUM(OSRRefT22_21x_0)</f>
        <v>11592</v>
      </c>
      <c r="U112" s="1"/>
      <c r="V112" s="5">
        <f t="shared" ref="V112:V113" si="98">IF(T$12=0,0,T112/T$12)</f>
        <v>0.12942266683041745</v>
      </c>
      <c r="W112" s="1"/>
      <c r="X112" s="1">
        <f t="shared" ref="X112:X113" si="99">+P112-T112</f>
        <v>-4542</v>
      </c>
      <c r="Y112" s="1"/>
      <c r="Z112" s="5">
        <f t="shared" ref="Z112:Z113" si="100">IF(T112=0,0,X112/T112)</f>
        <v>-0.39182194616977228</v>
      </c>
    </row>
    <row r="113" spans="1:26" s="24" customFormat="1" hidden="1" outlineLevel="2" x14ac:dyDescent="0.25">
      <c r="A113" s="29"/>
      <c r="B113" s="11" t="str">
        <f>CONCATENATE("          ", "6274", " - ", "UTILITIES")</f>
        <v xml:space="preserve">          6274 - UTILITIES</v>
      </c>
      <c r="C113" s="11"/>
      <c r="D113" s="6">
        <v>2350</v>
      </c>
      <c r="E113" s="2"/>
      <c r="F113" s="7">
        <f t="shared" si="93"/>
        <v>0.22509319816247325</v>
      </c>
      <c r="G113" s="2"/>
      <c r="H113" s="6">
        <v>4121</v>
      </c>
      <c r="I113" s="2"/>
      <c r="J113" s="7">
        <f t="shared" si="94"/>
        <v>5.7287829290331549E-2</v>
      </c>
      <c r="K113" s="2"/>
      <c r="L113" s="6">
        <f t="shared" si="95"/>
        <v>-1771</v>
      </c>
      <c r="M113" s="2"/>
      <c r="N113" s="7">
        <f t="shared" si="96"/>
        <v>-0.42975006066488719</v>
      </c>
      <c r="O113" s="11"/>
      <c r="P113" s="6">
        <v>7050</v>
      </c>
      <c r="Q113" s="2"/>
      <c r="R113" s="7">
        <f t="shared" si="97"/>
        <v>0.41573372284536414</v>
      </c>
      <c r="S113" s="2"/>
      <c r="T113" s="6">
        <v>11592</v>
      </c>
      <c r="U113" s="2"/>
      <c r="V113" s="7">
        <f t="shared" si="98"/>
        <v>0.12942266683041745</v>
      </c>
      <c r="W113" s="2"/>
      <c r="X113" s="6">
        <f t="shared" si="99"/>
        <v>-4542</v>
      </c>
      <c r="Y113" s="2"/>
      <c r="Z113" s="7">
        <f t="shared" si="100"/>
        <v>-0.39182194616977228</v>
      </c>
    </row>
    <row r="114" spans="1:26" s="61" customFormat="1" x14ac:dyDescent="0.25">
      <c r="A114" s="36"/>
      <c r="B114" s="36"/>
      <c r="C114" s="36"/>
      <c r="D114" s="1"/>
      <c r="E114" s="1"/>
      <c r="F114" s="5"/>
      <c r="G114" s="1"/>
      <c r="H114" s="1"/>
      <c r="I114" s="1"/>
      <c r="J114" s="5"/>
      <c r="K114" s="1"/>
      <c r="L114" s="1"/>
      <c r="M114" s="1"/>
      <c r="N114" s="5"/>
      <c r="O114" s="36"/>
      <c r="P114" s="1"/>
      <c r="Q114" s="1"/>
      <c r="R114" s="5"/>
      <c r="S114" s="1"/>
      <c r="T114" s="1"/>
      <c r="U114" s="1"/>
      <c r="V114" s="5"/>
      <c r="W114" s="1"/>
      <c r="X114" s="1"/>
      <c r="Y114" s="1"/>
      <c r="Z114" s="5"/>
    </row>
    <row r="115" spans="1:26" s="23" customFormat="1" collapsed="1" x14ac:dyDescent="0.25">
      <c r="A115" s="10"/>
      <c r="B115" s="25" t="s">
        <v>0</v>
      </c>
      <c r="C115" s="10"/>
      <c r="D115" s="4">
        <f>SUM(OSRRefD25x_0)</f>
        <v>805.53</v>
      </c>
      <c r="E115" s="4"/>
      <c r="F115" s="12">
        <f t="shared" ref="F115:F119" si="101">IF(D$12=0,0,D115/D$12)</f>
        <v>7.7157159113113646E-2</v>
      </c>
      <c r="G115" s="4"/>
      <c r="H115" s="4">
        <f>SUM(OSRRefH25x_0)</f>
        <v>4235</v>
      </c>
      <c r="I115" s="4"/>
      <c r="J115" s="12">
        <f t="shared" ref="J115:J119" si="102">IF(H$12=0,0,H115/H$12)</f>
        <v>5.8872593313407939E-2</v>
      </c>
      <c r="K115" s="4"/>
      <c r="L115" s="4">
        <f t="shared" ref="L115:L119" si="103">+D115-H115</f>
        <v>-3429.4700000000003</v>
      </c>
      <c r="M115" s="4"/>
      <c r="N115" s="12">
        <f t="shared" ref="N115:N119" si="104">IF(H115=0,0,L115/H115)</f>
        <v>-0.80979220779220784</v>
      </c>
      <c r="O115" s="10"/>
      <c r="P115" s="4">
        <f>SUM(OSRRefP25x_0)</f>
        <v>3619.9199999999996</v>
      </c>
      <c r="Q115" s="4"/>
      <c r="R115" s="12">
        <f t="shared" ref="R115:R119" si="105">IF(P$12=0,0,P115/P$12)</f>
        <v>0.21346422950388516</v>
      </c>
      <c r="S115" s="4"/>
      <c r="T115" s="4">
        <f>SUM(OSRRefT25x_0)</f>
        <v>4235</v>
      </c>
      <c r="U115" s="4"/>
      <c r="V115" s="12">
        <f t="shared" ref="V115:V119" si="106">IF(T$12=0,0,T115/T$12)</f>
        <v>4.7283039512320386E-2</v>
      </c>
      <c r="W115" s="4"/>
      <c r="X115" s="4">
        <f t="shared" ref="X115:X119" si="107">+P115-T115</f>
        <v>-615.08000000000038</v>
      </c>
      <c r="Y115" s="4"/>
      <c r="Z115" s="12">
        <f t="shared" ref="Z115:Z119" si="108">IF(T115=0,0,X115/T115)</f>
        <v>-0.14523730814639915</v>
      </c>
    </row>
    <row r="116" spans="1:26" s="24" customFormat="1" hidden="1" outlineLevel="1" x14ac:dyDescent="0.25">
      <c r="A116" s="51"/>
      <c r="B116" s="11" t="str">
        <f>CONCATENATE("          ", "9150", " - ", "MISC. INCOME")</f>
        <v xml:space="preserve">          9150 - MISC. INCOME</v>
      </c>
      <c r="C116" s="11"/>
      <c r="D116" s="2">
        <f>--180.85</f>
        <v>180.85</v>
      </c>
      <c r="E116" s="2"/>
      <c r="F116" s="22">
        <f t="shared" si="101"/>
        <v>1.7322597824546079E-2</v>
      </c>
      <c r="G116" s="2"/>
      <c r="H116" s="2">
        <v>2036</v>
      </c>
      <c r="I116" s="2"/>
      <c r="J116" s="22">
        <f t="shared" si="102"/>
        <v>2.830332939459234E-2</v>
      </c>
      <c r="K116" s="2"/>
      <c r="L116" s="2">
        <f t="shared" si="103"/>
        <v>-1855.15</v>
      </c>
      <c r="M116" s="2"/>
      <c r="N116" s="22">
        <f t="shared" si="104"/>
        <v>-0.91117387033398822</v>
      </c>
      <c r="O116" s="11"/>
      <c r="P116" s="2">
        <f>--804.68</f>
        <v>804.68</v>
      </c>
      <c r="Q116" s="2"/>
      <c r="R116" s="22">
        <f t="shared" si="105"/>
        <v>4.7451434340313133E-2</v>
      </c>
      <c r="S116" s="2"/>
      <c r="T116" s="2">
        <v>2036</v>
      </c>
      <c r="U116" s="2"/>
      <c r="V116" s="22">
        <f t="shared" si="106"/>
        <v>2.273158641017339E-2</v>
      </c>
      <c r="W116" s="2"/>
      <c r="X116" s="2">
        <f t="shared" si="107"/>
        <v>-1231.3200000000002</v>
      </c>
      <c r="Y116" s="2"/>
      <c r="Z116" s="22">
        <f t="shared" si="108"/>
        <v>-0.60477406679764256</v>
      </c>
    </row>
    <row r="117" spans="1:26" s="24" customFormat="1" hidden="1" outlineLevel="1" x14ac:dyDescent="0.25">
      <c r="A117" s="51"/>
      <c r="B117" s="11" t="str">
        <f>CONCATENATE("          ", "9151", " - ", "MISC. INCOME")</f>
        <v xml:space="preserve">          9151 - MISC. INCOME</v>
      </c>
      <c r="C117" s="11"/>
      <c r="D117" s="2">
        <f t="shared" ref="D117:D118" si="109">0</f>
        <v>0</v>
      </c>
      <c r="E117" s="2"/>
      <c r="F117" s="22">
        <f t="shared" si="101"/>
        <v>0</v>
      </c>
      <c r="G117" s="2"/>
      <c r="H117" s="2">
        <v>2199</v>
      </c>
      <c r="I117" s="2"/>
      <c r="J117" s="22">
        <f t="shared" si="102"/>
        <v>3.0569263918815596E-2</v>
      </c>
      <c r="K117" s="2"/>
      <c r="L117" s="2">
        <f t="shared" si="103"/>
        <v>-2199</v>
      </c>
      <c r="M117" s="2"/>
      <c r="N117" s="22">
        <f t="shared" si="104"/>
        <v>-1</v>
      </c>
      <c r="O117" s="11"/>
      <c r="P117" s="2">
        <f>0</f>
        <v>0</v>
      </c>
      <c r="Q117" s="2"/>
      <c r="R117" s="22">
        <f t="shared" si="105"/>
        <v>0</v>
      </c>
      <c r="S117" s="2"/>
      <c r="T117" s="2">
        <v>2199</v>
      </c>
      <c r="U117" s="2"/>
      <c r="V117" s="22">
        <f t="shared" si="106"/>
        <v>2.4551453102146997E-2</v>
      </c>
      <c r="W117" s="2"/>
      <c r="X117" s="2">
        <f t="shared" si="107"/>
        <v>-2199</v>
      </c>
      <c r="Y117" s="2"/>
      <c r="Z117" s="22">
        <f t="shared" si="108"/>
        <v>-1</v>
      </c>
    </row>
    <row r="118" spans="1:26" s="24" customFormat="1" hidden="1" outlineLevel="1" x14ac:dyDescent="0.25">
      <c r="A118" s="51"/>
      <c r="B118" s="11" t="str">
        <f>CONCATENATE("          ", "9160", " - ", "MISC. INCOME")</f>
        <v xml:space="preserve">          9160 - MISC. INCOME</v>
      </c>
      <c r="C118" s="11"/>
      <c r="D118" s="2">
        <f t="shared" si="109"/>
        <v>0</v>
      </c>
      <c r="E118" s="2"/>
      <c r="F118" s="22">
        <f t="shared" si="101"/>
        <v>0</v>
      </c>
      <c r="G118" s="2"/>
      <c r="H118" s="2"/>
      <c r="I118" s="2"/>
      <c r="J118" s="22">
        <f t="shared" si="102"/>
        <v>0</v>
      </c>
      <c r="K118" s="2"/>
      <c r="L118" s="2">
        <f t="shared" si="103"/>
        <v>0</v>
      </c>
      <c r="M118" s="2"/>
      <c r="N118" s="22">
        <f t="shared" si="104"/>
        <v>0</v>
      </c>
      <c r="O118" s="11"/>
      <c r="P118" s="2">
        <f>--1990.06</f>
        <v>1990.06</v>
      </c>
      <c r="Q118" s="2"/>
      <c r="R118" s="22">
        <f t="shared" si="105"/>
        <v>0.11735248971427593</v>
      </c>
      <c r="S118" s="2"/>
      <c r="T118" s="2"/>
      <c r="U118" s="2"/>
      <c r="V118" s="22">
        <f t="shared" si="106"/>
        <v>0</v>
      </c>
      <c r="W118" s="2"/>
      <c r="X118" s="2">
        <f t="shared" si="107"/>
        <v>1990.06</v>
      </c>
      <c r="Y118" s="2"/>
      <c r="Z118" s="22">
        <f t="shared" si="108"/>
        <v>0</v>
      </c>
    </row>
    <row r="119" spans="1:26" s="24" customFormat="1" hidden="1" outlineLevel="1" x14ac:dyDescent="0.25">
      <c r="A119" s="51"/>
      <c r="B119" s="11" t="str">
        <f>CONCATENATE("          ", "9165", " - ", "OTHER INCOME")</f>
        <v xml:space="preserve">          9165 - OTHER INCOME</v>
      </c>
      <c r="C119" s="11"/>
      <c r="D119" s="2">
        <f>--624.68</f>
        <v>624.67999999999995</v>
      </c>
      <c r="E119" s="2"/>
      <c r="F119" s="22">
        <f t="shared" si="101"/>
        <v>5.9834561288567567E-2</v>
      </c>
      <c r="G119" s="2"/>
      <c r="H119" s="2"/>
      <c r="I119" s="2"/>
      <c r="J119" s="22">
        <f t="shared" si="102"/>
        <v>0</v>
      </c>
      <c r="K119" s="2"/>
      <c r="L119" s="2">
        <f t="shared" si="103"/>
        <v>624.67999999999995</v>
      </c>
      <c r="M119" s="2"/>
      <c r="N119" s="22">
        <f t="shared" si="104"/>
        <v>0</v>
      </c>
      <c r="O119" s="11"/>
      <c r="P119" s="2">
        <f>--825.18</f>
        <v>825.18</v>
      </c>
      <c r="Q119" s="2"/>
      <c r="R119" s="22">
        <f t="shared" si="105"/>
        <v>4.8660305449296108E-2</v>
      </c>
      <c r="S119" s="2"/>
      <c r="T119" s="2"/>
      <c r="U119" s="2"/>
      <c r="V119" s="22">
        <f t="shared" si="106"/>
        <v>0</v>
      </c>
      <c r="W119" s="2"/>
      <c r="X119" s="2">
        <f t="shared" si="107"/>
        <v>825.18</v>
      </c>
      <c r="Y119" s="2"/>
      <c r="Z119" s="22">
        <f t="shared" si="108"/>
        <v>0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x14ac:dyDescent="0.25">
      <c r="A121" s="10"/>
      <c r="B121" s="26" t="s">
        <v>3</v>
      </c>
      <c r="C121" s="26"/>
      <c r="D121" s="20">
        <f>+D27-D29+D115</f>
        <v>-140585.01</v>
      </c>
      <c r="E121" s="13"/>
      <c r="F121" s="21">
        <f>IF(D$12=0,0,D121/D$12)</f>
        <v>-13.465842346639697</v>
      </c>
      <c r="G121" s="13"/>
      <c r="H121" s="20">
        <f>+H27-H29+H115</f>
        <v>-114122.3484732795</v>
      </c>
      <c r="I121" s="13"/>
      <c r="J121" s="21">
        <f>IF(H$12=0,0,H121/H$12)</f>
        <v>-1.5864648428898243</v>
      </c>
      <c r="K121" s="16"/>
      <c r="L121" s="20">
        <f>+D121-H121</f>
        <v>-26462.661526720505</v>
      </c>
      <c r="M121" s="16"/>
      <c r="N121" s="21">
        <f>IF(H121=0,0,L121/H121)</f>
        <v>0.23187974906524508</v>
      </c>
      <c r="O121" s="25"/>
      <c r="P121" s="20">
        <f>+P27-P29+P115</f>
        <v>-410444.52000000008</v>
      </c>
      <c r="Q121" s="13"/>
      <c r="R121" s="21">
        <f>IF(P$12=0,0,P121/P$12)</f>
        <v>-24.203635222848021</v>
      </c>
      <c r="S121" s="13"/>
      <c r="T121" s="20">
        <f>+T27-T29+T115</f>
        <v>-402615.81810234999</v>
      </c>
      <c r="U121" s="13"/>
      <c r="V121" s="21">
        <f>IF(T$12=0,0,T121/T$12)</f>
        <v>-4.4951356872771218</v>
      </c>
      <c r="W121" s="16"/>
      <c r="X121" s="20">
        <f>+P121-T121</f>
        <v>-7828.701897650084</v>
      </c>
      <c r="Y121" s="16"/>
      <c r="Z121" s="21">
        <f>IF(T121=0,0,X121/T121)</f>
        <v>1.9444595929064886E-2</v>
      </c>
    </row>
    <row r="122" spans="1:26" x14ac:dyDescent="0.25">
      <c r="A122" s="9"/>
      <c r="B122" s="10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52"/>
      <c r="B123" s="10" t="s">
        <v>14</v>
      </c>
      <c r="C123" s="10"/>
      <c r="D123" s="4">
        <v>2041.11</v>
      </c>
      <c r="E123" s="4"/>
      <c r="F123" s="12">
        <f>IF(D$12=0,0,D123/D$12)</f>
        <v>0.19550637348995989</v>
      </c>
      <c r="G123" s="4"/>
      <c r="H123" s="4">
        <v>10069</v>
      </c>
      <c r="I123" s="4"/>
      <c r="J123" s="12">
        <f>IF(H$12=0,0,H123/H$12)</f>
        <v>0.13997358726628206</v>
      </c>
      <c r="K123" s="4"/>
      <c r="L123" s="4">
        <f>+D123-H123</f>
        <v>-8027.89</v>
      </c>
      <c r="M123" s="4"/>
      <c r="N123" s="12">
        <f>IF(H123=0,0,L123/H123)</f>
        <v>-0.79728771476810012</v>
      </c>
      <c r="O123" s="10"/>
      <c r="P123" s="4">
        <v>3141.56</v>
      </c>
      <c r="Q123" s="4"/>
      <c r="R123" s="12">
        <f>IF(P$12=0,0,P123/P$12)</f>
        <v>0.18525566444568539</v>
      </c>
      <c r="S123" s="4"/>
      <c r="T123" s="4">
        <v>12949</v>
      </c>
      <c r="U123" s="4"/>
      <c r="V123" s="12">
        <f>IF(T$12=0,0,T123/T$12)</f>
        <v>0.14457333616175599</v>
      </c>
      <c r="W123" s="4"/>
      <c r="X123" s="4">
        <f>+P123-T123</f>
        <v>-9807.44</v>
      </c>
      <c r="Y123" s="4"/>
      <c r="Z123" s="12">
        <f>IF(T123=0,0,X123/T123)</f>
        <v>-0.75738975982701373</v>
      </c>
    </row>
    <row r="124" spans="1:26" x14ac:dyDescent="0.25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6" t="s">
        <v>4</v>
      </c>
      <c r="C125" s="26"/>
      <c r="D125" s="33">
        <f>+D121-D123</f>
        <v>-142626.12</v>
      </c>
      <c r="E125" s="13"/>
      <c r="F125" s="34">
        <f>IF(D$12=0,0,D125/D$12)</f>
        <v>-13.661348720129654</v>
      </c>
      <c r="G125" s="13"/>
      <c r="H125" s="33">
        <f>+H121-H123</f>
        <v>-124191.3484732795</v>
      </c>
      <c r="I125" s="13"/>
      <c r="J125" s="34">
        <f>IF(H$12=0,0,H125/H$12)</f>
        <v>-1.7264384301561062</v>
      </c>
      <c r="K125" s="16"/>
      <c r="L125" s="33">
        <f>D125-H125</f>
        <v>-18434.771526720491</v>
      </c>
      <c r="M125" s="16"/>
      <c r="N125" s="34">
        <f>IF(H125=0,0,L125/H125)</f>
        <v>0.14843845206082806</v>
      </c>
      <c r="O125" s="25"/>
      <c r="P125" s="33">
        <f>+P121-P123</f>
        <v>-413586.08000000007</v>
      </c>
      <c r="Q125" s="13"/>
      <c r="R125" s="34">
        <f>IF(P$12=0,0,P125/P$12)</f>
        <v>-24.388890887293705</v>
      </c>
      <c r="S125" s="13"/>
      <c r="T125" s="33">
        <f>+T121-T123</f>
        <v>-415564.81810234999</v>
      </c>
      <c r="U125" s="13"/>
      <c r="V125" s="34">
        <f>IF(T$12=0,0,T125/T$12)</f>
        <v>-4.6397090234388783</v>
      </c>
      <c r="W125" s="16"/>
      <c r="X125" s="33">
        <f>P125-T125</f>
        <v>1978.7381023499183</v>
      </c>
      <c r="Y125" s="16"/>
      <c r="Z125" s="34">
        <f>IF(T125=0,0,X125/T125)</f>
        <v>-4.7615630971497985E-3</v>
      </c>
    </row>
    <row r="126" spans="1:26" ht="15.75" thickTop="1" x14ac:dyDescent="0.25">
      <c r="A126" s="9"/>
      <c r="B126" s="9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x14ac:dyDescent="0.25">
      <c r="A127" s="9"/>
      <c r="B127" s="9"/>
      <c r="C127" s="9"/>
      <c r="D127" s="3"/>
      <c r="E127" s="3"/>
      <c r="F127" s="8"/>
      <c r="G127" s="3"/>
      <c r="H127" s="3"/>
      <c r="I127" s="3"/>
      <c r="J127" s="8"/>
      <c r="K127" s="3"/>
      <c r="L127" s="3"/>
      <c r="M127" s="3"/>
      <c r="N127" s="8"/>
      <c r="P127" s="3"/>
      <c r="Q127" s="3"/>
      <c r="R127" s="8"/>
      <c r="S127" s="3"/>
      <c r="T127" s="3"/>
      <c r="U127" s="3"/>
      <c r="V127" s="8"/>
      <c r="W127" s="3"/>
      <c r="X127" s="3"/>
      <c r="Y127" s="3"/>
      <c r="Z127" s="8"/>
    </row>
    <row r="128" spans="1:26" s="23" customFormat="1" ht="15.75" thickBot="1" x14ac:dyDescent="0.3">
      <c r="A128" s="10"/>
      <c r="B128" s="26" t="s">
        <v>5</v>
      </c>
      <c r="C128" s="26"/>
      <c r="D128" s="31">
        <f>SUM(D125:D127)</f>
        <v>-142626.12</v>
      </c>
      <c r="E128" s="13"/>
      <c r="F128" s="32">
        <f>IF(D$12=0,0,D128/D$12)</f>
        <v>-13.661348720129654</v>
      </c>
      <c r="G128" s="13"/>
      <c r="H128" s="31">
        <f>SUM(H125:H127)</f>
        <v>-124191.3484732795</v>
      </c>
      <c r="I128" s="13"/>
      <c r="J128" s="32">
        <f>IF(H$12=0,0,H128/H$12)</f>
        <v>-1.7264384301561062</v>
      </c>
      <c r="K128" s="16"/>
      <c r="L128" s="31">
        <f>+D128-H128</f>
        <v>-18434.771526720491</v>
      </c>
      <c r="M128" s="16"/>
      <c r="N128" s="32">
        <f>IF(H128=0,0,L128/H128)</f>
        <v>0.14843845206082806</v>
      </c>
      <c r="O128" s="25"/>
      <c r="P128" s="31">
        <f>SUM(P125:P127)</f>
        <v>-413586.08000000007</v>
      </c>
      <c r="Q128" s="13"/>
      <c r="R128" s="32">
        <f>IF(P$12=0,0,P128/P$12)</f>
        <v>-24.388890887293705</v>
      </c>
      <c r="S128" s="13"/>
      <c r="T128" s="31">
        <f>SUM(T125:T127)</f>
        <v>-415564.81810234999</v>
      </c>
      <c r="U128" s="13"/>
      <c r="V128" s="32">
        <f>IF(T$12=0,0,T128/T$12)</f>
        <v>-4.6397090234388783</v>
      </c>
      <c r="W128" s="16"/>
      <c r="X128" s="31">
        <f>+P128-T128</f>
        <v>1978.7381023499183</v>
      </c>
      <c r="Y128" s="16"/>
      <c r="Z128" s="32">
        <f>IF(T128=0,0,X128/T128)</f>
        <v>-4.7615630971497985E-3</v>
      </c>
    </row>
    <row r="129" spans="1:24" ht="15.75" thickTop="1" x14ac:dyDescent="0.25">
      <c r="A129" s="9"/>
      <c r="C129" s="9"/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  <row r="130" spans="1:24" x14ac:dyDescent="0.25">
      <c r="A130" s="9"/>
      <c r="B130" s="55">
        <v>44123.571600960648</v>
      </c>
      <c r="D130" s="17"/>
      <c r="E130" s="17"/>
      <c r="G130" s="17"/>
      <c r="H130" s="17"/>
      <c r="I130" s="17"/>
      <c r="J130" s="43"/>
      <c r="K130" s="17"/>
      <c r="L130" s="17"/>
      <c r="M130" s="17"/>
      <c r="P130" s="17"/>
      <c r="Q130" s="17"/>
      <c r="R130" s="43"/>
      <c r="S130" s="17"/>
      <c r="T130" s="17"/>
      <c r="U130" s="17"/>
      <c r="V130" s="43"/>
      <c r="W130" s="17"/>
      <c r="X130" s="17"/>
    </row>
    <row r="131" spans="1:24" x14ac:dyDescent="0.25">
      <c r="A131" s="9"/>
      <c r="B131" s="53" t="s">
        <v>314</v>
      </c>
      <c r="D131" s="17"/>
      <c r="E131" s="17"/>
      <c r="G131" s="17"/>
      <c r="H131" s="17"/>
      <c r="I131" s="17"/>
      <c r="J131" s="43"/>
      <c r="K131" s="17"/>
      <c r="L131" s="17"/>
      <c r="M131" s="17"/>
      <c r="P131" s="17"/>
      <c r="Q131" s="17"/>
      <c r="R131" s="43"/>
      <c r="S131" s="17"/>
      <c r="T131" s="17"/>
      <c r="U131" s="17"/>
      <c r="V131" s="43"/>
      <c r="W131" s="17"/>
      <c r="X131" s="17"/>
    </row>
    <row r="132" spans="1:24" x14ac:dyDescent="0.25">
      <c r="A132" s="9"/>
      <c r="B132" s="62"/>
      <c r="D132" s="17"/>
      <c r="E132" s="17"/>
      <c r="G132" s="17"/>
      <c r="H132" s="17"/>
      <c r="I132" s="17"/>
      <c r="J132" s="43"/>
      <c r="K132" s="17"/>
      <c r="L132" s="17"/>
      <c r="M132" s="17"/>
      <c r="P132" s="17"/>
      <c r="Q132" s="17"/>
      <c r="R132" s="43"/>
      <c r="S132" s="17"/>
      <c r="T132" s="17"/>
      <c r="U132" s="17"/>
      <c r="V132" s="43"/>
      <c r="W132" s="17"/>
      <c r="X132" s="17"/>
    </row>
    <row r="133" spans="1:24" x14ac:dyDescent="0.25">
      <c r="D133" s="17"/>
      <c r="E133" s="17"/>
      <c r="G133" s="17"/>
      <c r="H133" s="17"/>
      <c r="I133" s="17"/>
      <c r="J133" s="43"/>
      <c r="K133" s="17"/>
      <c r="L133" s="17"/>
      <c r="M133" s="17"/>
      <c r="P133" s="17"/>
      <c r="Q133" s="17"/>
      <c r="R133" s="43"/>
      <c r="S133" s="17"/>
      <c r="T133" s="17"/>
      <c r="U133" s="17"/>
      <c r="V133" s="43"/>
      <c r="W133" s="17"/>
      <c r="X133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301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8677.65</v>
      </c>
      <c r="E12" s="4"/>
      <c r="F12" s="12"/>
      <c r="G12" s="4"/>
      <c r="H12" s="4">
        <f>SUM(OSRRefH13x_0)</f>
        <v>21053</v>
      </c>
      <c r="I12" s="4"/>
      <c r="J12" s="12"/>
      <c r="K12" s="4"/>
      <c r="L12" s="4">
        <f t="shared" ref="L12:L17" si="0">+D12-H12</f>
        <v>-12375.35</v>
      </c>
      <c r="M12" s="4"/>
      <c r="N12" s="12">
        <f t="shared" ref="N12:N17" si="1">IF(H12=0,0,L12/H12)</f>
        <v>-0.58781883817033209</v>
      </c>
      <c r="O12" s="10"/>
      <c r="P12" s="4">
        <f>SUM(OSRRefP13x_0)</f>
        <v>14371.5</v>
      </c>
      <c r="Q12" s="4"/>
      <c r="R12" s="12"/>
      <c r="S12" s="4"/>
      <c r="T12" s="4">
        <f>SUM(OSRRefT13x_0)</f>
        <v>33885</v>
      </c>
      <c r="U12" s="4"/>
      <c r="V12" s="12"/>
      <c r="W12" s="4"/>
      <c r="X12" s="4">
        <f t="shared" ref="X12:X17" si="2">+P12-T12</f>
        <v>-19513.5</v>
      </c>
      <c r="Y12" s="4"/>
      <c r="Z12" s="12">
        <f t="shared" ref="Z12:Z17" si="3">IF(T12=0,0,X12/T12)</f>
        <v>-0.57587428065515711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6548</v>
      </c>
      <c r="I13" s="2"/>
      <c r="J13" s="22"/>
      <c r="K13" s="2"/>
      <c r="L13" s="2">
        <f t="shared" si="0"/>
        <v>-6548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10539</v>
      </c>
      <c r="U13" s="2"/>
      <c r="V13" s="22"/>
      <c r="W13" s="2"/>
      <c r="X13" s="2">
        <f t="shared" si="2"/>
        <v>-10539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--4141.96</f>
        <v>4141.96</v>
      </c>
      <c r="E14" s="2"/>
      <c r="F14" s="22"/>
      <c r="G14" s="2"/>
      <c r="H14" s="2"/>
      <c r="I14" s="2"/>
      <c r="J14" s="22"/>
      <c r="K14" s="2"/>
      <c r="L14" s="2">
        <f t="shared" si="0"/>
        <v>4141.96</v>
      </c>
      <c r="M14" s="2"/>
      <c r="N14" s="22">
        <f t="shared" si="1"/>
        <v>0</v>
      </c>
      <c r="O14" s="11"/>
      <c r="P14" s="2">
        <f>--6652.68</f>
        <v>6652.68</v>
      </c>
      <c r="Q14" s="2"/>
      <c r="R14" s="22"/>
      <c r="S14" s="2"/>
      <c r="T14" s="2"/>
      <c r="U14" s="2"/>
      <c r="V14" s="22"/>
      <c r="W14" s="2"/>
      <c r="X14" s="2">
        <f t="shared" si="2"/>
        <v>6652.68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"4058", " - ", "TAXABLE SALES-FOOD")</f>
        <v xml:space="preserve">          4058 - TAXABLE SALES-FOOD</v>
      </c>
      <c r="C15" s="11"/>
      <c r="D15" s="2">
        <f t="shared" ref="D15:D16" si="4">0</f>
        <v>0</v>
      </c>
      <c r="E15" s="2"/>
      <c r="F15" s="22"/>
      <c r="G15" s="2"/>
      <c r="H15" s="2"/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--974.91</f>
        <v>974.91</v>
      </c>
      <c r="Q15" s="2"/>
      <c r="R15" s="22"/>
      <c r="S15" s="2"/>
      <c r="T15" s="2"/>
      <c r="U15" s="2"/>
      <c r="V15" s="22"/>
      <c r="W15" s="2"/>
      <c r="X15" s="2">
        <f t="shared" si="2"/>
        <v>974.91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"4100", " - ", "NON-TAXABLE SALES")</f>
        <v xml:space="preserve">          4100 - NON-TAXABLE SALES</v>
      </c>
      <c r="C16" s="11"/>
      <c r="D16" s="2">
        <f t="shared" si="4"/>
        <v>0</v>
      </c>
      <c r="E16" s="2"/>
      <c r="F16" s="22"/>
      <c r="G16" s="2"/>
      <c r="H16" s="2">
        <v>14505</v>
      </c>
      <c r="I16" s="2"/>
      <c r="J16" s="22"/>
      <c r="K16" s="2"/>
      <c r="L16" s="2">
        <f t="shared" si="0"/>
        <v>-14505</v>
      </c>
      <c r="M16" s="2"/>
      <c r="N16" s="22">
        <f t="shared" si="1"/>
        <v>-1</v>
      </c>
      <c r="O16" s="11"/>
      <c r="P16" s="2">
        <f>0</f>
        <v>0</v>
      </c>
      <c r="Q16" s="2"/>
      <c r="R16" s="22"/>
      <c r="S16" s="2"/>
      <c r="T16" s="2">
        <v>23346</v>
      </c>
      <c r="U16" s="2"/>
      <c r="V16" s="22"/>
      <c r="W16" s="2"/>
      <c r="X16" s="2">
        <f t="shared" si="2"/>
        <v>-23346</v>
      </c>
      <c r="Y16" s="2"/>
      <c r="Z16" s="22">
        <f t="shared" si="3"/>
        <v>-1</v>
      </c>
    </row>
    <row r="17" spans="1:26" s="24" customFormat="1" hidden="1" outlineLevel="1" x14ac:dyDescent="0.25">
      <c r="A17" s="51"/>
      <c r="B17" s="11" t="str">
        <f>CONCATENATE("          ", "4151", " - ", "NON-TAXABLE SALES-FOOD")</f>
        <v xml:space="preserve">          4151 - NON-TAXABLE SALES-FOOD</v>
      </c>
      <c r="C17" s="11"/>
      <c r="D17" s="2">
        <f>--4535.69</f>
        <v>4535.6899999999996</v>
      </c>
      <c r="E17" s="2"/>
      <c r="F17" s="22"/>
      <c r="G17" s="2"/>
      <c r="H17" s="2"/>
      <c r="I17" s="2"/>
      <c r="J17" s="22"/>
      <c r="K17" s="2"/>
      <c r="L17" s="2">
        <f t="shared" si="0"/>
        <v>4535.6899999999996</v>
      </c>
      <c r="M17" s="2"/>
      <c r="N17" s="22">
        <f t="shared" si="1"/>
        <v>0</v>
      </c>
      <c r="O17" s="11"/>
      <c r="P17" s="2">
        <f>--6743.91</f>
        <v>6743.91</v>
      </c>
      <c r="Q17" s="2"/>
      <c r="R17" s="22"/>
      <c r="S17" s="2"/>
      <c r="T17" s="2"/>
      <c r="U17" s="2"/>
      <c r="V17" s="22"/>
      <c r="W17" s="2"/>
      <c r="X17" s="2">
        <f t="shared" si="2"/>
        <v>6743.91</v>
      </c>
      <c r="Y17" s="2"/>
      <c r="Z17" s="22">
        <f t="shared" si="3"/>
        <v>0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8</v>
      </c>
      <c r="C19" s="10"/>
      <c r="D19" s="4">
        <f>SUM(OSRRefD16x_0)</f>
        <v>1770.46</v>
      </c>
      <c r="E19" s="4"/>
      <c r="F19" s="12">
        <f t="shared" ref="F19:F22" si="5">IF(D$12=0,0,D19/D$12)</f>
        <v>0.20402528334284054</v>
      </c>
      <c r="G19" s="4"/>
      <c r="H19" s="4">
        <f>SUM(OSRRefH16x_0)</f>
        <v>7579</v>
      </c>
      <c r="I19" s="4"/>
      <c r="J19" s="12">
        <f t="shared" ref="J19:J22" si="6">IF(H$12=0,0,H19/H$12)</f>
        <v>0.35999620006649885</v>
      </c>
      <c r="K19" s="4"/>
      <c r="L19" s="4">
        <f t="shared" ref="L19:L22" si="7">+D19-H19</f>
        <v>-5808.54</v>
      </c>
      <c r="M19" s="4"/>
      <c r="N19" s="12">
        <f t="shared" ref="N19:N22" si="8">IF(H19=0,0,L19/H19)</f>
        <v>-0.76639926111624224</v>
      </c>
      <c r="O19" s="10"/>
      <c r="P19" s="4">
        <f>SUM(OSRRefP16x_0)</f>
        <v>6016.4</v>
      </c>
      <c r="Q19" s="4"/>
      <c r="R19" s="12">
        <f t="shared" ref="R19:R22" si="9">IF(P$12=0,0,P19/P$12)</f>
        <v>0.41863410221619174</v>
      </c>
      <c r="S19" s="4"/>
      <c r="T19" s="4">
        <f>SUM(OSRRefT16x_0)</f>
        <v>11848</v>
      </c>
      <c r="U19" s="4"/>
      <c r="V19" s="12">
        <f t="shared" ref="V19:V22" si="10">IF(T$12=0,0,T19/T$12)</f>
        <v>0.34965323889626676</v>
      </c>
      <c r="W19" s="4"/>
      <c r="X19" s="4">
        <f t="shared" ref="X19:X22" si="11">+P19-T19</f>
        <v>-5831.6</v>
      </c>
      <c r="Y19" s="4"/>
      <c r="Z19" s="12">
        <f t="shared" ref="Z19:Z22" si="12">IF(T19=0,0,X19/T19)</f>
        <v>-0.49220121539500339</v>
      </c>
    </row>
    <row r="20" spans="1:26" s="24" customFormat="1" hidden="1" outlineLevel="1" x14ac:dyDescent="0.25">
      <c r="A20" s="51"/>
      <c r="B20" s="11" t="str">
        <f>CONCATENATE("          ", "5000", " - ", "PURCHASES @ COST")</f>
        <v xml:space="preserve">          5000 - PURCHASES @ COST</v>
      </c>
      <c r="C20" s="11"/>
      <c r="D20" s="2"/>
      <c r="E20" s="2"/>
      <c r="F20" s="22">
        <f t="shared" si="5"/>
        <v>0</v>
      </c>
      <c r="G20" s="2"/>
      <c r="H20" s="2">
        <v>7579</v>
      </c>
      <c r="I20" s="2"/>
      <c r="J20" s="22">
        <f t="shared" si="6"/>
        <v>0.35999620006649885</v>
      </c>
      <c r="K20" s="2"/>
      <c r="L20" s="2">
        <f t="shared" si="7"/>
        <v>-7579</v>
      </c>
      <c r="M20" s="2"/>
      <c r="N20" s="22">
        <f t="shared" si="8"/>
        <v>-1</v>
      </c>
      <c r="O20" s="11"/>
      <c r="P20" s="2"/>
      <c r="Q20" s="2"/>
      <c r="R20" s="22">
        <f t="shared" si="9"/>
        <v>0</v>
      </c>
      <c r="S20" s="2"/>
      <c r="T20" s="2">
        <v>11848</v>
      </c>
      <c r="U20" s="2"/>
      <c r="V20" s="22">
        <f t="shared" si="10"/>
        <v>0.34965323889626676</v>
      </c>
      <c r="W20" s="2"/>
      <c r="X20" s="2">
        <f t="shared" si="11"/>
        <v>-11848</v>
      </c>
      <c r="Y20" s="2"/>
      <c r="Z20" s="22">
        <f t="shared" si="12"/>
        <v>-1</v>
      </c>
    </row>
    <row r="21" spans="1:26" s="24" customFormat="1" hidden="1" outlineLevel="1" x14ac:dyDescent="0.25">
      <c r="A21" s="51"/>
      <c r="B21" s="11" t="str">
        <f>CONCATENATE("          ", "5053", " - ", "PURCHASES @ COST-FOOD")</f>
        <v xml:space="preserve">          5053 - PURCHASES @ COST-FOOD</v>
      </c>
      <c r="C21" s="11"/>
      <c r="D21" s="2">
        <v>1229.4000000000001</v>
      </c>
      <c r="E21" s="2"/>
      <c r="F21" s="22">
        <f t="shared" si="5"/>
        <v>0.14167430122210509</v>
      </c>
      <c r="G21" s="2"/>
      <c r="H21" s="2"/>
      <c r="I21" s="2"/>
      <c r="J21" s="22">
        <f t="shared" si="6"/>
        <v>0</v>
      </c>
      <c r="K21" s="2"/>
      <c r="L21" s="2">
        <f t="shared" si="7"/>
        <v>1229.4000000000001</v>
      </c>
      <c r="M21" s="2"/>
      <c r="N21" s="22">
        <f t="shared" si="8"/>
        <v>0</v>
      </c>
      <c r="O21" s="11"/>
      <c r="P21" s="2">
        <v>5430.34</v>
      </c>
      <c r="Q21" s="2"/>
      <c r="R21" s="22">
        <f t="shared" si="9"/>
        <v>0.3778547820338865</v>
      </c>
      <c r="S21" s="2"/>
      <c r="T21" s="2"/>
      <c r="U21" s="2"/>
      <c r="V21" s="22">
        <f t="shared" si="10"/>
        <v>0</v>
      </c>
      <c r="W21" s="2"/>
      <c r="X21" s="2">
        <f t="shared" si="11"/>
        <v>5430.34</v>
      </c>
      <c r="Y21" s="2"/>
      <c r="Z21" s="22">
        <f t="shared" si="12"/>
        <v>0</v>
      </c>
    </row>
    <row r="22" spans="1:26" s="24" customFormat="1" hidden="1" outlineLevel="1" x14ac:dyDescent="0.25">
      <c r="A22" s="51"/>
      <c r="B22" s="11" t="str">
        <f>CONCATENATE("          ", "5059", " - ", "PURCHASES @ COST-FOOD")</f>
        <v xml:space="preserve">          5059 - PURCHASES @ COST-FOOD</v>
      </c>
      <c r="C22" s="11"/>
      <c r="D22" s="2">
        <v>541.05999999999995</v>
      </c>
      <c r="E22" s="2"/>
      <c r="F22" s="22">
        <f t="shared" si="5"/>
        <v>6.2350982120735449E-2</v>
      </c>
      <c r="G22" s="2"/>
      <c r="H22" s="2"/>
      <c r="I22" s="2"/>
      <c r="J22" s="22">
        <f t="shared" si="6"/>
        <v>0</v>
      </c>
      <c r="K22" s="2"/>
      <c r="L22" s="2">
        <f t="shared" si="7"/>
        <v>541.05999999999995</v>
      </c>
      <c r="M22" s="2"/>
      <c r="N22" s="22">
        <f t="shared" si="8"/>
        <v>0</v>
      </c>
      <c r="O22" s="11"/>
      <c r="P22" s="2">
        <v>586.05999999999995</v>
      </c>
      <c r="Q22" s="2"/>
      <c r="R22" s="22">
        <f t="shared" si="9"/>
        <v>4.0779320182305255E-2</v>
      </c>
      <c r="S22" s="2"/>
      <c r="T22" s="2"/>
      <c r="U22" s="2"/>
      <c r="V22" s="22">
        <f t="shared" si="10"/>
        <v>0</v>
      </c>
      <c r="W22" s="2"/>
      <c r="X22" s="2">
        <f t="shared" si="11"/>
        <v>586.05999999999995</v>
      </c>
      <c r="Y22" s="2"/>
      <c r="Z22" s="22">
        <f t="shared" si="12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6</v>
      </c>
      <c r="C24" s="26"/>
      <c r="D24" s="20">
        <f>D12-D19</f>
        <v>6907.19</v>
      </c>
      <c r="E24" s="13"/>
      <c r="F24" s="21">
        <f>IF(D$12=0,0,D24/D$12)</f>
        <v>0.79597471665715946</v>
      </c>
      <c r="G24" s="13"/>
      <c r="H24" s="20">
        <f>H12-H19</f>
        <v>13474</v>
      </c>
      <c r="I24" s="13"/>
      <c r="J24" s="21">
        <f>IF(H$12=0,0,H24/H$12)</f>
        <v>0.64000379993350121</v>
      </c>
      <c r="K24" s="16"/>
      <c r="L24" s="20">
        <f>+D24-H24</f>
        <v>-6566.81</v>
      </c>
      <c r="M24" s="16"/>
      <c r="N24" s="21">
        <f>IF(H24=0,0,L24/H24)</f>
        <v>-0.48736900697639901</v>
      </c>
      <c r="O24" s="25"/>
      <c r="P24" s="20">
        <f>P12-P19</f>
        <v>8355.1</v>
      </c>
      <c r="Q24" s="13"/>
      <c r="R24" s="21">
        <f>IF(P$12=0,0,P24/P$12)</f>
        <v>0.58136589778380821</v>
      </c>
      <c r="S24" s="13"/>
      <c r="T24" s="20">
        <f>T12-T19</f>
        <v>22037</v>
      </c>
      <c r="U24" s="13"/>
      <c r="V24" s="21">
        <f>IF(T$12=0,0,T24/T$12)</f>
        <v>0.65034676110373324</v>
      </c>
      <c r="W24" s="16"/>
      <c r="X24" s="20">
        <f>+P24-T24</f>
        <v>-13681.9</v>
      </c>
      <c r="Y24" s="16"/>
      <c r="Z24" s="21">
        <f>IF(T24=0,0,X24/T24)</f>
        <v>-0.62086037119390114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6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9</v>
      </c>
      <c r="C26" s="10"/>
      <c r="D26" s="19">
        <f>SUM(OSRRefD22x_0)</f>
        <v>117820.05000000002</v>
      </c>
      <c r="E26" s="19"/>
      <c r="F26" s="35">
        <f t="shared" ref="F26:F36" si="13">IF(D$12=0,0,D26/D$12)</f>
        <v>13.577414392145341</v>
      </c>
      <c r="G26" s="19"/>
      <c r="H26" s="19">
        <f>SUM(OSRRefH22x_0)</f>
        <v>103185.15726457948</v>
      </c>
      <c r="I26" s="19"/>
      <c r="J26" s="35">
        <f t="shared" ref="J26:J36" si="14">IF(H$12=0,0,H26/H$12)</f>
        <v>4.9012091989065443</v>
      </c>
      <c r="K26" s="4"/>
      <c r="L26" s="19">
        <f t="shared" ref="L26:L36" si="15">+D26-H26</f>
        <v>14634.892735420537</v>
      </c>
      <c r="M26" s="4"/>
      <c r="N26" s="35">
        <f t="shared" ref="N26:N36" si="16">IF(H26=0,0,L26/H26)</f>
        <v>0.14183137500963308</v>
      </c>
      <c r="O26" s="10"/>
      <c r="P26" s="19">
        <f>SUM(OSRRefP22x_0)</f>
        <v>329781.76000000001</v>
      </c>
      <c r="Q26" s="19"/>
      <c r="R26" s="35">
        <f t="shared" ref="R26:R36" si="17">IF(P$12=0,0,P26/P$12)</f>
        <v>22.946926903941829</v>
      </c>
      <c r="S26" s="19"/>
      <c r="T26" s="19">
        <f>SUM(OSRRefT22x_0)</f>
        <v>320422.99438655004</v>
      </c>
      <c r="U26" s="19"/>
      <c r="V26" s="35">
        <f t="shared" ref="V26:V36" si="18">IF(T$12=0,0,T26/T$12)</f>
        <v>9.4561898889346327</v>
      </c>
      <c r="W26" s="4"/>
      <c r="X26" s="19">
        <f t="shared" ref="X26:X36" si="19">+P26-T26</f>
        <v>9358.7656134499703</v>
      </c>
      <c r="Y26" s="4"/>
      <c r="Z26" s="35">
        <f t="shared" ref="Z26:Z36" si="20">IF(T26=0,0,X26/T26)</f>
        <v>2.920753434492843E-2</v>
      </c>
    </row>
    <row r="27" spans="1:26" s="28" customFormat="1" outlineLevel="1" collapsed="1" x14ac:dyDescent="0.25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21540.73</v>
      </c>
      <c r="E27" s="1"/>
      <c r="F27" s="5">
        <f t="shared" si="13"/>
        <v>2.4823229791475803</v>
      </c>
      <c r="G27" s="1"/>
      <c r="H27" s="1">
        <f>SUM(OSRRefH22_0x_0)</f>
        <v>13113.982238938468</v>
      </c>
      <c r="I27" s="1"/>
      <c r="J27" s="5">
        <f t="shared" si="14"/>
        <v>0.62290325554260528</v>
      </c>
      <c r="K27" s="1"/>
      <c r="L27" s="1">
        <f t="shared" si="15"/>
        <v>8426.7477610615315</v>
      </c>
      <c r="M27" s="1"/>
      <c r="N27" s="5">
        <f t="shared" si="16"/>
        <v>0.6425773352079549</v>
      </c>
      <c r="O27" s="14"/>
      <c r="P27" s="1">
        <f>SUM(OSRRefP22_0x_0)</f>
        <v>68831.38</v>
      </c>
      <c r="Q27" s="1"/>
      <c r="R27" s="5">
        <f t="shared" si="17"/>
        <v>4.7894360366002164</v>
      </c>
      <c r="S27" s="1"/>
      <c r="T27" s="1">
        <f>SUM(OSRRefT22_0x_0)</f>
        <v>41655.105886550024</v>
      </c>
      <c r="U27" s="1"/>
      <c r="V27" s="5">
        <f t="shared" si="18"/>
        <v>1.2293081270931097</v>
      </c>
      <c r="W27" s="1"/>
      <c r="X27" s="1">
        <f t="shared" si="19"/>
        <v>27176.274113449981</v>
      </c>
      <c r="Y27" s="1"/>
      <c r="Z27" s="5">
        <f t="shared" si="20"/>
        <v>0.65241159601096832</v>
      </c>
    </row>
    <row r="28" spans="1:26" s="24" customFormat="1" hidden="1" outlineLevel="2" x14ac:dyDescent="0.25">
      <c r="A28" s="29"/>
      <c r="B28" s="11" t="str">
        <f>CONCATENATE("          ", "6111", " - ", "F.I.C.A.")</f>
        <v xml:space="preserve">          6111 - F.I.C.A.</v>
      </c>
      <c r="C28" s="11"/>
      <c r="D28" s="6">
        <v>2366.3200000000002</v>
      </c>
      <c r="E28" s="2"/>
      <c r="F28" s="7">
        <f t="shared" si="13"/>
        <v>0.27269133924507216</v>
      </c>
      <c r="G28" s="2"/>
      <c r="H28" s="6">
        <v>1485.738938169231</v>
      </c>
      <c r="I28" s="2"/>
      <c r="J28" s="7">
        <f t="shared" si="14"/>
        <v>7.0571364564158606E-2</v>
      </c>
      <c r="K28" s="2"/>
      <c r="L28" s="6">
        <f t="shared" si="15"/>
        <v>880.58106183076916</v>
      </c>
      <c r="M28" s="2"/>
      <c r="N28" s="7">
        <f t="shared" si="16"/>
        <v>0.5926889571298749</v>
      </c>
      <c r="O28" s="11"/>
      <c r="P28" s="6">
        <v>7420.38</v>
      </c>
      <c r="Q28" s="2"/>
      <c r="R28" s="7">
        <f t="shared" si="17"/>
        <v>0.51632606199770381</v>
      </c>
      <c r="S28" s="2"/>
      <c r="T28" s="6">
        <v>5021.6602090500019</v>
      </c>
      <c r="U28" s="2"/>
      <c r="V28" s="7">
        <f t="shared" si="18"/>
        <v>0.14819714354581678</v>
      </c>
      <c r="W28" s="2"/>
      <c r="X28" s="6">
        <f t="shared" si="19"/>
        <v>2398.7197909499982</v>
      </c>
      <c r="Y28" s="2"/>
      <c r="Z28" s="7">
        <f t="shared" si="20"/>
        <v>0.47767465162757167</v>
      </c>
    </row>
    <row r="29" spans="1:26" s="24" customFormat="1" hidden="1" outlineLevel="2" x14ac:dyDescent="0.25">
      <c r="A29" s="29"/>
      <c r="B29" s="11" t="str">
        <f>CONCATENATE("          ", "6112", " - ", "COMPENSATION INSURANCE")</f>
        <v xml:space="preserve">          6112 - COMPENSATION INSURANCE</v>
      </c>
      <c r="C29" s="11"/>
      <c r="D29" s="6">
        <v>824.72</v>
      </c>
      <c r="E29" s="2"/>
      <c r="F29" s="7">
        <f t="shared" si="13"/>
        <v>9.5039555640063847E-2</v>
      </c>
      <c r="G29" s="2"/>
      <c r="H29" s="6">
        <v>533.48978353846144</v>
      </c>
      <c r="I29" s="2"/>
      <c r="J29" s="7">
        <f t="shared" si="14"/>
        <v>2.5340321262454824E-2</v>
      </c>
      <c r="K29" s="2"/>
      <c r="L29" s="6">
        <f t="shared" si="15"/>
        <v>291.23021646153859</v>
      </c>
      <c r="M29" s="2"/>
      <c r="N29" s="7">
        <f t="shared" si="16"/>
        <v>0.54589652032304126</v>
      </c>
      <c r="O29" s="11"/>
      <c r="P29" s="6">
        <v>2007.49</v>
      </c>
      <c r="Q29" s="2"/>
      <c r="R29" s="7">
        <f t="shared" si="17"/>
        <v>0.13968548864071254</v>
      </c>
      <c r="S29" s="2"/>
      <c r="T29" s="6">
        <v>1715.6050064999999</v>
      </c>
      <c r="U29" s="2"/>
      <c r="V29" s="7">
        <f t="shared" si="18"/>
        <v>5.0630220053120852E-2</v>
      </c>
      <c r="W29" s="2"/>
      <c r="X29" s="6">
        <f t="shared" si="19"/>
        <v>291.88499350000006</v>
      </c>
      <c r="Y29" s="2"/>
      <c r="Z29" s="7">
        <f t="shared" si="20"/>
        <v>0.1701353122625083</v>
      </c>
    </row>
    <row r="30" spans="1:26" s="24" customFormat="1" hidden="1" outlineLevel="2" x14ac:dyDescent="0.25">
      <c r="A30" s="29"/>
      <c r="B30" s="11" t="str">
        <f>CONCATENATE("          ", "6113", " - ", "GROUP INSURANCE")</f>
        <v xml:space="preserve">          6113 - GROUP INSURANCE</v>
      </c>
      <c r="C30" s="11"/>
      <c r="D30" s="6">
        <v>10662.18</v>
      </c>
      <c r="E30" s="2"/>
      <c r="F30" s="7">
        <f t="shared" si="13"/>
        <v>1.2286944045911048</v>
      </c>
      <c r="G30" s="2"/>
      <c r="H30" s="6">
        <v>7261.1538461538503</v>
      </c>
      <c r="I30" s="2"/>
      <c r="J30" s="7">
        <f t="shared" si="14"/>
        <v>0.34489877196379853</v>
      </c>
      <c r="K30" s="2"/>
      <c r="L30" s="6">
        <f t="shared" si="15"/>
        <v>3401.02615384615</v>
      </c>
      <c r="M30" s="2"/>
      <c r="N30" s="7">
        <f t="shared" si="16"/>
        <v>0.46838646114730575</v>
      </c>
      <c r="O30" s="11"/>
      <c r="P30" s="6">
        <v>34942.879999999997</v>
      </c>
      <c r="Q30" s="2"/>
      <c r="R30" s="7">
        <f t="shared" si="17"/>
        <v>2.431401036774171</v>
      </c>
      <c r="S30" s="2"/>
      <c r="T30" s="6">
        <v>22560</v>
      </c>
      <c r="U30" s="2"/>
      <c r="V30" s="7">
        <f t="shared" si="18"/>
        <v>0.66578131916777339</v>
      </c>
      <c r="W30" s="2"/>
      <c r="X30" s="6">
        <f t="shared" si="19"/>
        <v>12382.879999999997</v>
      </c>
      <c r="Y30" s="2"/>
      <c r="Z30" s="7">
        <f t="shared" si="20"/>
        <v>0.54888652482269495</v>
      </c>
    </row>
    <row r="31" spans="1:26" s="24" customFormat="1" hidden="1" outlineLevel="2" x14ac:dyDescent="0.25">
      <c r="A31" s="29"/>
      <c r="B31" s="11" t="str">
        <f>CONCATENATE("          ", "6114", " - ", "STATE UNEMPLOYMENT INSURANCE")</f>
        <v xml:space="preserve">          6114 - STATE UNEMPLOYMENT INSURANCE</v>
      </c>
      <c r="C31" s="11"/>
      <c r="D31" s="6">
        <v>91.3</v>
      </c>
      <c r="E31" s="2"/>
      <c r="F31" s="7">
        <f t="shared" si="13"/>
        <v>1.0521281683405069E-2</v>
      </c>
      <c r="G31" s="2"/>
      <c r="H31" s="6">
        <v>58.898868</v>
      </c>
      <c r="I31" s="2"/>
      <c r="J31" s="7">
        <f t="shared" si="14"/>
        <v>2.7976472711727543E-3</v>
      </c>
      <c r="K31" s="2"/>
      <c r="L31" s="6">
        <f t="shared" si="15"/>
        <v>32.401131999999997</v>
      </c>
      <c r="M31" s="2"/>
      <c r="N31" s="7">
        <f t="shared" si="16"/>
        <v>0.55011468132120966</v>
      </c>
      <c r="O31" s="11"/>
      <c r="P31" s="6">
        <v>257.93</v>
      </c>
      <c r="Q31" s="2"/>
      <c r="R31" s="7">
        <f t="shared" si="17"/>
        <v>1.794732630553526E-2</v>
      </c>
      <c r="S31" s="2"/>
      <c r="T31" s="6">
        <v>190.31606099999999</v>
      </c>
      <c r="U31" s="2"/>
      <c r="V31" s="7">
        <f t="shared" si="18"/>
        <v>5.6165282868525894E-3</v>
      </c>
      <c r="W31" s="2"/>
      <c r="X31" s="6">
        <f t="shared" si="19"/>
        <v>67.613939000000016</v>
      </c>
      <c r="Y31" s="2"/>
      <c r="Z31" s="7">
        <f t="shared" si="20"/>
        <v>0.35527184959970359</v>
      </c>
    </row>
    <row r="32" spans="1:26" s="24" customFormat="1" hidden="1" outlineLevel="2" x14ac:dyDescent="0.25">
      <c r="A32" s="29"/>
      <c r="B32" s="11" t="str">
        <f>CONCATENATE("          ", "6115", " - ", "P.E.R.S.")</f>
        <v xml:space="preserve">          6115 - P.E.R.S.</v>
      </c>
      <c r="C32" s="11"/>
      <c r="D32" s="6">
        <v>2748.35</v>
      </c>
      <c r="E32" s="2"/>
      <c r="F32" s="7">
        <f t="shared" si="13"/>
        <v>0.31671593115647667</v>
      </c>
      <c r="G32" s="2"/>
      <c r="H32" s="6">
        <v>1386.1317261538459</v>
      </c>
      <c r="I32" s="2"/>
      <c r="J32" s="7">
        <f t="shared" si="14"/>
        <v>6.584010479047385E-2</v>
      </c>
      <c r="K32" s="2"/>
      <c r="L32" s="6">
        <f t="shared" si="15"/>
        <v>1362.218273846154</v>
      </c>
      <c r="M32" s="2"/>
      <c r="N32" s="7">
        <f t="shared" si="16"/>
        <v>0.98274806653906877</v>
      </c>
      <c r="O32" s="11"/>
      <c r="P32" s="6">
        <v>10145.5</v>
      </c>
      <c r="Q32" s="2"/>
      <c r="R32" s="7">
        <f t="shared" si="17"/>
        <v>0.70594579549803427</v>
      </c>
      <c r="S32" s="2"/>
      <c r="T32" s="6">
        <v>4504.9281100000017</v>
      </c>
      <c r="U32" s="2"/>
      <c r="V32" s="7">
        <f t="shared" si="18"/>
        <v>0.13294756116275644</v>
      </c>
      <c r="W32" s="2"/>
      <c r="X32" s="6">
        <f t="shared" si="19"/>
        <v>5640.5718899999983</v>
      </c>
      <c r="Y32" s="2"/>
      <c r="Z32" s="7">
        <f t="shared" si="20"/>
        <v>1.2520892125845702</v>
      </c>
    </row>
    <row r="33" spans="1:26" s="24" customFormat="1" hidden="1" outlineLevel="2" x14ac:dyDescent="0.25">
      <c r="A33" s="29"/>
      <c r="B33" s="11" t="str">
        <f>CONCATENATE("          ", "6116", " - ", "EDUCATIONAL BENEFITS")</f>
        <v xml:space="preserve">          6116 - EDUCATIONAL BENEFITS</v>
      </c>
      <c r="C33" s="11"/>
      <c r="D33" s="6"/>
      <c r="E33" s="2"/>
      <c r="F33" s="7">
        <f t="shared" si="13"/>
        <v>0</v>
      </c>
      <c r="G33" s="2"/>
      <c r="H33" s="6">
        <v>0</v>
      </c>
      <c r="I33" s="2"/>
      <c r="J33" s="7">
        <f t="shared" si="14"/>
        <v>0</v>
      </c>
      <c r="K33" s="2"/>
      <c r="L33" s="6">
        <f t="shared" si="15"/>
        <v>0</v>
      </c>
      <c r="M33" s="2"/>
      <c r="N33" s="7">
        <f t="shared" si="16"/>
        <v>0</v>
      </c>
      <c r="O33" s="11"/>
      <c r="P33" s="6"/>
      <c r="Q33" s="2"/>
      <c r="R33" s="7">
        <f t="shared" si="17"/>
        <v>0</v>
      </c>
      <c r="S33" s="2"/>
      <c r="T33" s="6">
        <v>0</v>
      </c>
      <c r="U33" s="2"/>
      <c r="V33" s="7">
        <f t="shared" si="18"/>
        <v>0</v>
      </c>
      <c r="W33" s="2"/>
      <c r="X33" s="6">
        <f t="shared" si="19"/>
        <v>0</v>
      </c>
      <c r="Y33" s="2"/>
      <c r="Z33" s="7">
        <f t="shared" si="20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6">
        <v>2561.8200000000002</v>
      </c>
      <c r="E34" s="2"/>
      <c r="F34" s="7">
        <f t="shared" si="13"/>
        <v>0.29522048019913227</v>
      </c>
      <c r="G34" s="2"/>
      <c r="H34" s="6">
        <v>1524.1520769230799</v>
      </c>
      <c r="I34" s="2"/>
      <c r="J34" s="7">
        <f t="shared" si="14"/>
        <v>7.2395956724603611E-2</v>
      </c>
      <c r="K34" s="2"/>
      <c r="L34" s="6">
        <f t="shared" si="15"/>
        <v>1037.6679230769203</v>
      </c>
      <c r="M34" s="2"/>
      <c r="N34" s="7">
        <f t="shared" si="16"/>
        <v>0.68081652663672398</v>
      </c>
      <c r="O34" s="11"/>
      <c r="P34" s="6">
        <v>7683.97</v>
      </c>
      <c r="Q34" s="2"/>
      <c r="R34" s="7">
        <f t="shared" si="17"/>
        <v>0.53466722332393979</v>
      </c>
      <c r="S34" s="2"/>
      <c r="T34" s="6">
        <v>4953.4942500000107</v>
      </c>
      <c r="U34" s="2"/>
      <c r="V34" s="7">
        <f t="shared" si="18"/>
        <v>0.146185458167331</v>
      </c>
      <c r="W34" s="2"/>
      <c r="X34" s="6">
        <f t="shared" si="19"/>
        <v>2730.4757499999896</v>
      </c>
      <c r="Y34" s="2"/>
      <c r="Z34" s="7">
        <f t="shared" si="20"/>
        <v>0.55122214989953477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6">
        <v>1497.32</v>
      </c>
      <c r="E35" s="2"/>
      <c r="F35" s="7">
        <f t="shared" si="13"/>
        <v>0.17254901960784313</v>
      </c>
      <c r="G35" s="2"/>
      <c r="H35" s="6">
        <v>514.41700000000003</v>
      </c>
      <c r="I35" s="2"/>
      <c r="J35" s="7">
        <f t="shared" si="14"/>
        <v>2.4434379898351781E-2</v>
      </c>
      <c r="K35" s="2"/>
      <c r="L35" s="6">
        <f t="shared" si="15"/>
        <v>982.90299999999991</v>
      </c>
      <c r="M35" s="2"/>
      <c r="N35" s="7">
        <f t="shared" si="16"/>
        <v>1.9107125153328912</v>
      </c>
      <c r="O35" s="11"/>
      <c r="P35" s="6">
        <v>4571.21</v>
      </c>
      <c r="Q35" s="2"/>
      <c r="R35" s="7">
        <f t="shared" si="17"/>
        <v>0.31807466165675119</v>
      </c>
      <c r="S35" s="2"/>
      <c r="T35" s="6">
        <v>1659.1022499999999</v>
      </c>
      <c r="U35" s="2"/>
      <c r="V35" s="7">
        <f t="shared" si="18"/>
        <v>4.8962734248192412E-2</v>
      </c>
      <c r="W35" s="2"/>
      <c r="X35" s="6">
        <f t="shared" si="19"/>
        <v>2912.1077500000001</v>
      </c>
      <c r="Y35" s="2"/>
      <c r="Z35" s="7">
        <f t="shared" si="20"/>
        <v>1.7552310293111835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6">
        <v>788.72</v>
      </c>
      <c r="E36" s="2"/>
      <c r="F36" s="7">
        <f t="shared" si="13"/>
        <v>9.0890967024482447E-2</v>
      </c>
      <c r="G36" s="2"/>
      <c r="H36" s="6">
        <v>350</v>
      </c>
      <c r="I36" s="2"/>
      <c r="J36" s="7">
        <f t="shared" si="14"/>
        <v>1.6624709067591316E-2</v>
      </c>
      <c r="K36" s="2"/>
      <c r="L36" s="6">
        <f t="shared" si="15"/>
        <v>438.72</v>
      </c>
      <c r="M36" s="2"/>
      <c r="N36" s="7">
        <f t="shared" si="16"/>
        <v>1.2534857142857143</v>
      </c>
      <c r="O36" s="11"/>
      <c r="P36" s="6">
        <v>1802.02</v>
      </c>
      <c r="Q36" s="2"/>
      <c r="R36" s="7">
        <f t="shared" si="17"/>
        <v>0.12538844240336777</v>
      </c>
      <c r="S36" s="2"/>
      <c r="T36" s="6">
        <v>1050</v>
      </c>
      <c r="U36" s="2"/>
      <c r="V36" s="7">
        <f t="shared" si="18"/>
        <v>3.0987162461266048E-2</v>
      </c>
      <c r="W36" s="2"/>
      <c r="X36" s="6">
        <f t="shared" si="19"/>
        <v>752.02</v>
      </c>
      <c r="Y36" s="2"/>
      <c r="Z36" s="7">
        <f t="shared" si="20"/>
        <v>0.71620952380952374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30018.61</v>
      </c>
      <c r="E37" s="1"/>
      <c r="F37" s="5">
        <f t="shared" ref="F37:F47" si="21">IF(D$12=0,0,D37/D$12)</f>
        <v>3.4593017694882833</v>
      </c>
      <c r="G37" s="1"/>
      <c r="H37" s="1">
        <f>SUM(OSRRefH22_1x_0)</f>
        <v>20614.841692307691</v>
      </c>
      <c r="I37" s="1"/>
      <c r="J37" s="5">
        <f t="shared" ref="J37:J47" si="22">IF(H$12=0,0,H37/H$12)</f>
        <v>0.97918784459733488</v>
      </c>
      <c r="K37" s="1"/>
      <c r="L37" s="1">
        <f t="shared" ref="L37:L47" si="23">+D37-H37</f>
        <v>9403.7683076923095</v>
      </c>
      <c r="M37" s="1"/>
      <c r="N37" s="5">
        <f t="shared" ref="N37:N47" si="24">IF(H37=0,0,L37/H37)</f>
        <v>0.45616495377702904</v>
      </c>
      <c r="O37" s="14"/>
      <c r="P37" s="1">
        <f>SUM(OSRRefP22_1x_0)</f>
        <v>97187.880000000019</v>
      </c>
      <c r="Q37" s="1"/>
      <c r="R37" s="5">
        <f t="shared" ref="R37:R47" si="25">IF(P$12=0,0,P37/P$12)</f>
        <v>6.7625425320947725</v>
      </c>
      <c r="S37" s="1"/>
      <c r="T37" s="1">
        <f>SUM(OSRRefT22_1x_0)</f>
        <v>66585.888499999972</v>
      </c>
      <c r="U37" s="1"/>
      <c r="V37" s="5">
        <f t="shared" ref="V37:V47" si="26">IF(T$12=0,0,T37/T$12)</f>
        <v>1.9650549948354721</v>
      </c>
      <c r="W37" s="1"/>
      <c r="X37" s="1">
        <f t="shared" ref="X37:X47" si="27">+P37-T37</f>
        <v>30601.991500000047</v>
      </c>
      <c r="Y37" s="1"/>
      <c r="Z37" s="5">
        <f t="shared" ref="Z37:Z47" si="28">IF(T37=0,0,X37/T37)</f>
        <v>0.45958674111557529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>
        <v>11069.28</v>
      </c>
      <c r="E38" s="2"/>
      <c r="F38" s="7">
        <f t="shared" si="21"/>
        <v>1.2756080275189712</v>
      </c>
      <c r="G38" s="2"/>
      <c r="H38" s="6">
        <v>9962.3076923076896</v>
      </c>
      <c r="I38" s="2"/>
      <c r="J38" s="7">
        <f t="shared" si="22"/>
        <v>0.47320133436126394</v>
      </c>
      <c r="K38" s="2"/>
      <c r="L38" s="6">
        <f t="shared" si="23"/>
        <v>1106.972307692311</v>
      </c>
      <c r="M38" s="2"/>
      <c r="N38" s="7">
        <f t="shared" si="24"/>
        <v>0.11111605281445484</v>
      </c>
      <c r="O38" s="11"/>
      <c r="P38" s="6">
        <v>33345.89</v>
      </c>
      <c r="Q38" s="2"/>
      <c r="R38" s="7">
        <f t="shared" si="25"/>
        <v>2.3202790244581291</v>
      </c>
      <c r="S38" s="2"/>
      <c r="T38" s="6">
        <v>32377.499999999978</v>
      </c>
      <c r="U38" s="2"/>
      <c r="V38" s="7">
        <f t="shared" si="26"/>
        <v>0.95551128818061026</v>
      </c>
      <c r="W38" s="2"/>
      <c r="X38" s="6">
        <f t="shared" si="27"/>
        <v>968.39000000002125</v>
      </c>
      <c r="Y38" s="2"/>
      <c r="Z38" s="7">
        <f t="shared" si="28"/>
        <v>2.9909350629295711E-2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6">
        <v>15148.26</v>
      </c>
      <c r="E39" s="2"/>
      <c r="F39" s="7">
        <f t="shared" si="21"/>
        <v>1.7456638606074226</v>
      </c>
      <c r="G39" s="2"/>
      <c r="H39" s="6">
        <v>4543.7219999999998</v>
      </c>
      <c r="I39" s="2"/>
      <c r="J39" s="7">
        <f t="shared" si="22"/>
        <v>0.21582301809718329</v>
      </c>
      <c r="K39" s="2"/>
      <c r="L39" s="6">
        <f t="shared" si="23"/>
        <v>10604.538</v>
      </c>
      <c r="M39" s="2"/>
      <c r="N39" s="7">
        <f t="shared" si="24"/>
        <v>2.3338879447290131</v>
      </c>
      <c r="O39" s="11"/>
      <c r="P39" s="6">
        <v>50890.62</v>
      </c>
      <c r="Q39" s="2"/>
      <c r="R39" s="7">
        <f t="shared" si="25"/>
        <v>3.5410792192881746</v>
      </c>
      <c r="S39" s="2"/>
      <c r="T39" s="6">
        <v>14767.096500000001</v>
      </c>
      <c r="U39" s="2"/>
      <c r="V39" s="7">
        <f t="shared" si="26"/>
        <v>0.43580039840637452</v>
      </c>
      <c r="W39" s="2"/>
      <c r="X39" s="6">
        <f t="shared" si="27"/>
        <v>36123.523500000003</v>
      </c>
      <c r="Y39" s="2"/>
      <c r="Z39" s="7">
        <f t="shared" si="28"/>
        <v>2.4462170677898665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6">
        <v>3115.4</v>
      </c>
      <c r="E41" s="2"/>
      <c r="F41" s="7">
        <f t="shared" si="21"/>
        <v>0.35901424924950881</v>
      </c>
      <c r="G41" s="2"/>
      <c r="H41" s="6">
        <v>2966.4</v>
      </c>
      <c r="I41" s="2"/>
      <c r="J41" s="7">
        <f t="shared" si="22"/>
        <v>0.1409015342231511</v>
      </c>
      <c r="K41" s="2"/>
      <c r="L41" s="6">
        <f t="shared" si="23"/>
        <v>149</v>
      </c>
      <c r="M41" s="2"/>
      <c r="N41" s="7">
        <f t="shared" si="24"/>
        <v>5.0229234088457385E-2</v>
      </c>
      <c r="O41" s="11"/>
      <c r="P41" s="6">
        <v>10705.6</v>
      </c>
      <c r="Q41" s="2"/>
      <c r="R41" s="7">
        <f t="shared" si="25"/>
        <v>0.74491876282921066</v>
      </c>
      <c r="S41" s="2"/>
      <c r="T41" s="6">
        <v>9640.7999999999993</v>
      </c>
      <c r="U41" s="2"/>
      <c r="V41" s="7">
        <f t="shared" si="26"/>
        <v>0.28451527224435591</v>
      </c>
      <c r="W41" s="2"/>
      <c r="X41" s="6">
        <f t="shared" si="27"/>
        <v>1064.8000000000011</v>
      </c>
      <c r="Y41" s="2"/>
      <c r="Z41" s="7">
        <f t="shared" si="28"/>
        <v>0.11044726578707173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6">
        <v>1266.67</v>
      </c>
      <c r="E42" s="2"/>
      <c r="F42" s="7">
        <f t="shared" si="21"/>
        <v>0.14596924282495838</v>
      </c>
      <c r="G42" s="2"/>
      <c r="H42" s="6">
        <v>1452.672</v>
      </c>
      <c r="I42" s="2"/>
      <c r="J42" s="7">
        <f t="shared" si="22"/>
        <v>6.9000712487531465E-2</v>
      </c>
      <c r="K42" s="2"/>
      <c r="L42" s="6">
        <f t="shared" si="23"/>
        <v>-186.00199999999995</v>
      </c>
      <c r="M42" s="2"/>
      <c r="N42" s="7">
        <f t="shared" si="24"/>
        <v>-0.12804129218433338</v>
      </c>
      <c r="O42" s="11"/>
      <c r="P42" s="6">
        <v>1421.77</v>
      </c>
      <c r="Q42" s="2"/>
      <c r="R42" s="7">
        <f t="shared" si="25"/>
        <v>9.8929826392512965E-2</v>
      </c>
      <c r="S42" s="2"/>
      <c r="T42" s="6">
        <v>5160.0119999999997</v>
      </c>
      <c r="U42" s="2"/>
      <c r="V42" s="7">
        <f t="shared" si="26"/>
        <v>0.15228012394864984</v>
      </c>
      <c r="W42" s="2"/>
      <c r="X42" s="6">
        <f t="shared" si="27"/>
        <v>-3738.2419999999997</v>
      </c>
      <c r="Y42" s="2"/>
      <c r="Z42" s="7">
        <f t="shared" si="28"/>
        <v>-0.72446381907638968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6">
        <v>-581</v>
      </c>
      <c r="E44" s="2"/>
      <c r="F44" s="7">
        <f t="shared" si="21"/>
        <v>-6.6953610712577716E-2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-581</v>
      </c>
      <c r="M44" s="2"/>
      <c r="N44" s="7">
        <f t="shared" si="24"/>
        <v>0</v>
      </c>
      <c r="O44" s="11"/>
      <c r="P44" s="6">
        <v>824</v>
      </c>
      <c r="Q44" s="2"/>
      <c r="R44" s="7">
        <f t="shared" si="25"/>
        <v>5.7335699126743904E-2</v>
      </c>
      <c r="S44" s="2"/>
      <c r="T44" s="6">
        <v>2446.34</v>
      </c>
      <c r="U44" s="2"/>
      <c r="V44" s="7">
        <f t="shared" si="26"/>
        <v>7.2195366681422457E-2</v>
      </c>
      <c r="W44" s="2"/>
      <c r="X44" s="6">
        <f t="shared" si="27"/>
        <v>-1622.3400000000001</v>
      </c>
      <c r="Y44" s="2"/>
      <c r="Z44" s="7">
        <f t="shared" si="28"/>
        <v>-0.66317028704104908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1"/>
        <v>0</v>
      </c>
      <c r="G45" s="2"/>
      <c r="H45" s="6">
        <v>1689.74</v>
      </c>
      <c r="I45" s="2"/>
      <c r="J45" s="7">
        <f t="shared" si="22"/>
        <v>8.0261245428205008E-2</v>
      </c>
      <c r="K45" s="2"/>
      <c r="L45" s="6">
        <f t="shared" si="23"/>
        <v>-1689.74</v>
      </c>
      <c r="M45" s="2"/>
      <c r="N45" s="7">
        <f t="shared" si="24"/>
        <v>-1</v>
      </c>
      <c r="O45" s="11"/>
      <c r="P45" s="6"/>
      <c r="Q45" s="2"/>
      <c r="R45" s="7">
        <f t="shared" si="25"/>
        <v>0</v>
      </c>
      <c r="S45" s="2"/>
      <c r="T45" s="6">
        <v>2194.14</v>
      </c>
      <c r="U45" s="2"/>
      <c r="V45" s="7">
        <f t="shared" si="26"/>
        <v>6.475254537405932E-2</v>
      </c>
      <c r="W45" s="2"/>
      <c r="X45" s="6">
        <f t="shared" si="27"/>
        <v>-2194.14</v>
      </c>
      <c r="Y45" s="2"/>
      <c r="Z45" s="7">
        <f t="shared" si="28"/>
        <v>-1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49.61</v>
      </c>
      <c r="E48" s="1"/>
      <c r="F48" s="5">
        <f t="shared" ref="F48:F57" si="29">IF(D$12=0,0,D48/D$12)</f>
        <v>5.7169855894164895E-3</v>
      </c>
      <c r="G48" s="1"/>
      <c r="H48" s="1">
        <f>SUM(OSRRefH22_2x_0)</f>
        <v>13</v>
      </c>
      <c r="I48" s="1"/>
      <c r="J48" s="5">
        <f t="shared" ref="J48:J57" si="30">IF(H$12=0,0,H48/H$12)</f>
        <v>6.1748919393910602E-4</v>
      </c>
      <c r="K48" s="1"/>
      <c r="L48" s="1">
        <f t="shared" ref="L48:L57" si="31">+D48-H48</f>
        <v>36.61</v>
      </c>
      <c r="M48" s="1"/>
      <c r="N48" s="5">
        <f t="shared" ref="N48:N57" si="32">IF(H48=0,0,L48/H48)</f>
        <v>2.816153846153846</v>
      </c>
      <c r="O48" s="14"/>
      <c r="P48" s="1">
        <f>SUM(OSRRefP22_2x_0)</f>
        <v>95.58</v>
      </c>
      <c r="Q48" s="1"/>
      <c r="R48" s="5">
        <f t="shared" ref="R48:R57" si="33">IF(P$12=0,0,P48/P$12)</f>
        <v>6.650662770065755E-3</v>
      </c>
      <c r="S48" s="1"/>
      <c r="T48" s="1">
        <f>SUM(OSRRefT22_2x_0)</f>
        <v>1913</v>
      </c>
      <c r="U48" s="1"/>
      <c r="V48" s="5">
        <f t="shared" ref="V48:V57" si="34">IF(T$12=0,0,T48/T$12)</f>
        <v>5.6455658846097094E-2</v>
      </c>
      <c r="W48" s="1"/>
      <c r="X48" s="1">
        <f t="shared" ref="X48:X57" si="35">+P48-T48</f>
        <v>-1817.42</v>
      </c>
      <c r="Y48" s="1"/>
      <c r="Z48" s="5">
        <f t="shared" ref="Z48:Z57" si="36">IF(T48=0,0,X48/T48)</f>
        <v>-0.95003659174072141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6">
        <v>49.61</v>
      </c>
      <c r="E49" s="2"/>
      <c r="F49" s="7">
        <f t="shared" si="29"/>
        <v>5.7169855894164895E-3</v>
      </c>
      <c r="G49" s="2"/>
      <c r="H49" s="6">
        <v>13</v>
      </c>
      <c r="I49" s="2"/>
      <c r="J49" s="7">
        <f t="shared" si="30"/>
        <v>6.1748919393910602E-4</v>
      </c>
      <c r="K49" s="2"/>
      <c r="L49" s="6">
        <f t="shared" si="31"/>
        <v>36.61</v>
      </c>
      <c r="M49" s="2"/>
      <c r="N49" s="7">
        <f t="shared" si="32"/>
        <v>2.816153846153846</v>
      </c>
      <c r="O49" s="11"/>
      <c r="P49" s="6">
        <v>95.58</v>
      </c>
      <c r="Q49" s="2"/>
      <c r="R49" s="7">
        <f t="shared" si="33"/>
        <v>6.650662770065755E-3</v>
      </c>
      <c r="S49" s="2"/>
      <c r="T49" s="6">
        <v>1913</v>
      </c>
      <c r="U49" s="2"/>
      <c r="V49" s="7">
        <f t="shared" si="34"/>
        <v>5.6455658846097094E-2</v>
      </c>
      <c r="W49" s="2"/>
      <c r="X49" s="6">
        <f t="shared" si="35"/>
        <v>-1817.42</v>
      </c>
      <c r="Y49" s="2"/>
      <c r="Z49" s="7">
        <f t="shared" si="36"/>
        <v>-0.95003659174072141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-193.38</v>
      </c>
      <c r="E50" s="1"/>
      <c r="F50" s="5">
        <f t="shared" si="29"/>
        <v>-2.2284835180031461E-2</v>
      </c>
      <c r="G50" s="1"/>
      <c r="H50" s="1">
        <f>SUM(OSRRefH22_3x_0)</f>
        <v>5</v>
      </c>
      <c r="I50" s="1"/>
      <c r="J50" s="5">
        <f t="shared" si="30"/>
        <v>2.374958438227331E-4</v>
      </c>
      <c r="K50" s="1"/>
      <c r="L50" s="1">
        <f t="shared" si="31"/>
        <v>-198.38</v>
      </c>
      <c r="M50" s="1"/>
      <c r="N50" s="5">
        <f t="shared" si="32"/>
        <v>-39.676000000000002</v>
      </c>
      <c r="O50" s="14"/>
      <c r="P50" s="1">
        <f>SUM(OSRRefP22_3x_0)</f>
        <v>-193.52</v>
      </c>
      <c r="Q50" s="1"/>
      <c r="R50" s="5">
        <f t="shared" si="33"/>
        <v>-1.346553943568869E-2</v>
      </c>
      <c r="S50" s="1"/>
      <c r="T50" s="1">
        <f>SUM(OSRRefT22_3x_0)</f>
        <v>25</v>
      </c>
      <c r="U50" s="1"/>
      <c r="V50" s="5">
        <f t="shared" si="34"/>
        <v>7.3778958241109633E-4</v>
      </c>
      <c r="W50" s="1"/>
      <c r="X50" s="1">
        <f t="shared" si="35"/>
        <v>-218.52</v>
      </c>
      <c r="Y50" s="1"/>
      <c r="Z50" s="5">
        <f t="shared" si="36"/>
        <v>-8.7408000000000001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6">
        <v>-193.38</v>
      </c>
      <c r="E51" s="2"/>
      <c r="F51" s="7">
        <f t="shared" si="29"/>
        <v>-2.2284835180031461E-2</v>
      </c>
      <c r="G51" s="2"/>
      <c r="H51" s="6">
        <v>5</v>
      </c>
      <c r="I51" s="2"/>
      <c r="J51" s="7">
        <f t="shared" si="30"/>
        <v>2.374958438227331E-4</v>
      </c>
      <c r="K51" s="2"/>
      <c r="L51" s="6">
        <f t="shared" si="31"/>
        <v>-198.38</v>
      </c>
      <c r="M51" s="2"/>
      <c r="N51" s="7">
        <f t="shared" si="32"/>
        <v>-39.676000000000002</v>
      </c>
      <c r="O51" s="11"/>
      <c r="P51" s="6">
        <v>-193.52</v>
      </c>
      <c r="Q51" s="2"/>
      <c r="R51" s="7">
        <f t="shared" si="33"/>
        <v>-1.346553943568869E-2</v>
      </c>
      <c r="S51" s="2"/>
      <c r="T51" s="6">
        <v>25</v>
      </c>
      <c r="U51" s="2"/>
      <c r="V51" s="7">
        <f t="shared" si="34"/>
        <v>7.3778958241109633E-4</v>
      </c>
      <c r="W51" s="2"/>
      <c r="X51" s="6">
        <f t="shared" si="35"/>
        <v>-218.52</v>
      </c>
      <c r="Y51" s="2"/>
      <c r="Z51" s="7">
        <f t="shared" si="36"/>
        <v>-8.7408000000000001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493.43</v>
      </c>
      <c r="E52" s="1"/>
      <c r="F52" s="5">
        <f t="shared" si="29"/>
        <v>5.6862168905175946E-2</v>
      </c>
      <c r="G52" s="1"/>
      <c r="H52" s="1">
        <f>SUM(OSRRefH22_4x_0)</f>
        <v>3924</v>
      </c>
      <c r="I52" s="1"/>
      <c r="J52" s="5">
        <f t="shared" si="30"/>
        <v>0.18638673823208093</v>
      </c>
      <c r="K52" s="1"/>
      <c r="L52" s="1">
        <f t="shared" si="31"/>
        <v>-3430.57</v>
      </c>
      <c r="M52" s="1"/>
      <c r="N52" s="5">
        <f t="shared" si="32"/>
        <v>-0.87425331294597353</v>
      </c>
      <c r="O52" s="14"/>
      <c r="P52" s="1">
        <f>SUM(OSRRefP22_4x_0)</f>
        <v>1109.32</v>
      </c>
      <c r="Q52" s="1"/>
      <c r="R52" s="5">
        <f t="shared" si="33"/>
        <v>7.7188880770970317E-2</v>
      </c>
      <c r="S52" s="1"/>
      <c r="T52" s="1">
        <f>SUM(OSRRefT22_4x_0)</f>
        <v>6392</v>
      </c>
      <c r="U52" s="1"/>
      <c r="V52" s="5">
        <f t="shared" si="34"/>
        <v>0.18863804043086912</v>
      </c>
      <c r="W52" s="1"/>
      <c r="X52" s="1">
        <f t="shared" si="35"/>
        <v>-5282.68</v>
      </c>
      <c r="Y52" s="1"/>
      <c r="Z52" s="5">
        <f t="shared" si="36"/>
        <v>-0.82645181476846064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6">
        <v>493.43</v>
      </c>
      <c r="E53" s="2"/>
      <c r="F53" s="7">
        <f t="shared" si="29"/>
        <v>5.6862168905175946E-2</v>
      </c>
      <c r="G53" s="2"/>
      <c r="H53" s="6">
        <v>3924</v>
      </c>
      <c r="I53" s="2"/>
      <c r="J53" s="7">
        <f t="shared" si="30"/>
        <v>0.18638673823208093</v>
      </c>
      <c r="K53" s="2"/>
      <c r="L53" s="6">
        <f t="shared" si="31"/>
        <v>-3430.57</v>
      </c>
      <c r="M53" s="2"/>
      <c r="N53" s="7">
        <f t="shared" si="32"/>
        <v>-0.87425331294597353</v>
      </c>
      <c r="O53" s="11"/>
      <c r="P53" s="6">
        <v>1109.32</v>
      </c>
      <c r="Q53" s="2"/>
      <c r="R53" s="7">
        <f t="shared" si="33"/>
        <v>7.7188880770970317E-2</v>
      </c>
      <c r="S53" s="2"/>
      <c r="T53" s="6">
        <v>6392</v>
      </c>
      <c r="U53" s="2"/>
      <c r="V53" s="7">
        <f t="shared" si="34"/>
        <v>0.18863804043086912</v>
      </c>
      <c r="W53" s="2"/>
      <c r="X53" s="6">
        <f t="shared" si="35"/>
        <v>-5282.68</v>
      </c>
      <c r="Y53" s="2"/>
      <c r="Z53" s="7">
        <f t="shared" si="36"/>
        <v>-0.82645181476846064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37681.94</v>
      </c>
      <c r="E54" s="1"/>
      <c r="F54" s="5">
        <f t="shared" si="29"/>
        <v>4.3424129804728242</v>
      </c>
      <c r="G54" s="1"/>
      <c r="H54" s="1">
        <f>SUM(OSRRefH22_5x_0)</f>
        <v>38566</v>
      </c>
      <c r="I54" s="1"/>
      <c r="J54" s="5">
        <f t="shared" si="30"/>
        <v>1.8318529425735051</v>
      </c>
      <c r="K54" s="1"/>
      <c r="L54" s="1">
        <f t="shared" si="31"/>
        <v>-884.05999999999767</v>
      </c>
      <c r="M54" s="1"/>
      <c r="N54" s="5">
        <f t="shared" si="32"/>
        <v>-2.2923300316340756E-2</v>
      </c>
      <c r="O54" s="14"/>
      <c r="P54" s="1">
        <f>SUM(OSRRefP22_5x_0)</f>
        <v>112928.43</v>
      </c>
      <c r="Q54" s="1"/>
      <c r="R54" s="5">
        <f t="shared" si="33"/>
        <v>7.8578039870577179</v>
      </c>
      <c r="S54" s="1"/>
      <c r="T54" s="1">
        <f>SUM(OSRRefT22_5x_0)</f>
        <v>115698</v>
      </c>
      <c r="U54" s="1"/>
      <c r="V54" s="5">
        <f t="shared" si="34"/>
        <v>3.4144311642319609</v>
      </c>
      <c r="W54" s="1"/>
      <c r="X54" s="1">
        <f t="shared" si="35"/>
        <v>-2769.570000000007</v>
      </c>
      <c r="Y54" s="1"/>
      <c r="Z54" s="5">
        <f t="shared" si="36"/>
        <v>-2.3937924596795165E-2</v>
      </c>
    </row>
    <row r="55" spans="1:26" s="24" customFormat="1" hidden="1" outlineLevel="2" x14ac:dyDescent="0.25">
      <c r="A55" s="29"/>
      <c r="B55" s="11" t="str">
        <f>CONCATENATE("          ", "6321", " - ", "BUILDING DEPRECIATION")</f>
        <v xml:space="preserve">          6321 - BUILDING DEPRECIATION</v>
      </c>
      <c r="C55" s="11"/>
      <c r="D55" s="6">
        <v>23844.880000000001</v>
      </c>
      <c r="E55" s="2"/>
      <c r="F55" s="7">
        <f t="shared" si="29"/>
        <v>2.747849936330689</v>
      </c>
      <c r="G55" s="2"/>
      <c r="H55" s="6"/>
      <c r="I55" s="2"/>
      <c r="J55" s="7">
        <f t="shared" si="30"/>
        <v>0</v>
      </c>
      <c r="K55" s="2"/>
      <c r="L55" s="6">
        <f t="shared" si="31"/>
        <v>23844.880000000001</v>
      </c>
      <c r="M55" s="2"/>
      <c r="N55" s="7">
        <f t="shared" si="32"/>
        <v>0</v>
      </c>
      <c r="O55" s="11"/>
      <c r="P55" s="6">
        <v>71534.66</v>
      </c>
      <c r="Q55" s="2"/>
      <c r="R55" s="7">
        <f t="shared" si="33"/>
        <v>4.9775360957450516</v>
      </c>
      <c r="S55" s="2"/>
      <c r="T55" s="6"/>
      <c r="U55" s="2"/>
      <c r="V55" s="7">
        <f t="shared" si="34"/>
        <v>0</v>
      </c>
      <c r="W55" s="2"/>
      <c r="X55" s="6">
        <f t="shared" si="35"/>
        <v>71534.66</v>
      </c>
      <c r="Y55" s="2"/>
      <c r="Z55" s="7">
        <f t="shared" si="36"/>
        <v>0</v>
      </c>
    </row>
    <row r="56" spans="1:26" s="24" customFormat="1" hidden="1" outlineLevel="2" x14ac:dyDescent="0.25">
      <c r="A56" s="29"/>
      <c r="B56" s="11" t="str">
        <f>CONCATENATE("          ", "6322", " - ", "EQUIPMENT DEPRECIATION EXPENSE")</f>
        <v xml:space="preserve">          6322 - EQUIPMENT DEPRECIATION EXPENSE</v>
      </c>
      <c r="C56" s="11"/>
      <c r="D56" s="6">
        <v>13837.06</v>
      </c>
      <c r="E56" s="2"/>
      <c r="F56" s="7">
        <f t="shared" si="29"/>
        <v>1.5945630441421352</v>
      </c>
      <c r="G56" s="2"/>
      <c r="H56" s="6">
        <v>38016</v>
      </c>
      <c r="I56" s="2"/>
      <c r="J56" s="7">
        <f t="shared" si="30"/>
        <v>1.8057283997530043</v>
      </c>
      <c r="K56" s="2"/>
      <c r="L56" s="6">
        <f t="shared" si="31"/>
        <v>-24178.940000000002</v>
      </c>
      <c r="M56" s="2"/>
      <c r="N56" s="7">
        <f t="shared" si="32"/>
        <v>-0.63602009680134686</v>
      </c>
      <c r="O56" s="11"/>
      <c r="P56" s="6">
        <v>41393.769999999997</v>
      </c>
      <c r="Q56" s="2"/>
      <c r="R56" s="7">
        <f t="shared" si="33"/>
        <v>2.8802678913126671</v>
      </c>
      <c r="S56" s="2"/>
      <c r="T56" s="6">
        <v>114048</v>
      </c>
      <c r="U56" s="2"/>
      <c r="V56" s="7">
        <f t="shared" si="34"/>
        <v>3.3657370517928289</v>
      </c>
      <c r="W56" s="2"/>
      <c r="X56" s="6">
        <f t="shared" si="35"/>
        <v>-72654.23000000001</v>
      </c>
      <c r="Y56" s="2"/>
      <c r="Z56" s="7">
        <f t="shared" si="36"/>
        <v>-0.63704957561728404</v>
      </c>
    </row>
    <row r="57" spans="1:26" s="24" customFormat="1" hidden="1" outlineLevel="2" x14ac:dyDescent="0.25">
      <c r="A57" s="29"/>
      <c r="B57" s="11" t="str">
        <f>CONCATENATE("          ", "6326", " - ", "VEHICLES DEPRECIATION EXPENSE")</f>
        <v xml:space="preserve">          6326 - VEHICLES DEPRECIATION EXPENSE</v>
      </c>
      <c r="C57" s="11"/>
      <c r="D57" s="6"/>
      <c r="E57" s="2"/>
      <c r="F57" s="7">
        <f t="shared" si="29"/>
        <v>0</v>
      </c>
      <c r="G57" s="2"/>
      <c r="H57" s="6">
        <v>550</v>
      </c>
      <c r="I57" s="2"/>
      <c r="J57" s="7">
        <f t="shared" si="30"/>
        <v>2.612454282050064E-2</v>
      </c>
      <c r="K57" s="2"/>
      <c r="L57" s="6">
        <f t="shared" si="31"/>
        <v>-550</v>
      </c>
      <c r="M57" s="2"/>
      <c r="N57" s="7">
        <f t="shared" si="32"/>
        <v>-1</v>
      </c>
      <c r="O57" s="11"/>
      <c r="P57" s="6"/>
      <c r="Q57" s="2"/>
      <c r="R57" s="7">
        <f t="shared" si="33"/>
        <v>0</v>
      </c>
      <c r="S57" s="2"/>
      <c r="T57" s="6">
        <v>1650</v>
      </c>
      <c r="U57" s="2"/>
      <c r="V57" s="7">
        <f t="shared" si="34"/>
        <v>4.869411243913236E-2</v>
      </c>
      <c r="W57" s="2"/>
      <c r="X57" s="6">
        <f t="shared" si="35"/>
        <v>-1650</v>
      </c>
      <c r="Y57" s="2"/>
      <c r="Z57" s="7">
        <f t="shared" si="36"/>
        <v>-1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0</v>
      </c>
      <c r="E58" s="1"/>
      <c r="F58" s="5">
        <f t="shared" ref="F58:F76" si="37">IF(D$12=0,0,D58/D$12)</f>
        <v>0</v>
      </c>
      <c r="G58" s="1"/>
      <c r="H58" s="1">
        <f>SUM(OSRRefH22_6x_0)</f>
        <v>0</v>
      </c>
      <c r="I58" s="1"/>
      <c r="J58" s="5">
        <f t="shared" ref="J58:J76" si="38">IF(H$12=0,0,H58/H$12)</f>
        <v>0</v>
      </c>
      <c r="K58" s="1"/>
      <c r="L58" s="1">
        <f t="shared" ref="L58:L76" si="39">+D58-H58</f>
        <v>0</v>
      </c>
      <c r="M58" s="1"/>
      <c r="N58" s="5">
        <f t="shared" ref="N58:N76" si="40">IF(H58=0,0,L58/H58)</f>
        <v>0</v>
      </c>
      <c r="O58" s="14"/>
      <c r="P58" s="1">
        <f>SUM(OSRRefP22_6x_0)</f>
        <v>0</v>
      </c>
      <c r="Q58" s="1"/>
      <c r="R58" s="5">
        <f t="shared" ref="R58:R76" si="41">IF(P$12=0,0,P58/P$12)</f>
        <v>0</v>
      </c>
      <c r="S58" s="1"/>
      <c r="T58" s="1">
        <f>SUM(OSRRefT22_6x_0)</f>
        <v>0</v>
      </c>
      <c r="U58" s="1"/>
      <c r="V58" s="5">
        <f t="shared" ref="V58:V76" si="42">IF(T$12=0,0,T58/T$12)</f>
        <v>0</v>
      </c>
      <c r="W58" s="1"/>
      <c r="X58" s="1">
        <f t="shared" ref="X58:X76" si="43">+P58-T58</f>
        <v>0</v>
      </c>
      <c r="Y58" s="1"/>
      <c r="Z58" s="5">
        <f t="shared" ref="Z58:Z76" si="44">IF(T58=0,0,X58/T58)</f>
        <v>0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37"/>
        <v>0</v>
      </c>
      <c r="G59" s="2"/>
      <c r="H59" s="6">
        <v>0</v>
      </c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/>
      <c r="Q59" s="2"/>
      <c r="R59" s="7">
        <f t="shared" si="41"/>
        <v>0</v>
      </c>
      <c r="S59" s="2"/>
      <c r="T59" s="6">
        <v>0</v>
      </c>
      <c r="U59" s="2"/>
      <c r="V59" s="7">
        <f t="shared" si="42"/>
        <v>0</v>
      </c>
      <c r="W59" s="2"/>
      <c r="X59" s="6">
        <f t="shared" si="43"/>
        <v>0</v>
      </c>
      <c r="Y59" s="2"/>
      <c r="Z59" s="7">
        <f t="shared" si="44"/>
        <v>0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283.86</v>
      </c>
      <c r="E60" s="1"/>
      <c r="F60" s="5">
        <f t="shared" si="37"/>
        <v>3.27116212338594E-2</v>
      </c>
      <c r="G60" s="1"/>
      <c r="H60" s="1">
        <f>SUM(OSRRefH22_7x_0)</f>
        <v>265.33333333333297</v>
      </c>
      <c r="I60" s="1"/>
      <c r="J60" s="5">
        <f t="shared" si="38"/>
        <v>1.2603112778859686E-2</v>
      </c>
      <c r="K60" s="1"/>
      <c r="L60" s="1">
        <f t="shared" si="39"/>
        <v>18.52666666666704</v>
      </c>
      <c r="M60" s="1"/>
      <c r="N60" s="5">
        <f t="shared" si="40"/>
        <v>6.9824120603016585E-2</v>
      </c>
      <c r="O60" s="14"/>
      <c r="P60" s="1">
        <f>SUM(OSRRefP22_7x_0)</f>
        <v>1316.61</v>
      </c>
      <c r="Q60" s="1"/>
      <c r="R60" s="5">
        <f t="shared" si="41"/>
        <v>9.1612566537939671E-2</v>
      </c>
      <c r="S60" s="1"/>
      <c r="T60" s="1">
        <f>SUM(OSRRefT22_7x_0)</f>
        <v>973.99999999999898</v>
      </c>
      <c r="U60" s="1"/>
      <c r="V60" s="5">
        <f t="shared" si="42"/>
        <v>2.8744282130736282E-2</v>
      </c>
      <c r="W60" s="1"/>
      <c r="X60" s="1">
        <f t="shared" si="43"/>
        <v>342.61000000000092</v>
      </c>
      <c r="Y60" s="1"/>
      <c r="Z60" s="5">
        <f t="shared" si="44"/>
        <v>0.3517556468172498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6">
        <v>283.86</v>
      </c>
      <c r="E61" s="2"/>
      <c r="F61" s="7">
        <f t="shared" si="37"/>
        <v>3.27116212338594E-2</v>
      </c>
      <c r="G61" s="2"/>
      <c r="H61" s="6">
        <v>265.33333333333297</v>
      </c>
      <c r="I61" s="2"/>
      <c r="J61" s="7">
        <f t="shared" si="38"/>
        <v>1.2603112778859686E-2</v>
      </c>
      <c r="K61" s="2"/>
      <c r="L61" s="6">
        <f t="shared" si="39"/>
        <v>18.52666666666704</v>
      </c>
      <c r="M61" s="2"/>
      <c r="N61" s="7">
        <f t="shared" si="40"/>
        <v>6.9824120603016585E-2</v>
      </c>
      <c r="O61" s="11"/>
      <c r="P61" s="6">
        <v>1316.61</v>
      </c>
      <c r="Q61" s="2"/>
      <c r="R61" s="7">
        <f t="shared" si="41"/>
        <v>9.1612566537939671E-2</v>
      </c>
      <c r="S61" s="2"/>
      <c r="T61" s="6">
        <v>973.99999999999898</v>
      </c>
      <c r="U61" s="2"/>
      <c r="V61" s="7">
        <f t="shared" si="42"/>
        <v>2.8744282130736282E-2</v>
      </c>
      <c r="W61" s="2"/>
      <c r="X61" s="6">
        <f t="shared" si="43"/>
        <v>342.61000000000092</v>
      </c>
      <c r="Y61" s="2"/>
      <c r="Z61" s="7">
        <f t="shared" si="44"/>
        <v>0.3517556468172498</v>
      </c>
    </row>
    <row r="62" spans="1:26" s="28" customFormat="1" outlineLevel="1" collapsed="1" x14ac:dyDescent="0.25">
      <c r="A62" s="27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SUM(OSRRefD22_8x_0)</f>
        <v>-5.41</v>
      </c>
      <c r="E62" s="1"/>
      <c r="F62" s="5">
        <f t="shared" si="37"/>
        <v>-6.2344067806376156E-4</v>
      </c>
      <c r="G62" s="1"/>
      <c r="H62" s="1">
        <f>SUM(OSRRefH22_8x_0)</f>
        <v>0</v>
      </c>
      <c r="I62" s="1"/>
      <c r="J62" s="5">
        <f t="shared" si="38"/>
        <v>0</v>
      </c>
      <c r="K62" s="1"/>
      <c r="L62" s="1">
        <f t="shared" si="39"/>
        <v>-5.41</v>
      </c>
      <c r="M62" s="1"/>
      <c r="N62" s="5">
        <f t="shared" si="40"/>
        <v>0</v>
      </c>
      <c r="O62" s="14"/>
      <c r="P62" s="1">
        <f>SUM(OSRRefP22_8x_0)</f>
        <v>-5.41</v>
      </c>
      <c r="Q62" s="1"/>
      <c r="R62" s="5">
        <f t="shared" si="41"/>
        <v>-3.7643948091709288E-4</v>
      </c>
      <c r="S62" s="1"/>
      <c r="T62" s="1">
        <f>SUM(OSRRefT22_8x_0)</f>
        <v>0</v>
      </c>
      <c r="U62" s="1"/>
      <c r="V62" s="5">
        <f t="shared" si="42"/>
        <v>0</v>
      </c>
      <c r="W62" s="1"/>
      <c r="X62" s="1">
        <f t="shared" si="43"/>
        <v>-5.41</v>
      </c>
      <c r="Y62" s="1"/>
      <c r="Z62" s="5">
        <f t="shared" si="44"/>
        <v>0</v>
      </c>
    </row>
    <row r="63" spans="1:26" s="24" customFormat="1" hidden="1" outlineLevel="2" x14ac:dyDescent="0.25">
      <c r="A63" s="29"/>
      <c r="B63" s="11" t="str">
        <f>CONCATENATE("          ", "6307", " - ", "POSTAGE")</f>
        <v xml:space="preserve">          6307 - POSTAGE</v>
      </c>
      <c r="C63" s="11"/>
      <c r="D63" s="6">
        <v>-5.41</v>
      </c>
      <c r="E63" s="2"/>
      <c r="F63" s="7">
        <f t="shared" si="37"/>
        <v>-6.2344067806376156E-4</v>
      </c>
      <c r="G63" s="2"/>
      <c r="H63" s="6"/>
      <c r="I63" s="2"/>
      <c r="J63" s="7">
        <f t="shared" si="38"/>
        <v>0</v>
      </c>
      <c r="K63" s="2"/>
      <c r="L63" s="6">
        <f t="shared" si="39"/>
        <v>-5.41</v>
      </c>
      <c r="M63" s="2"/>
      <c r="N63" s="7">
        <f t="shared" si="40"/>
        <v>0</v>
      </c>
      <c r="O63" s="11"/>
      <c r="P63" s="6">
        <v>-5.41</v>
      </c>
      <c r="Q63" s="2"/>
      <c r="R63" s="7">
        <f t="shared" si="41"/>
        <v>-3.7643948091709288E-4</v>
      </c>
      <c r="S63" s="2"/>
      <c r="T63" s="6"/>
      <c r="U63" s="2"/>
      <c r="V63" s="7">
        <f t="shared" si="42"/>
        <v>0</v>
      </c>
      <c r="W63" s="2"/>
      <c r="X63" s="6">
        <f t="shared" si="43"/>
        <v>-5.41</v>
      </c>
      <c r="Y63" s="2"/>
      <c r="Z63" s="7">
        <f t="shared" si="44"/>
        <v>0</v>
      </c>
    </row>
    <row r="64" spans="1:26" s="28" customFormat="1" outlineLevel="1" collapsed="1" x14ac:dyDescent="0.25">
      <c r="A64" s="27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SUM(OSRRefD22_9x_0)</f>
        <v>550.52</v>
      </c>
      <c r="E64" s="1"/>
      <c r="F64" s="5">
        <f t="shared" si="37"/>
        <v>6.3441139018052123E-2</v>
      </c>
      <c r="G64" s="1"/>
      <c r="H64" s="1">
        <f>SUM(OSRRefH22_9x_0)</f>
        <v>0</v>
      </c>
      <c r="I64" s="1"/>
      <c r="J64" s="5">
        <f t="shared" si="38"/>
        <v>0</v>
      </c>
      <c r="K64" s="1"/>
      <c r="L64" s="1">
        <f t="shared" si="39"/>
        <v>550.52</v>
      </c>
      <c r="M64" s="1"/>
      <c r="N64" s="5">
        <f t="shared" si="40"/>
        <v>0</v>
      </c>
      <c r="O64" s="14"/>
      <c r="P64" s="1">
        <f>SUM(OSRRefP22_9x_0)</f>
        <v>3766.45</v>
      </c>
      <c r="Q64" s="1"/>
      <c r="R64" s="5">
        <f t="shared" si="41"/>
        <v>0.2620777232717531</v>
      </c>
      <c r="S64" s="1"/>
      <c r="T64" s="1">
        <f>SUM(OSRRefT22_9x_0)</f>
        <v>4355</v>
      </c>
      <c r="U64" s="1"/>
      <c r="V64" s="5">
        <f t="shared" si="42"/>
        <v>0.12852294525601299</v>
      </c>
      <c r="W64" s="1"/>
      <c r="X64" s="1">
        <f t="shared" si="43"/>
        <v>-588.55000000000018</v>
      </c>
      <c r="Y64" s="1"/>
      <c r="Z64" s="5">
        <f t="shared" si="44"/>
        <v>-0.13514351320321474</v>
      </c>
    </row>
    <row r="65" spans="1:26" s="24" customFormat="1" hidden="1" outlineLevel="2" x14ac:dyDescent="0.25">
      <c r="A65" s="29"/>
      <c r="B65" s="11" t="str">
        <f>CONCATENATE("          ", "6279", " - ", "GENERAL EXPENSE")</f>
        <v xml:space="preserve">          6279 - GENERAL EXPENSE</v>
      </c>
      <c r="C65" s="11"/>
      <c r="D65" s="6">
        <v>550.52</v>
      </c>
      <c r="E65" s="2"/>
      <c r="F65" s="7">
        <f t="shared" si="37"/>
        <v>6.3441139018052123E-2</v>
      </c>
      <c r="G65" s="2"/>
      <c r="H65" s="6">
        <v>0</v>
      </c>
      <c r="I65" s="2"/>
      <c r="J65" s="7">
        <f t="shared" si="38"/>
        <v>0</v>
      </c>
      <c r="K65" s="2"/>
      <c r="L65" s="6">
        <f t="shared" si="39"/>
        <v>550.52</v>
      </c>
      <c r="M65" s="2"/>
      <c r="N65" s="7">
        <f t="shared" si="40"/>
        <v>0</v>
      </c>
      <c r="O65" s="11"/>
      <c r="P65" s="6">
        <v>3766.45</v>
      </c>
      <c r="Q65" s="2"/>
      <c r="R65" s="7">
        <f t="shared" si="41"/>
        <v>0.2620777232717531</v>
      </c>
      <c r="S65" s="2"/>
      <c r="T65" s="6">
        <v>4355</v>
      </c>
      <c r="U65" s="2"/>
      <c r="V65" s="7">
        <f t="shared" si="42"/>
        <v>0.12852294525601299</v>
      </c>
      <c r="W65" s="2"/>
      <c r="X65" s="6">
        <f t="shared" si="43"/>
        <v>-588.55000000000018</v>
      </c>
      <c r="Y65" s="2"/>
      <c r="Z65" s="7">
        <f t="shared" si="44"/>
        <v>-0.13514351320321474</v>
      </c>
    </row>
    <row r="66" spans="1:26" s="28" customFormat="1" outlineLevel="1" collapsed="1" x14ac:dyDescent="0.25">
      <c r="A66" s="27"/>
      <c r="B66" s="14" t="str">
        <f>CONCATENATE("     ","Insurance                                         ")</f>
        <v xml:space="preserve">     Insurance                                         </v>
      </c>
      <c r="C66" s="14"/>
      <c r="D66" s="1">
        <f>SUM(OSRRefD22_10x_0)</f>
        <v>4240.13</v>
      </c>
      <c r="E66" s="1"/>
      <c r="F66" s="5">
        <f t="shared" si="37"/>
        <v>0.48862652907181092</v>
      </c>
      <c r="G66" s="1"/>
      <c r="H66" s="1">
        <f>SUM(OSRRefH22_10x_0)</f>
        <v>4565</v>
      </c>
      <c r="I66" s="1"/>
      <c r="J66" s="5">
        <f t="shared" si="38"/>
        <v>0.21683370541015531</v>
      </c>
      <c r="K66" s="1"/>
      <c r="L66" s="1">
        <f t="shared" si="39"/>
        <v>-324.86999999999989</v>
      </c>
      <c r="M66" s="1"/>
      <c r="N66" s="5">
        <f t="shared" si="40"/>
        <v>-7.1165388828039411E-2</v>
      </c>
      <c r="O66" s="14"/>
      <c r="P66" s="1">
        <f>SUM(OSRRefP22_10x_0)</f>
        <v>12720.39</v>
      </c>
      <c r="Q66" s="1"/>
      <c r="R66" s="5">
        <f t="shared" si="41"/>
        <v>0.88511220123160417</v>
      </c>
      <c r="S66" s="1"/>
      <c r="T66" s="1">
        <f>SUM(OSRRefT22_10x_0)</f>
        <v>13695</v>
      </c>
      <c r="U66" s="1"/>
      <c r="V66" s="5">
        <f t="shared" si="42"/>
        <v>0.40416113324479858</v>
      </c>
      <c r="W66" s="1"/>
      <c r="X66" s="1">
        <f t="shared" si="43"/>
        <v>-974.61000000000058</v>
      </c>
      <c r="Y66" s="1"/>
      <c r="Z66" s="5">
        <f t="shared" si="44"/>
        <v>-7.1165388828039466E-2</v>
      </c>
    </row>
    <row r="67" spans="1:26" s="24" customFormat="1" hidden="1" outlineLevel="2" x14ac:dyDescent="0.25">
      <c r="A67" s="29"/>
      <c r="B67" s="11" t="str">
        <f>CONCATENATE("          ", "6314", " - ", "LIABILITY INSURANCE")</f>
        <v xml:space="preserve">          6314 - LIABILITY INSURANCE</v>
      </c>
      <c r="C67" s="11"/>
      <c r="D67" s="6">
        <v>4240.13</v>
      </c>
      <c r="E67" s="2"/>
      <c r="F67" s="7">
        <f t="shared" si="37"/>
        <v>0.48862652907181092</v>
      </c>
      <c r="G67" s="2"/>
      <c r="H67" s="6">
        <v>4565</v>
      </c>
      <c r="I67" s="2"/>
      <c r="J67" s="7">
        <f t="shared" si="38"/>
        <v>0.21683370541015531</v>
      </c>
      <c r="K67" s="2"/>
      <c r="L67" s="6">
        <f t="shared" si="39"/>
        <v>-324.86999999999989</v>
      </c>
      <c r="M67" s="2"/>
      <c r="N67" s="7">
        <f t="shared" si="40"/>
        <v>-7.1165388828039411E-2</v>
      </c>
      <c r="O67" s="11"/>
      <c r="P67" s="6">
        <v>12720.39</v>
      </c>
      <c r="Q67" s="2"/>
      <c r="R67" s="7">
        <f t="shared" si="41"/>
        <v>0.88511220123160417</v>
      </c>
      <c r="S67" s="2"/>
      <c r="T67" s="6">
        <v>13695</v>
      </c>
      <c r="U67" s="2"/>
      <c r="V67" s="7">
        <f t="shared" si="42"/>
        <v>0.40416113324479858</v>
      </c>
      <c r="W67" s="2"/>
      <c r="X67" s="6">
        <f t="shared" si="43"/>
        <v>-974.61000000000058</v>
      </c>
      <c r="Y67" s="2"/>
      <c r="Z67" s="7">
        <f t="shared" si="44"/>
        <v>-7.1165388828039466E-2</v>
      </c>
    </row>
    <row r="68" spans="1:26" s="28" customFormat="1" outlineLevel="1" collapsed="1" x14ac:dyDescent="0.25">
      <c r="A68" s="27"/>
      <c r="B68" s="14" t="str">
        <f>CONCATENATE("     ","Interest                                          ")</f>
        <v xml:space="preserve">     Interest                                          </v>
      </c>
      <c r="C68" s="14"/>
      <c r="D68" s="1">
        <f>SUM(OSRRefD22_11x_0)</f>
        <v>7510</v>
      </c>
      <c r="E68" s="1"/>
      <c r="F68" s="5">
        <f t="shared" si="37"/>
        <v>0.86544168063934368</v>
      </c>
      <c r="G68" s="1"/>
      <c r="H68" s="1">
        <f>SUM(OSRRefH22_11x_0)</f>
        <v>7510</v>
      </c>
      <c r="I68" s="1"/>
      <c r="J68" s="5">
        <f t="shared" si="38"/>
        <v>0.35671875742174514</v>
      </c>
      <c r="K68" s="1"/>
      <c r="L68" s="1">
        <f t="shared" si="39"/>
        <v>0</v>
      </c>
      <c r="M68" s="1"/>
      <c r="N68" s="5">
        <f t="shared" si="40"/>
        <v>0</v>
      </c>
      <c r="O68" s="14"/>
      <c r="P68" s="1">
        <f>SUM(OSRRefP22_11x_0)</f>
        <v>22530</v>
      </c>
      <c r="Q68" s="1"/>
      <c r="R68" s="5">
        <f t="shared" si="41"/>
        <v>1.5676860452979855</v>
      </c>
      <c r="S68" s="1"/>
      <c r="T68" s="1">
        <f>SUM(OSRRefT22_11x_0)</f>
        <v>22530</v>
      </c>
      <c r="U68" s="1"/>
      <c r="V68" s="5">
        <f t="shared" si="42"/>
        <v>0.66489597166888004</v>
      </c>
      <c r="W68" s="1"/>
      <c r="X68" s="1">
        <f t="shared" si="43"/>
        <v>0</v>
      </c>
      <c r="Y68" s="1"/>
      <c r="Z68" s="5">
        <f t="shared" si="44"/>
        <v>0</v>
      </c>
    </row>
    <row r="69" spans="1:26" s="24" customFormat="1" hidden="1" outlineLevel="2" x14ac:dyDescent="0.25">
      <c r="A69" s="29"/>
      <c r="B69" s="11" t="str">
        <f>CONCATENATE("          ", "6401", " - ", "INTEREST EXPENSE")</f>
        <v xml:space="preserve">          6401 - INTEREST EXPENSE</v>
      </c>
      <c r="C69" s="11"/>
      <c r="D69" s="6">
        <v>7510</v>
      </c>
      <c r="E69" s="2"/>
      <c r="F69" s="7">
        <f t="shared" si="37"/>
        <v>0.86544168063934368</v>
      </c>
      <c r="G69" s="2"/>
      <c r="H69" s="6">
        <v>7510</v>
      </c>
      <c r="I69" s="2"/>
      <c r="J69" s="7">
        <f t="shared" si="38"/>
        <v>0.35671875742174514</v>
      </c>
      <c r="K69" s="2"/>
      <c r="L69" s="6">
        <f t="shared" si="39"/>
        <v>0</v>
      </c>
      <c r="M69" s="2"/>
      <c r="N69" s="7">
        <f t="shared" si="40"/>
        <v>0</v>
      </c>
      <c r="O69" s="11"/>
      <c r="P69" s="6">
        <v>22530</v>
      </c>
      <c r="Q69" s="2"/>
      <c r="R69" s="7">
        <f t="shared" si="41"/>
        <v>1.5676860452979855</v>
      </c>
      <c r="S69" s="2"/>
      <c r="T69" s="6">
        <v>22530</v>
      </c>
      <c r="U69" s="2"/>
      <c r="V69" s="7">
        <f t="shared" si="42"/>
        <v>0.66489597166888004</v>
      </c>
      <c r="W69" s="2"/>
      <c r="X69" s="6">
        <f t="shared" si="43"/>
        <v>0</v>
      </c>
      <c r="Y69" s="2"/>
      <c r="Z69" s="7">
        <f t="shared" si="44"/>
        <v>0</v>
      </c>
    </row>
    <row r="70" spans="1:26" s="28" customFormat="1" outlineLevel="1" collapsed="1" x14ac:dyDescent="0.25">
      <c r="A70" s="27"/>
      <c r="B70" s="14" t="str">
        <f>CONCATENATE("     ","Rent                                              ")</f>
        <v xml:space="preserve">     Rent                                              </v>
      </c>
      <c r="C70" s="14"/>
      <c r="D70" s="1">
        <f>SUM(OSRRefD22_12x_0)</f>
        <v>5550</v>
      </c>
      <c r="E70" s="1"/>
      <c r="F70" s="5">
        <f t="shared" si="37"/>
        <v>0.63957407823546697</v>
      </c>
      <c r="G70" s="1"/>
      <c r="H70" s="1">
        <f>SUM(OSRRefH22_12x_0)</f>
        <v>1943</v>
      </c>
      <c r="I70" s="1"/>
      <c r="J70" s="5">
        <f t="shared" si="38"/>
        <v>9.2290884909514079E-2</v>
      </c>
      <c r="K70" s="1"/>
      <c r="L70" s="1">
        <f t="shared" si="39"/>
        <v>3607</v>
      </c>
      <c r="M70" s="1"/>
      <c r="N70" s="5">
        <f t="shared" si="40"/>
        <v>1.856407617086979</v>
      </c>
      <c r="O70" s="14"/>
      <c r="P70" s="1">
        <f>SUM(OSRRefP22_12x_0)</f>
        <v>5550</v>
      </c>
      <c r="Q70" s="1"/>
      <c r="R70" s="5">
        <f t="shared" si="41"/>
        <v>0.38618098319590854</v>
      </c>
      <c r="S70" s="1"/>
      <c r="T70" s="1">
        <f>SUM(OSRRefT22_12x_0)</f>
        <v>5829</v>
      </c>
      <c r="U70" s="1"/>
      <c r="V70" s="5">
        <f t="shared" si="42"/>
        <v>0.17202301903497122</v>
      </c>
      <c r="W70" s="1"/>
      <c r="X70" s="1">
        <f t="shared" si="43"/>
        <v>-279</v>
      </c>
      <c r="Y70" s="1"/>
      <c r="Z70" s="5">
        <f t="shared" si="44"/>
        <v>-4.7864127637673698E-2</v>
      </c>
    </row>
    <row r="71" spans="1:26" s="24" customFormat="1" hidden="1" outlineLevel="2" x14ac:dyDescent="0.25">
      <c r="A71" s="29"/>
      <c r="B71" s="11" t="str">
        <f>CONCATENATE("          ", "6273", " - ", "RENT")</f>
        <v xml:space="preserve">          6273 - RENT</v>
      </c>
      <c r="C71" s="11"/>
      <c r="D71" s="6">
        <v>5550</v>
      </c>
      <c r="E71" s="2"/>
      <c r="F71" s="7">
        <f t="shared" si="37"/>
        <v>0.63957407823546697</v>
      </c>
      <c r="G71" s="2"/>
      <c r="H71" s="6">
        <v>1943</v>
      </c>
      <c r="I71" s="2"/>
      <c r="J71" s="7">
        <f t="shared" si="38"/>
        <v>9.2290884909514079E-2</v>
      </c>
      <c r="K71" s="2"/>
      <c r="L71" s="6">
        <f t="shared" si="39"/>
        <v>3607</v>
      </c>
      <c r="M71" s="2"/>
      <c r="N71" s="7">
        <f t="shared" si="40"/>
        <v>1.856407617086979</v>
      </c>
      <c r="O71" s="11"/>
      <c r="P71" s="6">
        <v>5550</v>
      </c>
      <c r="Q71" s="2"/>
      <c r="R71" s="7">
        <f t="shared" si="41"/>
        <v>0.38618098319590854</v>
      </c>
      <c r="S71" s="2"/>
      <c r="T71" s="6">
        <v>5829</v>
      </c>
      <c r="U71" s="2"/>
      <c r="V71" s="7">
        <f t="shared" si="42"/>
        <v>0.17202301903497122</v>
      </c>
      <c r="W71" s="2"/>
      <c r="X71" s="6">
        <f t="shared" si="43"/>
        <v>-279</v>
      </c>
      <c r="Y71" s="2"/>
      <c r="Z71" s="7">
        <f t="shared" si="44"/>
        <v>-4.7864127637673698E-2</v>
      </c>
    </row>
    <row r="72" spans="1:26" s="28" customFormat="1" outlineLevel="1" collapsed="1" x14ac:dyDescent="0.25">
      <c r="A72" s="27"/>
      <c r="B72" s="14" t="str">
        <f>CONCATENATE("     ","Repair and Maintenance                            ")</f>
        <v xml:space="preserve">     Repair and Maintenance                            </v>
      </c>
      <c r="C72" s="14"/>
      <c r="D72" s="1">
        <f>SUM(OSRRefD22_13x_0)</f>
        <v>2608.58</v>
      </c>
      <c r="E72" s="1"/>
      <c r="F72" s="5">
        <f t="shared" si="37"/>
        <v>0.30060903585648191</v>
      </c>
      <c r="G72" s="1"/>
      <c r="H72" s="1">
        <f>SUM(OSRRefH22_13x_0)</f>
        <v>332</v>
      </c>
      <c r="I72" s="1"/>
      <c r="J72" s="5">
        <f t="shared" si="38"/>
        <v>1.5769724029829478E-2</v>
      </c>
      <c r="K72" s="1"/>
      <c r="L72" s="1">
        <f t="shared" si="39"/>
        <v>2276.58</v>
      </c>
      <c r="M72" s="1"/>
      <c r="N72" s="5">
        <f t="shared" si="40"/>
        <v>6.8571686746987952</v>
      </c>
      <c r="O72" s="14"/>
      <c r="P72" s="1">
        <f>SUM(OSRRefP22_13x_0)</f>
        <v>11007.75</v>
      </c>
      <c r="Q72" s="1"/>
      <c r="R72" s="5">
        <f t="shared" si="41"/>
        <v>0.76594301221166894</v>
      </c>
      <c r="S72" s="1"/>
      <c r="T72" s="1">
        <f>SUM(OSRRefT22_13x_0)</f>
        <v>1830</v>
      </c>
      <c r="U72" s="1"/>
      <c r="V72" s="5">
        <f t="shared" si="42"/>
        <v>5.4006197432492256E-2</v>
      </c>
      <c r="W72" s="1"/>
      <c r="X72" s="1">
        <f t="shared" si="43"/>
        <v>9177.75</v>
      </c>
      <c r="Y72" s="1"/>
      <c r="Z72" s="5">
        <f t="shared" si="44"/>
        <v>5.0151639344262291</v>
      </c>
    </row>
    <row r="73" spans="1:26" s="24" customFormat="1" hidden="1" outlineLevel="2" x14ac:dyDescent="0.25">
      <c r="A73" s="29"/>
      <c r="B73" s="11" t="str">
        <f>CONCATENATE("          ", "6371", " - ", "COMPUTER SOFTWARE MAINTENANCE")</f>
        <v xml:space="preserve">          6371 - COMPUTER SOFTWARE MAINTENANCE</v>
      </c>
      <c r="C73" s="11"/>
      <c r="D73" s="6"/>
      <c r="E73" s="2"/>
      <c r="F73" s="7">
        <f t="shared" si="37"/>
        <v>0</v>
      </c>
      <c r="G73" s="2"/>
      <c r="H73" s="6">
        <v>0</v>
      </c>
      <c r="I73" s="2"/>
      <c r="J73" s="7">
        <f t="shared" si="38"/>
        <v>0</v>
      </c>
      <c r="K73" s="2"/>
      <c r="L73" s="6">
        <f t="shared" si="39"/>
        <v>0</v>
      </c>
      <c r="M73" s="2"/>
      <c r="N73" s="7">
        <f t="shared" si="40"/>
        <v>0</v>
      </c>
      <c r="O73" s="11"/>
      <c r="P73" s="6"/>
      <c r="Q73" s="2"/>
      <c r="R73" s="7">
        <f t="shared" si="41"/>
        <v>0</v>
      </c>
      <c r="S73" s="2"/>
      <c r="T73" s="6">
        <v>0</v>
      </c>
      <c r="U73" s="2"/>
      <c r="V73" s="7">
        <f t="shared" si="42"/>
        <v>0</v>
      </c>
      <c r="W73" s="2"/>
      <c r="X73" s="6">
        <f t="shared" si="43"/>
        <v>0</v>
      </c>
      <c r="Y73" s="2"/>
      <c r="Z73" s="7">
        <f t="shared" si="44"/>
        <v>0</v>
      </c>
    </row>
    <row r="74" spans="1:26" s="24" customFormat="1" hidden="1" outlineLevel="2" x14ac:dyDescent="0.25">
      <c r="A74" s="29"/>
      <c r="B74" s="11" t="str">
        <f>CONCATENATE("          ", "6372", " - ", "COMPUTER HARDWARE MAINTENANCE")</f>
        <v xml:space="preserve">          6372 - COMPUTER HARDWARE MAINTENANCE</v>
      </c>
      <c r="C74" s="11"/>
      <c r="D74" s="6"/>
      <c r="E74" s="2"/>
      <c r="F74" s="7">
        <f t="shared" si="37"/>
        <v>0</v>
      </c>
      <c r="G74" s="2"/>
      <c r="H74" s="6"/>
      <c r="I74" s="2"/>
      <c r="J74" s="7">
        <f t="shared" si="38"/>
        <v>0</v>
      </c>
      <c r="K74" s="2"/>
      <c r="L74" s="6">
        <f t="shared" si="39"/>
        <v>0</v>
      </c>
      <c r="M74" s="2"/>
      <c r="N74" s="7">
        <f t="shared" si="40"/>
        <v>0</v>
      </c>
      <c r="O74" s="11"/>
      <c r="P74" s="6"/>
      <c r="Q74" s="2"/>
      <c r="R74" s="7">
        <f t="shared" si="41"/>
        <v>0</v>
      </c>
      <c r="S74" s="2"/>
      <c r="T74" s="6">
        <v>0</v>
      </c>
      <c r="U74" s="2"/>
      <c r="V74" s="7">
        <f t="shared" si="42"/>
        <v>0</v>
      </c>
      <c r="W74" s="2"/>
      <c r="X74" s="6">
        <f t="shared" si="43"/>
        <v>0</v>
      </c>
      <c r="Y74" s="2"/>
      <c r="Z74" s="7">
        <f t="shared" si="44"/>
        <v>0</v>
      </c>
    </row>
    <row r="75" spans="1:26" s="24" customFormat="1" hidden="1" outlineLevel="2" x14ac:dyDescent="0.25">
      <c r="A75" s="29"/>
      <c r="B75" s="11" t="str">
        <f>CONCATENATE("          ", "6373", " - ", "MAINTENANCE CONTRACTS")</f>
        <v xml:space="preserve">          6373 - MAINTENANCE CONTRACTS</v>
      </c>
      <c r="C75" s="11"/>
      <c r="D75" s="6">
        <v>1656.76</v>
      </c>
      <c r="E75" s="2"/>
      <c r="F75" s="7">
        <f t="shared" si="37"/>
        <v>0.19092265763196259</v>
      </c>
      <c r="G75" s="2"/>
      <c r="H75" s="6">
        <v>0</v>
      </c>
      <c r="I75" s="2"/>
      <c r="J75" s="7">
        <f t="shared" si="38"/>
        <v>0</v>
      </c>
      <c r="K75" s="2"/>
      <c r="L75" s="6">
        <f t="shared" si="39"/>
        <v>1656.76</v>
      </c>
      <c r="M75" s="2"/>
      <c r="N75" s="7">
        <f t="shared" si="40"/>
        <v>0</v>
      </c>
      <c r="O75" s="11"/>
      <c r="P75" s="6">
        <v>5697.71</v>
      </c>
      <c r="Q75" s="2"/>
      <c r="R75" s="7">
        <f t="shared" si="41"/>
        <v>0.39645896392165048</v>
      </c>
      <c r="S75" s="2"/>
      <c r="T75" s="6">
        <v>0</v>
      </c>
      <c r="U75" s="2"/>
      <c r="V75" s="7">
        <f t="shared" si="42"/>
        <v>0</v>
      </c>
      <c r="W75" s="2"/>
      <c r="X75" s="6">
        <f t="shared" si="43"/>
        <v>5697.71</v>
      </c>
      <c r="Y75" s="2"/>
      <c r="Z75" s="7">
        <f t="shared" si="44"/>
        <v>0</v>
      </c>
    </row>
    <row r="76" spans="1:26" s="24" customFormat="1" hidden="1" outlineLevel="2" x14ac:dyDescent="0.25">
      <c r="A76" s="29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951.82</v>
      </c>
      <c r="E76" s="2"/>
      <c r="F76" s="7">
        <f t="shared" si="37"/>
        <v>0.10968637822451932</v>
      </c>
      <c r="G76" s="2"/>
      <c r="H76" s="6">
        <v>332</v>
      </c>
      <c r="I76" s="2"/>
      <c r="J76" s="7">
        <f t="shared" si="38"/>
        <v>1.5769724029829478E-2</v>
      </c>
      <c r="K76" s="2"/>
      <c r="L76" s="6">
        <f t="shared" si="39"/>
        <v>619.82000000000005</v>
      </c>
      <c r="M76" s="2"/>
      <c r="N76" s="7">
        <f t="shared" si="40"/>
        <v>1.8669277108433737</v>
      </c>
      <c r="O76" s="11"/>
      <c r="P76" s="6">
        <v>5310.04</v>
      </c>
      <c r="Q76" s="2"/>
      <c r="R76" s="7">
        <f t="shared" si="41"/>
        <v>0.36948404829001846</v>
      </c>
      <c r="S76" s="2"/>
      <c r="T76" s="6">
        <v>1830</v>
      </c>
      <c r="U76" s="2"/>
      <c r="V76" s="7">
        <f t="shared" si="42"/>
        <v>5.4006197432492256E-2</v>
      </c>
      <c r="W76" s="2"/>
      <c r="X76" s="6">
        <f t="shared" si="43"/>
        <v>3480.04</v>
      </c>
      <c r="Y76" s="2"/>
      <c r="Z76" s="7">
        <f t="shared" si="44"/>
        <v>1.9016612021857924</v>
      </c>
    </row>
    <row r="77" spans="1:26" s="28" customFormat="1" outlineLevel="1" collapsed="1" x14ac:dyDescent="0.25">
      <c r="A77" s="27"/>
      <c r="B77" s="14" t="str">
        <f>CONCATENATE("     ","Royalty &amp; Commissions                             ")</f>
        <v xml:space="preserve">     Royalty &amp; Commissions                             </v>
      </c>
      <c r="C77" s="14"/>
      <c r="D77" s="1">
        <f>SUM(OSRRefD22_14x_0)</f>
        <v>0</v>
      </c>
      <c r="E77" s="1"/>
      <c r="F77" s="5">
        <f t="shared" ref="F77:F79" si="45">IF(D$12=0,0,D77/D$12)</f>
        <v>0</v>
      </c>
      <c r="G77" s="1"/>
      <c r="H77" s="1">
        <f>SUM(OSRRefH22_14x_0)</f>
        <v>0</v>
      </c>
      <c r="I77" s="1"/>
      <c r="J77" s="5">
        <f t="shared" ref="J77:J79" si="46">IF(H$12=0,0,H77/H$12)</f>
        <v>0</v>
      </c>
      <c r="K77" s="1"/>
      <c r="L77" s="1">
        <f t="shared" ref="L77:L79" si="47">+D77-H77</f>
        <v>0</v>
      </c>
      <c r="M77" s="1"/>
      <c r="N77" s="5">
        <f t="shared" ref="N77:N79" si="48">IF(H77=0,0,L77/H77)</f>
        <v>0</v>
      </c>
      <c r="O77" s="14"/>
      <c r="P77" s="1">
        <f>SUM(OSRRefP22_14x_0)</f>
        <v>0</v>
      </c>
      <c r="Q77" s="1"/>
      <c r="R77" s="5">
        <f t="shared" ref="R77:R79" si="49">IF(P$12=0,0,P77/P$12)</f>
        <v>0</v>
      </c>
      <c r="S77" s="1"/>
      <c r="T77" s="1">
        <f>SUM(OSRRefT22_14x_0)</f>
        <v>0</v>
      </c>
      <c r="U77" s="1"/>
      <c r="V77" s="5">
        <f t="shared" ref="V77:V79" si="50">IF(T$12=0,0,T77/T$12)</f>
        <v>0</v>
      </c>
      <c r="W77" s="1"/>
      <c r="X77" s="1">
        <f t="shared" ref="X77:X79" si="51">+P77-T77</f>
        <v>0</v>
      </c>
      <c r="Y77" s="1"/>
      <c r="Z77" s="5">
        <f t="shared" ref="Z77:Z79" si="52">IF(T77=0,0,X77/T77)</f>
        <v>0</v>
      </c>
    </row>
    <row r="78" spans="1:26" s="24" customFormat="1" hidden="1" outlineLevel="2" x14ac:dyDescent="0.25">
      <c r="A78" s="29"/>
      <c r="B78" s="11" t="str">
        <f>CONCATENATE("          ", "6254", " - ", "ROYALTY &amp; COMMISSIONS")</f>
        <v xml:space="preserve">          6254 - ROYALTY &amp; COMMISSIONS</v>
      </c>
      <c r="C78" s="11"/>
      <c r="D78" s="6"/>
      <c r="E78" s="2"/>
      <c r="F78" s="7">
        <f t="shared" si="45"/>
        <v>0</v>
      </c>
      <c r="G78" s="2"/>
      <c r="H78" s="6">
        <v>0</v>
      </c>
      <c r="I78" s="2"/>
      <c r="J78" s="7">
        <f t="shared" si="46"/>
        <v>0</v>
      </c>
      <c r="K78" s="2"/>
      <c r="L78" s="6">
        <f t="shared" si="47"/>
        <v>0</v>
      </c>
      <c r="M78" s="2"/>
      <c r="N78" s="7">
        <f t="shared" si="48"/>
        <v>0</v>
      </c>
      <c r="O78" s="11"/>
      <c r="P78" s="6"/>
      <c r="Q78" s="2"/>
      <c r="R78" s="7">
        <f t="shared" si="49"/>
        <v>0</v>
      </c>
      <c r="S78" s="2"/>
      <c r="T78" s="6">
        <v>0</v>
      </c>
      <c r="U78" s="2"/>
      <c r="V78" s="7">
        <f t="shared" si="50"/>
        <v>0</v>
      </c>
      <c r="W78" s="2"/>
      <c r="X78" s="6">
        <f t="shared" si="51"/>
        <v>0</v>
      </c>
      <c r="Y78" s="2"/>
      <c r="Z78" s="7">
        <f t="shared" si="52"/>
        <v>0</v>
      </c>
    </row>
    <row r="79" spans="1:26" s="24" customFormat="1" hidden="1" outlineLevel="2" x14ac:dyDescent="0.25">
      <c r="A79" s="29"/>
      <c r="B79" s="11" t="str">
        <f>CONCATENATE("          ", "6259", " - ", "ROYALTY &amp; COMMISSIONS")</f>
        <v xml:space="preserve">          6259 - ROYALTY &amp; COMMISSIONS</v>
      </c>
      <c r="C79" s="11"/>
      <c r="D79" s="6"/>
      <c r="E79" s="2"/>
      <c r="F79" s="7">
        <f t="shared" si="45"/>
        <v>0</v>
      </c>
      <c r="G79" s="2"/>
      <c r="H79" s="6">
        <v>0</v>
      </c>
      <c r="I79" s="2"/>
      <c r="J79" s="7">
        <f t="shared" si="46"/>
        <v>0</v>
      </c>
      <c r="K79" s="2"/>
      <c r="L79" s="6">
        <f t="shared" si="47"/>
        <v>0</v>
      </c>
      <c r="M79" s="2"/>
      <c r="N79" s="7">
        <f t="shared" si="48"/>
        <v>0</v>
      </c>
      <c r="O79" s="11"/>
      <c r="P79" s="6"/>
      <c r="Q79" s="2"/>
      <c r="R79" s="7">
        <f t="shared" si="49"/>
        <v>0</v>
      </c>
      <c r="S79" s="2"/>
      <c r="T79" s="6">
        <v>0</v>
      </c>
      <c r="U79" s="2"/>
      <c r="V79" s="7">
        <f t="shared" si="50"/>
        <v>0</v>
      </c>
      <c r="W79" s="2"/>
      <c r="X79" s="6">
        <f t="shared" si="51"/>
        <v>0</v>
      </c>
      <c r="Y79" s="2"/>
      <c r="Z79" s="7">
        <f t="shared" si="52"/>
        <v>0</v>
      </c>
    </row>
    <row r="80" spans="1:26" s="28" customFormat="1" outlineLevel="1" collapsed="1" x14ac:dyDescent="0.25">
      <c r="A80" s="27"/>
      <c r="B80" s="14" t="str">
        <f>CONCATENATE("     ","Services                                          ")</f>
        <v xml:space="preserve">     Services                                          </v>
      </c>
      <c r="C80" s="14"/>
      <c r="D80" s="1">
        <f>SUM(OSRRefD22_15x_0)</f>
        <v>4131.68</v>
      </c>
      <c r="E80" s="1"/>
      <c r="F80" s="5">
        <f t="shared" ref="F80:F85" si="53">IF(D$12=0,0,D80/D$12)</f>
        <v>0.476128905867372</v>
      </c>
      <c r="G80" s="1"/>
      <c r="H80" s="1">
        <f>SUM(OSRRefH22_15x_0)</f>
        <v>7181</v>
      </c>
      <c r="I80" s="1"/>
      <c r="J80" s="5">
        <f t="shared" ref="J80:J85" si="54">IF(H$12=0,0,H80/H$12)</f>
        <v>0.34109153089820926</v>
      </c>
      <c r="K80" s="1"/>
      <c r="L80" s="1">
        <f t="shared" ref="L80:L85" si="55">+D80-H80</f>
        <v>-3049.3199999999997</v>
      </c>
      <c r="M80" s="1"/>
      <c r="N80" s="5">
        <f t="shared" ref="N80:N85" si="56">IF(H80=0,0,L80/H80)</f>
        <v>-0.42463723715359974</v>
      </c>
      <c r="O80" s="14"/>
      <c r="P80" s="1">
        <f>SUM(OSRRefP22_15x_0)</f>
        <v>10528.06</v>
      </c>
      <c r="Q80" s="1"/>
      <c r="R80" s="5">
        <f t="shared" ref="R80:R85" si="57">IF(P$12=0,0,P80/P$12)</f>
        <v>0.7325651462964895</v>
      </c>
      <c r="S80" s="1"/>
      <c r="T80" s="1">
        <f>SUM(OSRRefT22_15x_0)</f>
        <v>18720</v>
      </c>
      <c r="U80" s="1"/>
      <c r="V80" s="5">
        <f t="shared" ref="V80:V85" si="58">IF(T$12=0,0,T80/T$12)</f>
        <v>0.5524568393094289</v>
      </c>
      <c r="W80" s="1"/>
      <c r="X80" s="1">
        <f t="shared" ref="X80:X85" si="59">+P80-T80</f>
        <v>-8191.9400000000005</v>
      </c>
      <c r="Y80" s="1"/>
      <c r="Z80" s="5">
        <f t="shared" ref="Z80:Z85" si="60">IF(T80=0,0,X80/T80)</f>
        <v>-0.43760363247863249</v>
      </c>
    </row>
    <row r="81" spans="1:26" s="24" customFormat="1" hidden="1" outlineLevel="2" x14ac:dyDescent="0.25">
      <c r="A81" s="29"/>
      <c r="B81" s="11" t="str">
        <f>CONCATENATE("          ", "6282", " - ", "JANITORIAL/EXTERMINATOR EXPENS")</f>
        <v xml:space="preserve">          6282 - JANITORIAL/EXTERMINATOR EXPENS</v>
      </c>
      <c r="C81" s="11"/>
      <c r="D81" s="6">
        <v>8.36</v>
      </c>
      <c r="E81" s="2"/>
      <c r="F81" s="7">
        <f t="shared" si="53"/>
        <v>9.6339446739612681E-4</v>
      </c>
      <c r="G81" s="2"/>
      <c r="H81" s="6">
        <v>955</v>
      </c>
      <c r="I81" s="2"/>
      <c r="J81" s="7">
        <f t="shared" si="54"/>
        <v>4.536170617014202E-2</v>
      </c>
      <c r="K81" s="2"/>
      <c r="L81" s="6">
        <f t="shared" si="55"/>
        <v>-946.64</v>
      </c>
      <c r="M81" s="2"/>
      <c r="N81" s="7">
        <f t="shared" si="56"/>
        <v>-0.99124607329842929</v>
      </c>
      <c r="O81" s="11"/>
      <c r="P81" s="6">
        <v>780.87</v>
      </c>
      <c r="Q81" s="2"/>
      <c r="R81" s="7">
        <f t="shared" si="57"/>
        <v>5.4334620603277317E-2</v>
      </c>
      <c r="S81" s="2"/>
      <c r="T81" s="6">
        <v>2865</v>
      </c>
      <c r="U81" s="2"/>
      <c r="V81" s="7">
        <f t="shared" si="58"/>
        <v>8.4550686144311646E-2</v>
      </c>
      <c r="W81" s="2"/>
      <c r="X81" s="6">
        <f t="shared" si="59"/>
        <v>-2084.13</v>
      </c>
      <c r="Y81" s="2"/>
      <c r="Z81" s="7">
        <f t="shared" si="60"/>
        <v>-0.72744502617801055</v>
      </c>
    </row>
    <row r="82" spans="1:26" s="24" customFormat="1" hidden="1" outlineLevel="2" x14ac:dyDescent="0.25">
      <c r="A82" s="29"/>
      <c r="B82" s="11" t="str">
        <f>CONCATENATE("          ", "6283", " - ", "PLANT SERVICE")</f>
        <v xml:space="preserve">          6283 - PLANT SERVICE</v>
      </c>
      <c r="C82" s="11"/>
      <c r="D82" s="6"/>
      <c r="E82" s="2"/>
      <c r="F82" s="7">
        <f t="shared" si="53"/>
        <v>0</v>
      </c>
      <c r="G82" s="2"/>
      <c r="H82" s="6">
        <v>62</v>
      </c>
      <c r="I82" s="2"/>
      <c r="J82" s="7">
        <f t="shared" si="54"/>
        <v>2.9449484634018904E-3</v>
      </c>
      <c r="K82" s="2"/>
      <c r="L82" s="6">
        <f t="shared" si="55"/>
        <v>-62</v>
      </c>
      <c r="M82" s="2"/>
      <c r="N82" s="7">
        <f t="shared" si="56"/>
        <v>-1</v>
      </c>
      <c r="O82" s="11"/>
      <c r="P82" s="6"/>
      <c r="Q82" s="2"/>
      <c r="R82" s="7">
        <f t="shared" si="57"/>
        <v>0</v>
      </c>
      <c r="S82" s="2"/>
      <c r="T82" s="6">
        <v>186</v>
      </c>
      <c r="U82" s="2"/>
      <c r="V82" s="7">
        <f t="shared" si="58"/>
        <v>5.4891544931385565E-3</v>
      </c>
      <c r="W82" s="2"/>
      <c r="X82" s="6">
        <f t="shared" si="59"/>
        <v>-186</v>
      </c>
      <c r="Y82" s="2"/>
      <c r="Z82" s="7">
        <f t="shared" si="60"/>
        <v>-1</v>
      </c>
    </row>
    <row r="83" spans="1:26" s="24" customFormat="1" hidden="1" outlineLevel="2" x14ac:dyDescent="0.25">
      <c r="A83" s="29"/>
      <c r="B83" s="11" t="str">
        <f>CONCATENATE("          ", "6284", " - ", "TRASH REMOVAL EXPENSE")</f>
        <v xml:space="preserve">          6284 - TRASH REMOVAL EXPENSE</v>
      </c>
      <c r="C83" s="11"/>
      <c r="D83" s="6">
        <v>761</v>
      </c>
      <c r="E83" s="2"/>
      <c r="F83" s="7">
        <f t="shared" si="53"/>
        <v>8.7696553790484758E-2</v>
      </c>
      <c r="G83" s="2"/>
      <c r="H83" s="6">
        <v>3123</v>
      </c>
      <c r="I83" s="2"/>
      <c r="J83" s="7">
        <f t="shared" si="54"/>
        <v>0.1483399040516791</v>
      </c>
      <c r="K83" s="2"/>
      <c r="L83" s="6">
        <f t="shared" si="55"/>
        <v>-2362</v>
      </c>
      <c r="M83" s="2"/>
      <c r="N83" s="7">
        <f t="shared" si="56"/>
        <v>-0.75632404739032977</v>
      </c>
      <c r="O83" s="11"/>
      <c r="P83" s="6">
        <v>2761</v>
      </c>
      <c r="Q83" s="2"/>
      <c r="R83" s="7">
        <f t="shared" si="57"/>
        <v>0.19211634137007272</v>
      </c>
      <c r="S83" s="2"/>
      <c r="T83" s="6">
        <v>6546</v>
      </c>
      <c r="U83" s="2"/>
      <c r="V83" s="7">
        <f t="shared" si="58"/>
        <v>0.19318282425852146</v>
      </c>
      <c r="W83" s="2"/>
      <c r="X83" s="6">
        <f t="shared" si="59"/>
        <v>-3785</v>
      </c>
      <c r="Y83" s="2"/>
      <c r="Z83" s="7">
        <f t="shared" si="60"/>
        <v>-0.5782157042468683</v>
      </c>
    </row>
    <row r="84" spans="1:26" s="24" customFormat="1" hidden="1" outlineLevel="2" x14ac:dyDescent="0.25">
      <c r="A84" s="29"/>
      <c r="B84" s="11" t="str">
        <f>CONCATENATE("          ", "6285", " - ", "JANITORIAL SERVICES")</f>
        <v xml:space="preserve">          6285 - JANITORIAL SERVICES</v>
      </c>
      <c r="C84" s="11"/>
      <c r="D84" s="6">
        <v>3256.35</v>
      </c>
      <c r="E84" s="2"/>
      <c r="F84" s="7">
        <f t="shared" si="53"/>
        <v>0.37525712606523653</v>
      </c>
      <c r="G84" s="2"/>
      <c r="H84" s="6">
        <v>3041</v>
      </c>
      <c r="I84" s="2"/>
      <c r="J84" s="7">
        <f t="shared" si="54"/>
        <v>0.14444497221298627</v>
      </c>
      <c r="K84" s="2"/>
      <c r="L84" s="6">
        <f t="shared" si="55"/>
        <v>215.34999999999991</v>
      </c>
      <c r="M84" s="2"/>
      <c r="N84" s="7">
        <f t="shared" si="56"/>
        <v>7.0815521210128213E-2</v>
      </c>
      <c r="O84" s="11"/>
      <c r="P84" s="6">
        <v>6411.93</v>
      </c>
      <c r="Q84" s="2"/>
      <c r="R84" s="7">
        <f t="shared" si="57"/>
        <v>0.44615593361862022</v>
      </c>
      <c r="S84" s="2"/>
      <c r="T84" s="6">
        <v>9123</v>
      </c>
      <c r="U84" s="2"/>
      <c r="V84" s="7">
        <f t="shared" si="58"/>
        <v>0.26923417441345726</v>
      </c>
      <c r="W84" s="2"/>
      <c r="X84" s="6">
        <f t="shared" si="59"/>
        <v>-2711.0699999999997</v>
      </c>
      <c r="Y84" s="2"/>
      <c r="Z84" s="7">
        <f t="shared" si="60"/>
        <v>-0.29716869450838534</v>
      </c>
    </row>
    <row r="85" spans="1:26" s="24" customFormat="1" hidden="1" outlineLevel="2" x14ac:dyDescent="0.25">
      <c r="A85" s="29"/>
      <c r="B85" s="11" t="str">
        <f>CONCATENATE("          ", "6286", " - ", "LAUNDRY EXPENSE")</f>
        <v xml:space="preserve">          6286 - LAUNDRY EXPENSE</v>
      </c>
      <c r="C85" s="11"/>
      <c r="D85" s="6">
        <v>105.97</v>
      </c>
      <c r="E85" s="2"/>
      <c r="F85" s="7">
        <f t="shared" si="53"/>
        <v>1.2211831544254493E-2</v>
      </c>
      <c r="G85" s="2"/>
      <c r="H85" s="6">
        <v>0</v>
      </c>
      <c r="I85" s="2"/>
      <c r="J85" s="7">
        <f t="shared" si="54"/>
        <v>0</v>
      </c>
      <c r="K85" s="2"/>
      <c r="L85" s="6">
        <f t="shared" si="55"/>
        <v>105.97</v>
      </c>
      <c r="M85" s="2"/>
      <c r="N85" s="7">
        <f t="shared" si="56"/>
        <v>0</v>
      </c>
      <c r="O85" s="11"/>
      <c r="P85" s="6">
        <v>574.26</v>
      </c>
      <c r="Q85" s="2"/>
      <c r="R85" s="7">
        <f t="shared" si="57"/>
        <v>3.995825070451936E-2</v>
      </c>
      <c r="S85" s="2"/>
      <c r="T85" s="6">
        <v>0</v>
      </c>
      <c r="U85" s="2"/>
      <c r="V85" s="7">
        <f t="shared" si="58"/>
        <v>0</v>
      </c>
      <c r="W85" s="2"/>
      <c r="X85" s="6">
        <f t="shared" si="59"/>
        <v>574.26</v>
      </c>
      <c r="Y85" s="2"/>
      <c r="Z85" s="7">
        <f t="shared" si="60"/>
        <v>0</v>
      </c>
    </row>
    <row r="86" spans="1:26" s="28" customFormat="1" outlineLevel="1" collapsed="1" x14ac:dyDescent="0.25">
      <c r="A86" s="27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1">
        <f>SUM(OSRRefD22_16x_0)</f>
        <v>131.34</v>
      </c>
      <c r="E86" s="1"/>
      <c r="F86" s="5">
        <f t="shared" ref="F86:F99" si="61">IF(D$12=0,0,D86/D$12)</f>
        <v>1.5135434132512835E-2</v>
      </c>
      <c r="G86" s="1"/>
      <c r="H86" s="1">
        <f>SUM(OSRRefH22_16x_0)</f>
        <v>197</v>
      </c>
      <c r="I86" s="1"/>
      <c r="J86" s="5">
        <f t="shared" ref="J86:J99" si="62">IF(H$12=0,0,H86/H$12)</f>
        <v>9.3573362466156836E-3</v>
      </c>
      <c r="K86" s="1"/>
      <c r="L86" s="1">
        <f t="shared" ref="L86:L99" si="63">+D86-H86</f>
        <v>-65.66</v>
      </c>
      <c r="M86" s="1"/>
      <c r="N86" s="5">
        <f t="shared" ref="N86:N99" si="64">IF(H86=0,0,L86/H86)</f>
        <v>-0.33329949238578677</v>
      </c>
      <c r="O86" s="14"/>
      <c r="P86" s="1">
        <f>SUM(OSRRefP22_16x_0)</f>
        <v>140.66</v>
      </c>
      <c r="Q86" s="1"/>
      <c r="R86" s="5">
        <f t="shared" ref="R86:R99" si="65">IF(P$12=0,0,P86/P$12)</f>
        <v>9.7874265038444142E-3</v>
      </c>
      <c r="S86" s="1"/>
      <c r="T86" s="1">
        <f>SUM(OSRRefT22_16x_0)</f>
        <v>591</v>
      </c>
      <c r="U86" s="1"/>
      <c r="V86" s="5">
        <f t="shared" ref="V86:V99" si="66">IF(T$12=0,0,T86/T$12)</f>
        <v>1.7441345728198318E-2</v>
      </c>
      <c r="W86" s="1"/>
      <c r="X86" s="1">
        <f t="shared" ref="X86:X99" si="67">+P86-T86</f>
        <v>-450.34000000000003</v>
      </c>
      <c r="Y86" s="1"/>
      <c r="Z86" s="5">
        <f t="shared" ref="Z86:Z99" si="68">IF(T86=0,0,X86/T86)</f>
        <v>-0.76199661590524537</v>
      </c>
    </row>
    <row r="87" spans="1:26" s="24" customFormat="1" hidden="1" outlineLevel="2" x14ac:dyDescent="0.25">
      <c r="A87" s="29"/>
      <c r="B87" s="11" t="str">
        <f>CONCATENATE("          ", "6275", " - ", "SUBSCRIPTIONS")</f>
        <v xml:space="preserve">          6275 - SUBSCRIPTIONS</v>
      </c>
      <c r="C87" s="11"/>
      <c r="D87" s="6">
        <v>131.34</v>
      </c>
      <c r="E87" s="2"/>
      <c r="F87" s="7">
        <f t="shared" si="61"/>
        <v>1.5135434132512835E-2</v>
      </c>
      <c r="G87" s="2"/>
      <c r="H87" s="6">
        <v>197</v>
      </c>
      <c r="I87" s="2"/>
      <c r="J87" s="7">
        <f t="shared" si="62"/>
        <v>9.3573362466156836E-3</v>
      </c>
      <c r="K87" s="2"/>
      <c r="L87" s="6">
        <f t="shared" si="63"/>
        <v>-65.66</v>
      </c>
      <c r="M87" s="2"/>
      <c r="N87" s="7">
        <f t="shared" si="64"/>
        <v>-0.33329949238578677</v>
      </c>
      <c r="O87" s="11"/>
      <c r="P87" s="6">
        <v>140.66</v>
      </c>
      <c r="Q87" s="2"/>
      <c r="R87" s="7">
        <f t="shared" si="65"/>
        <v>9.7874265038444142E-3</v>
      </c>
      <c r="S87" s="2"/>
      <c r="T87" s="6">
        <v>591</v>
      </c>
      <c r="U87" s="2"/>
      <c r="V87" s="7">
        <f t="shared" si="66"/>
        <v>1.7441345728198318E-2</v>
      </c>
      <c r="W87" s="2"/>
      <c r="X87" s="6">
        <f t="shared" si="67"/>
        <v>-450.34000000000003</v>
      </c>
      <c r="Y87" s="2"/>
      <c r="Z87" s="7">
        <f t="shared" si="68"/>
        <v>-0.76199661590524537</v>
      </c>
    </row>
    <row r="88" spans="1:26" s="28" customFormat="1" outlineLevel="1" collapsed="1" x14ac:dyDescent="0.25">
      <c r="A88" s="27"/>
      <c r="B88" s="14" t="str">
        <f>CONCATENATE("     ","Supplies                                          ")</f>
        <v xml:space="preserve">     Supplies                                          </v>
      </c>
      <c r="C88" s="14"/>
      <c r="D88" s="1">
        <f>SUM(OSRRefD22_17x_0)</f>
        <v>137.26</v>
      </c>
      <c r="E88" s="1"/>
      <c r="F88" s="5">
        <f t="shared" si="61"/>
        <v>1.5817646482630666E-2</v>
      </c>
      <c r="G88" s="1"/>
      <c r="H88" s="1">
        <f>SUM(OSRRefH22_17x_0)</f>
        <v>1205</v>
      </c>
      <c r="I88" s="1"/>
      <c r="J88" s="5">
        <f t="shared" si="62"/>
        <v>5.7236498361278677E-2</v>
      </c>
      <c r="K88" s="1"/>
      <c r="L88" s="1">
        <f t="shared" si="63"/>
        <v>-1067.74</v>
      </c>
      <c r="M88" s="1"/>
      <c r="N88" s="5">
        <f t="shared" si="64"/>
        <v>-0.88609128630705392</v>
      </c>
      <c r="O88" s="14"/>
      <c r="P88" s="1">
        <f>SUM(OSRRefP22_17x_0)</f>
        <v>-28035.440000000002</v>
      </c>
      <c r="Q88" s="1"/>
      <c r="R88" s="5">
        <f t="shared" si="65"/>
        <v>-1.9507664474828657</v>
      </c>
      <c r="S88" s="1"/>
      <c r="T88" s="1">
        <f>SUM(OSRRefT22_17x_0)</f>
        <v>8688</v>
      </c>
      <c r="U88" s="1"/>
      <c r="V88" s="5">
        <f t="shared" si="66"/>
        <v>0.25639663567950421</v>
      </c>
      <c r="W88" s="1"/>
      <c r="X88" s="1">
        <f t="shared" si="67"/>
        <v>-36723.440000000002</v>
      </c>
      <c r="Y88" s="1"/>
      <c r="Z88" s="5">
        <f t="shared" si="68"/>
        <v>-4.2269152854511969</v>
      </c>
    </row>
    <row r="89" spans="1:26" s="24" customFormat="1" hidden="1" outlineLevel="2" x14ac:dyDescent="0.25">
      <c r="A89" s="29"/>
      <c r="B89" s="11" t="str">
        <f>CONCATENATE("          ", "6234", " - ", "EXPENDABLE SUPPLIES &amp; EQUIPMEN")</f>
        <v xml:space="preserve">          6234 - EXPENDABLE SUPPLIES &amp; EQUIPMEN</v>
      </c>
      <c r="C89" s="11"/>
      <c r="D89" s="6"/>
      <c r="E89" s="2"/>
      <c r="F89" s="7">
        <f t="shared" si="61"/>
        <v>0</v>
      </c>
      <c r="G89" s="2"/>
      <c r="H89" s="6"/>
      <c r="I89" s="2"/>
      <c r="J89" s="7">
        <f t="shared" si="62"/>
        <v>0</v>
      </c>
      <c r="K89" s="2"/>
      <c r="L89" s="6">
        <f t="shared" si="63"/>
        <v>0</v>
      </c>
      <c r="M89" s="2"/>
      <c r="N89" s="7">
        <f t="shared" si="64"/>
        <v>0</v>
      </c>
      <c r="O89" s="11"/>
      <c r="P89" s="6">
        <v>255.78</v>
      </c>
      <c r="Q89" s="2"/>
      <c r="R89" s="7">
        <f t="shared" si="65"/>
        <v>1.7797724663396304E-2</v>
      </c>
      <c r="S89" s="2"/>
      <c r="T89" s="6">
        <v>0</v>
      </c>
      <c r="U89" s="2"/>
      <c r="V89" s="7">
        <f t="shared" si="66"/>
        <v>0</v>
      </c>
      <c r="W89" s="2"/>
      <c r="X89" s="6">
        <f t="shared" si="67"/>
        <v>255.78</v>
      </c>
      <c r="Y89" s="2"/>
      <c r="Z89" s="7">
        <f t="shared" si="68"/>
        <v>0</v>
      </c>
    </row>
    <row r="90" spans="1:26" s="24" customFormat="1" hidden="1" outlineLevel="2" x14ac:dyDescent="0.25">
      <c r="A90" s="29"/>
      <c r="B90" s="11" t="str">
        <f>CONCATENATE("          ", "6235", " - ", "COVID-19 EXPENSES")</f>
        <v xml:space="preserve">          6235 - COVID-19 EXPENSES</v>
      </c>
      <c r="C90" s="11"/>
      <c r="D90" s="6">
        <v>127.89</v>
      </c>
      <c r="E90" s="2"/>
      <c r="F90" s="7">
        <f t="shared" si="61"/>
        <v>1.4737861056852951E-2</v>
      </c>
      <c r="G90" s="2"/>
      <c r="H90" s="6">
        <v>0</v>
      </c>
      <c r="I90" s="2"/>
      <c r="J90" s="7">
        <f t="shared" si="62"/>
        <v>0</v>
      </c>
      <c r="K90" s="2"/>
      <c r="L90" s="6">
        <f t="shared" si="63"/>
        <v>127.89</v>
      </c>
      <c r="M90" s="2"/>
      <c r="N90" s="7">
        <f t="shared" si="64"/>
        <v>0</v>
      </c>
      <c r="O90" s="11"/>
      <c r="P90" s="6">
        <v>949.86</v>
      </c>
      <c r="Q90" s="2"/>
      <c r="R90" s="7">
        <f t="shared" si="65"/>
        <v>6.6093309675399226E-2</v>
      </c>
      <c r="S90" s="2"/>
      <c r="T90" s="6">
        <v>0</v>
      </c>
      <c r="U90" s="2"/>
      <c r="V90" s="7">
        <f t="shared" si="66"/>
        <v>0</v>
      </c>
      <c r="W90" s="2"/>
      <c r="X90" s="6">
        <f t="shared" si="67"/>
        <v>949.86</v>
      </c>
      <c r="Y90" s="2"/>
      <c r="Z90" s="7">
        <f t="shared" si="68"/>
        <v>0</v>
      </c>
    </row>
    <row r="91" spans="1:26" s="24" customFormat="1" hidden="1" outlineLevel="2" x14ac:dyDescent="0.25">
      <c r="A91" s="29"/>
      <c r="B91" s="11" t="str">
        <f>CONCATENATE("          ", "6237", " - ", "JANITORIAL SUPPLIES")</f>
        <v xml:space="preserve">          6237 - JANITORIAL SUPPLIES</v>
      </c>
      <c r="C91" s="11"/>
      <c r="D91" s="6"/>
      <c r="E91" s="2"/>
      <c r="F91" s="7">
        <f t="shared" si="61"/>
        <v>0</v>
      </c>
      <c r="G91" s="2"/>
      <c r="H91" s="6">
        <v>261</v>
      </c>
      <c r="I91" s="2"/>
      <c r="J91" s="7">
        <f t="shared" si="62"/>
        <v>1.2397283047546668E-2</v>
      </c>
      <c r="K91" s="2"/>
      <c r="L91" s="6">
        <f t="shared" si="63"/>
        <v>-261</v>
      </c>
      <c r="M91" s="2"/>
      <c r="N91" s="7">
        <f t="shared" si="64"/>
        <v>-1</v>
      </c>
      <c r="O91" s="11"/>
      <c r="P91" s="6"/>
      <c r="Q91" s="2"/>
      <c r="R91" s="7">
        <f t="shared" si="65"/>
        <v>0</v>
      </c>
      <c r="S91" s="2"/>
      <c r="T91" s="6">
        <v>1503</v>
      </c>
      <c r="U91" s="2"/>
      <c r="V91" s="7">
        <f t="shared" si="66"/>
        <v>4.4355909694555114E-2</v>
      </c>
      <c r="W91" s="2"/>
      <c r="X91" s="6">
        <f t="shared" si="67"/>
        <v>-1503</v>
      </c>
      <c r="Y91" s="2"/>
      <c r="Z91" s="7">
        <f t="shared" si="68"/>
        <v>-1</v>
      </c>
    </row>
    <row r="92" spans="1:26" s="24" customFormat="1" hidden="1" outlineLevel="2" x14ac:dyDescent="0.25">
      <c r="A92" s="29"/>
      <c r="B92" s="11" t="str">
        <f>CONCATENATE("          ", "6239", " - ", "KITCHEN SUPPLIES")</f>
        <v xml:space="preserve">          6239 - KITCHEN SUPPLIES</v>
      </c>
      <c r="C92" s="11"/>
      <c r="D92" s="6"/>
      <c r="E92" s="2"/>
      <c r="F92" s="7">
        <f t="shared" si="61"/>
        <v>0</v>
      </c>
      <c r="G92" s="2"/>
      <c r="H92" s="6">
        <v>13</v>
      </c>
      <c r="I92" s="2"/>
      <c r="J92" s="7">
        <f t="shared" si="62"/>
        <v>6.1748919393910602E-4</v>
      </c>
      <c r="K92" s="2"/>
      <c r="L92" s="6">
        <f t="shared" si="63"/>
        <v>-13</v>
      </c>
      <c r="M92" s="2"/>
      <c r="N92" s="7">
        <f t="shared" si="64"/>
        <v>-1</v>
      </c>
      <c r="O92" s="11"/>
      <c r="P92" s="6"/>
      <c r="Q92" s="2"/>
      <c r="R92" s="7">
        <f t="shared" si="65"/>
        <v>0</v>
      </c>
      <c r="S92" s="2"/>
      <c r="T92" s="6">
        <v>149</v>
      </c>
      <c r="U92" s="2"/>
      <c r="V92" s="7">
        <f t="shared" si="66"/>
        <v>4.3972259111701344E-3</v>
      </c>
      <c r="W92" s="2"/>
      <c r="X92" s="6">
        <f t="shared" si="67"/>
        <v>-149</v>
      </c>
      <c r="Y92" s="2"/>
      <c r="Z92" s="7">
        <f t="shared" si="68"/>
        <v>-1</v>
      </c>
    </row>
    <row r="93" spans="1:26" s="24" customFormat="1" hidden="1" outlineLevel="2" x14ac:dyDescent="0.25">
      <c r="A93" s="29"/>
      <c r="B93" s="11" t="str">
        <f>CONCATENATE("          ", "6241", " - ", "OFFICE EXPENSE")</f>
        <v xml:space="preserve">          6241 - OFFICE EXPENSE</v>
      </c>
      <c r="C93" s="11"/>
      <c r="D93" s="6">
        <v>9.3699999999999992</v>
      </c>
      <c r="E93" s="2"/>
      <c r="F93" s="7">
        <f t="shared" si="61"/>
        <v>1.0797854257777162E-3</v>
      </c>
      <c r="G93" s="2"/>
      <c r="H93" s="6">
        <v>308</v>
      </c>
      <c r="I93" s="2"/>
      <c r="J93" s="7">
        <f t="shared" si="62"/>
        <v>1.4629743979480359E-2</v>
      </c>
      <c r="K93" s="2"/>
      <c r="L93" s="6">
        <f t="shared" si="63"/>
        <v>-298.63</v>
      </c>
      <c r="M93" s="2"/>
      <c r="N93" s="7">
        <f t="shared" si="64"/>
        <v>-0.96957792207792204</v>
      </c>
      <c r="O93" s="11"/>
      <c r="P93" s="6">
        <v>-29241.08</v>
      </c>
      <c r="Q93" s="2"/>
      <c r="R93" s="7">
        <f t="shared" si="65"/>
        <v>-2.034657481821661</v>
      </c>
      <c r="S93" s="2"/>
      <c r="T93" s="6">
        <v>5142</v>
      </c>
      <c r="U93" s="2"/>
      <c r="V93" s="7">
        <f t="shared" si="66"/>
        <v>0.15174856131031431</v>
      </c>
      <c r="W93" s="2"/>
      <c r="X93" s="6">
        <f t="shared" si="67"/>
        <v>-34383.08</v>
      </c>
      <c r="Y93" s="2"/>
      <c r="Z93" s="7">
        <f t="shared" si="68"/>
        <v>-6.6867133411124078</v>
      </c>
    </row>
    <row r="94" spans="1:26" s="24" customFormat="1" hidden="1" outlineLevel="2" x14ac:dyDescent="0.25">
      <c r="A94" s="29"/>
      <c r="B94" s="11" t="str">
        <f>CONCATENATE("          ", "6243", " - ", "PAPER SUPPLIES")</f>
        <v xml:space="preserve">          6243 - PAPER SUPPLIES</v>
      </c>
      <c r="C94" s="11"/>
      <c r="D94" s="6"/>
      <c r="E94" s="2"/>
      <c r="F94" s="7">
        <f t="shared" si="61"/>
        <v>0</v>
      </c>
      <c r="G94" s="2"/>
      <c r="H94" s="6">
        <v>623</v>
      </c>
      <c r="I94" s="2"/>
      <c r="J94" s="7">
        <f t="shared" si="62"/>
        <v>2.9591982140312546E-2</v>
      </c>
      <c r="K94" s="2"/>
      <c r="L94" s="6">
        <f t="shared" si="63"/>
        <v>-623</v>
      </c>
      <c r="M94" s="2"/>
      <c r="N94" s="7">
        <f t="shared" si="64"/>
        <v>-1</v>
      </c>
      <c r="O94" s="11"/>
      <c r="P94" s="6"/>
      <c r="Q94" s="2"/>
      <c r="R94" s="7">
        <f t="shared" si="65"/>
        <v>0</v>
      </c>
      <c r="S94" s="2"/>
      <c r="T94" s="6">
        <v>1483</v>
      </c>
      <c r="U94" s="2"/>
      <c r="V94" s="7">
        <f t="shared" si="66"/>
        <v>4.3765678028626236E-2</v>
      </c>
      <c r="W94" s="2"/>
      <c r="X94" s="6">
        <f t="shared" si="67"/>
        <v>-1483</v>
      </c>
      <c r="Y94" s="2"/>
      <c r="Z94" s="7">
        <f t="shared" si="68"/>
        <v>-1</v>
      </c>
    </row>
    <row r="95" spans="1:26" s="24" customFormat="1" hidden="1" outlineLevel="2" x14ac:dyDescent="0.25">
      <c r="A95" s="29"/>
      <c r="B95" s="11" t="str">
        <f>CONCATENATE("          ", "6244", " - ", "SAFETY SUPPLY EXPENSE")</f>
        <v xml:space="preserve">          6244 - SAFETY SUPPLY EXPENSE</v>
      </c>
      <c r="C95" s="11"/>
      <c r="D95" s="6"/>
      <c r="E95" s="2"/>
      <c r="F95" s="7">
        <f t="shared" si="61"/>
        <v>0</v>
      </c>
      <c r="G95" s="2"/>
      <c r="H95" s="6">
        <v>0</v>
      </c>
      <c r="I95" s="2"/>
      <c r="J95" s="7">
        <f t="shared" si="62"/>
        <v>0</v>
      </c>
      <c r="K95" s="2"/>
      <c r="L95" s="6">
        <f t="shared" si="63"/>
        <v>0</v>
      </c>
      <c r="M95" s="2"/>
      <c r="N95" s="7">
        <f t="shared" si="64"/>
        <v>0</v>
      </c>
      <c r="O95" s="11"/>
      <c r="P95" s="6"/>
      <c r="Q95" s="2"/>
      <c r="R95" s="7">
        <f t="shared" si="65"/>
        <v>0</v>
      </c>
      <c r="S95" s="2"/>
      <c r="T95" s="6">
        <v>0</v>
      </c>
      <c r="U95" s="2"/>
      <c r="V95" s="7">
        <f t="shared" si="66"/>
        <v>0</v>
      </c>
      <c r="W95" s="2"/>
      <c r="X95" s="6">
        <f t="shared" si="67"/>
        <v>0</v>
      </c>
      <c r="Y95" s="2"/>
      <c r="Z95" s="7">
        <f t="shared" si="68"/>
        <v>0</v>
      </c>
    </row>
    <row r="96" spans="1:26" s="24" customFormat="1" hidden="1" outlineLevel="2" x14ac:dyDescent="0.25">
      <c r="A96" s="29"/>
      <c r="B96" s="11" t="str">
        <f>CONCATENATE("          ", "6245", " - ", "PRINTING")</f>
        <v xml:space="preserve">          6245 - PRINTING</v>
      </c>
      <c r="C96" s="11"/>
      <c r="D96" s="6"/>
      <c r="E96" s="2"/>
      <c r="F96" s="7">
        <f t="shared" si="61"/>
        <v>0</v>
      </c>
      <c r="G96" s="2"/>
      <c r="H96" s="6">
        <v>0</v>
      </c>
      <c r="I96" s="2"/>
      <c r="J96" s="7">
        <f t="shared" si="62"/>
        <v>0</v>
      </c>
      <c r="K96" s="2"/>
      <c r="L96" s="6">
        <f t="shared" si="63"/>
        <v>0</v>
      </c>
      <c r="M96" s="2"/>
      <c r="N96" s="7">
        <f t="shared" si="64"/>
        <v>0</v>
      </c>
      <c r="O96" s="11"/>
      <c r="P96" s="6"/>
      <c r="Q96" s="2"/>
      <c r="R96" s="7">
        <f t="shared" si="65"/>
        <v>0</v>
      </c>
      <c r="S96" s="2"/>
      <c r="T96" s="6">
        <v>0</v>
      </c>
      <c r="U96" s="2"/>
      <c r="V96" s="7">
        <f t="shared" si="66"/>
        <v>0</v>
      </c>
      <c r="W96" s="2"/>
      <c r="X96" s="6">
        <f t="shared" si="67"/>
        <v>0</v>
      </c>
      <c r="Y96" s="2"/>
      <c r="Z96" s="7">
        <f t="shared" si="68"/>
        <v>0</v>
      </c>
    </row>
    <row r="97" spans="1:26" s="24" customFormat="1" hidden="1" outlineLevel="2" x14ac:dyDescent="0.25">
      <c r="A97" s="29"/>
      <c r="B97" s="11" t="str">
        <f>CONCATENATE("          ", "6246", " - ", "REPLACEMENTS")</f>
        <v xml:space="preserve">          6246 - REPLACEMENTS</v>
      </c>
      <c r="C97" s="11"/>
      <c r="D97" s="6"/>
      <c r="E97" s="2"/>
      <c r="F97" s="7">
        <f t="shared" si="61"/>
        <v>0</v>
      </c>
      <c r="G97" s="2"/>
      <c r="H97" s="6">
        <v>0</v>
      </c>
      <c r="I97" s="2"/>
      <c r="J97" s="7">
        <f t="shared" si="62"/>
        <v>0</v>
      </c>
      <c r="K97" s="2"/>
      <c r="L97" s="6">
        <f t="shared" si="63"/>
        <v>0</v>
      </c>
      <c r="M97" s="2"/>
      <c r="N97" s="7">
        <f t="shared" si="64"/>
        <v>0</v>
      </c>
      <c r="O97" s="11"/>
      <c r="P97" s="6"/>
      <c r="Q97" s="2"/>
      <c r="R97" s="7">
        <f t="shared" si="65"/>
        <v>0</v>
      </c>
      <c r="S97" s="2"/>
      <c r="T97" s="6">
        <v>0</v>
      </c>
      <c r="U97" s="2"/>
      <c r="V97" s="7">
        <f t="shared" si="66"/>
        <v>0</v>
      </c>
      <c r="W97" s="2"/>
      <c r="X97" s="6">
        <f t="shared" si="67"/>
        <v>0</v>
      </c>
      <c r="Y97" s="2"/>
      <c r="Z97" s="7">
        <f t="shared" si="68"/>
        <v>0</v>
      </c>
    </row>
    <row r="98" spans="1:26" s="24" customFormat="1" hidden="1" outlineLevel="2" x14ac:dyDescent="0.25">
      <c r="A98" s="29"/>
      <c r="B98" s="11" t="str">
        <f>CONCATENATE("          ", "6247", " - ", "STORE SUPPLIES")</f>
        <v xml:space="preserve">          6247 - STORE SUPPLIES</v>
      </c>
      <c r="C98" s="11"/>
      <c r="D98" s="6"/>
      <c r="E98" s="2"/>
      <c r="F98" s="7">
        <f t="shared" si="61"/>
        <v>0</v>
      </c>
      <c r="G98" s="2"/>
      <c r="H98" s="6">
        <v>0</v>
      </c>
      <c r="I98" s="2"/>
      <c r="J98" s="7">
        <f t="shared" si="62"/>
        <v>0</v>
      </c>
      <c r="K98" s="2"/>
      <c r="L98" s="6">
        <f t="shared" si="63"/>
        <v>0</v>
      </c>
      <c r="M98" s="2"/>
      <c r="N98" s="7">
        <f t="shared" si="64"/>
        <v>0</v>
      </c>
      <c r="O98" s="11"/>
      <c r="P98" s="6"/>
      <c r="Q98" s="2"/>
      <c r="R98" s="7">
        <f t="shared" si="65"/>
        <v>0</v>
      </c>
      <c r="S98" s="2"/>
      <c r="T98" s="6">
        <v>411</v>
      </c>
      <c r="U98" s="2"/>
      <c r="V98" s="7">
        <f t="shared" si="66"/>
        <v>1.2129260734838424E-2</v>
      </c>
      <c r="W98" s="2"/>
      <c r="X98" s="6">
        <f t="shared" si="67"/>
        <v>-411</v>
      </c>
      <c r="Y98" s="2"/>
      <c r="Z98" s="7">
        <f t="shared" si="68"/>
        <v>-1</v>
      </c>
    </row>
    <row r="99" spans="1:26" s="24" customFormat="1" hidden="1" outlineLevel="2" x14ac:dyDescent="0.25">
      <c r="A99" s="29"/>
      <c r="B99" s="11" t="str">
        <f>CONCATENATE("          ", "6248", " - ", "UNIFORMS")</f>
        <v xml:space="preserve">          6248 - UNIFORMS</v>
      </c>
      <c r="C99" s="11"/>
      <c r="D99" s="6"/>
      <c r="E99" s="2"/>
      <c r="F99" s="7">
        <f t="shared" si="61"/>
        <v>0</v>
      </c>
      <c r="G99" s="2"/>
      <c r="H99" s="6"/>
      <c r="I99" s="2"/>
      <c r="J99" s="7">
        <f t="shared" si="62"/>
        <v>0</v>
      </c>
      <c r="K99" s="2"/>
      <c r="L99" s="6">
        <f t="shared" si="63"/>
        <v>0</v>
      </c>
      <c r="M99" s="2"/>
      <c r="N99" s="7">
        <f t="shared" si="64"/>
        <v>0</v>
      </c>
      <c r="O99" s="11"/>
      <c r="P99" s="6"/>
      <c r="Q99" s="2"/>
      <c r="R99" s="7">
        <f t="shared" si="65"/>
        <v>0</v>
      </c>
      <c r="S99" s="2"/>
      <c r="T99" s="6">
        <v>0</v>
      </c>
      <c r="U99" s="2"/>
      <c r="V99" s="7">
        <f t="shared" si="66"/>
        <v>0</v>
      </c>
      <c r="W99" s="2"/>
      <c r="X99" s="6">
        <f t="shared" si="67"/>
        <v>0</v>
      </c>
      <c r="Y99" s="2"/>
      <c r="Z99" s="7">
        <f t="shared" si="68"/>
        <v>0</v>
      </c>
    </row>
    <row r="100" spans="1:26" s="28" customFormat="1" outlineLevel="1" collapsed="1" x14ac:dyDescent="0.25">
      <c r="A100" s="27"/>
      <c r="B100" s="14" t="str">
        <f>CONCATENATE("     ","Telephone/Data Lines                              ")</f>
        <v xml:space="preserve">     Telephone/Data Lines                              </v>
      </c>
      <c r="C100" s="14"/>
      <c r="D100" s="1">
        <f>SUM(OSRRefD22_18x_0)</f>
        <v>638.63</v>
      </c>
      <c r="E100" s="1"/>
      <c r="F100" s="5">
        <f t="shared" ref="F100:F102" si="69">IF(D$12=0,0,D100/D$12)</f>
        <v>7.3594809654687621E-2</v>
      </c>
      <c r="G100" s="1"/>
      <c r="H100" s="1">
        <f>SUM(OSRRefH22_18x_0)</f>
        <v>450</v>
      </c>
      <c r="I100" s="1"/>
      <c r="J100" s="5">
        <f t="shared" ref="J100:J102" si="70">IF(H$12=0,0,H100/H$12)</f>
        <v>2.1374625944045978E-2</v>
      </c>
      <c r="K100" s="1"/>
      <c r="L100" s="1">
        <f t="shared" ref="L100:L102" si="71">+D100-H100</f>
        <v>188.63</v>
      </c>
      <c r="M100" s="1"/>
      <c r="N100" s="5">
        <f t="shared" ref="N100:N102" si="72">IF(H100=0,0,L100/H100)</f>
        <v>0.41917777777777776</v>
      </c>
      <c r="O100" s="14"/>
      <c r="P100" s="1">
        <f>SUM(OSRRefP22_18x_0)</f>
        <v>3071.41</v>
      </c>
      <c r="Q100" s="1"/>
      <c r="R100" s="5">
        <f t="shared" ref="R100:R102" si="73">IF(P$12=0,0,P100/P$12)</f>
        <v>0.21371533938698117</v>
      </c>
      <c r="S100" s="1"/>
      <c r="T100" s="1">
        <f>SUM(OSRRefT22_18x_0)</f>
        <v>1042</v>
      </c>
      <c r="U100" s="1"/>
      <c r="V100" s="5">
        <f t="shared" ref="V100:V102" si="74">IF(T$12=0,0,T100/T$12)</f>
        <v>3.0751069794894496E-2</v>
      </c>
      <c r="W100" s="1"/>
      <c r="X100" s="1">
        <f t="shared" ref="X100:X102" si="75">+P100-T100</f>
        <v>2029.4099999999999</v>
      </c>
      <c r="Y100" s="1"/>
      <c r="Z100" s="5">
        <f t="shared" ref="Z100:Z102" si="76">IF(T100=0,0,X100/T100)</f>
        <v>1.9476103646833012</v>
      </c>
    </row>
    <row r="101" spans="1:26" s="24" customFormat="1" hidden="1" outlineLevel="2" x14ac:dyDescent="0.25">
      <c r="A101" s="29"/>
      <c r="B101" s="11" t="str">
        <f>CONCATENATE("          ", "6303", " - ", "DATA PHONE LINES")</f>
        <v xml:space="preserve">          6303 - DATA PHONE LINES</v>
      </c>
      <c r="C101" s="11"/>
      <c r="D101" s="6"/>
      <c r="E101" s="2"/>
      <c r="F101" s="7">
        <f t="shared" si="69"/>
        <v>0</v>
      </c>
      <c r="G101" s="2"/>
      <c r="H101" s="6">
        <v>200</v>
      </c>
      <c r="I101" s="2"/>
      <c r="J101" s="7">
        <f t="shared" si="70"/>
        <v>9.4998337529093244E-3</v>
      </c>
      <c r="K101" s="2"/>
      <c r="L101" s="6">
        <f t="shared" si="71"/>
        <v>-200</v>
      </c>
      <c r="M101" s="2"/>
      <c r="N101" s="7">
        <f t="shared" si="72"/>
        <v>-1</v>
      </c>
      <c r="O101" s="11"/>
      <c r="P101" s="6"/>
      <c r="Q101" s="2"/>
      <c r="R101" s="7">
        <f t="shared" si="73"/>
        <v>0</v>
      </c>
      <c r="S101" s="2"/>
      <c r="T101" s="6">
        <v>442</v>
      </c>
      <c r="U101" s="2"/>
      <c r="V101" s="7">
        <f t="shared" si="74"/>
        <v>1.3044119817028183E-2</v>
      </c>
      <c r="W101" s="2"/>
      <c r="X101" s="6">
        <f t="shared" si="75"/>
        <v>-442</v>
      </c>
      <c r="Y101" s="2"/>
      <c r="Z101" s="7">
        <f t="shared" si="76"/>
        <v>-1</v>
      </c>
    </row>
    <row r="102" spans="1:26" s="24" customFormat="1" hidden="1" outlineLevel="2" x14ac:dyDescent="0.25">
      <c r="A102" s="29"/>
      <c r="B102" s="11" t="str">
        <f>CONCATENATE("          ", "6309", " - ", "TELEPHONE")</f>
        <v xml:space="preserve">          6309 - TELEPHONE</v>
      </c>
      <c r="C102" s="11"/>
      <c r="D102" s="6">
        <v>638.63</v>
      </c>
      <c r="E102" s="2"/>
      <c r="F102" s="7">
        <f t="shared" si="69"/>
        <v>7.3594809654687621E-2</v>
      </c>
      <c r="G102" s="2"/>
      <c r="H102" s="6">
        <v>250</v>
      </c>
      <c r="I102" s="2"/>
      <c r="J102" s="7">
        <f t="shared" si="70"/>
        <v>1.1874792191136655E-2</v>
      </c>
      <c r="K102" s="2"/>
      <c r="L102" s="6">
        <f t="shared" si="71"/>
        <v>388.63</v>
      </c>
      <c r="M102" s="2"/>
      <c r="N102" s="7">
        <f t="shared" si="72"/>
        <v>1.5545199999999999</v>
      </c>
      <c r="O102" s="11"/>
      <c r="P102" s="6">
        <v>3071.41</v>
      </c>
      <c r="Q102" s="2"/>
      <c r="R102" s="7">
        <f t="shared" si="73"/>
        <v>0.21371533938698117</v>
      </c>
      <c r="S102" s="2"/>
      <c r="T102" s="6">
        <v>600</v>
      </c>
      <c r="U102" s="2"/>
      <c r="V102" s="7">
        <f t="shared" si="74"/>
        <v>1.7706949977866312E-2</v>
      </c>
      <c r="W102" s="2"/>
      <c r="X102" s="6">
        <f t="shared" si="75"/>
        <v>2471.41</v>
      </c>
      <c r="Y102" s="2"/>
      <c r="Z102" s="7">
        <f t="shared" si="76"/>
        <v>4.1190166666666661</v>
      </c>
    </row>
    <row r="103" spans="1:26" s="28" customFormat="1" outlineLevel="1" collapsed="1" x14ac:dyDescent="0.25">
      <c r="A103" s="27"/>
      <c r="B103" s="14" t="str">
        <f>CONCATENATE("     ","Training                                          ")</f>
        <v xml:space="preserve">     Training                                          </v>
      </c>
      <c r="C103" s="14"/>
      <c r="D103" s="1">
        <f>SUM(OSRRefD22_19x_0)</f>
        <v>0</v>
      </c>
      <c r="E103" s="1"/>
      <c r="F103" s="5">
        <f t="shared" ref="F103:F107" si="77">IF(D$12=0,0,D103/D$12)</f>
        <v>0</v>
      </c>
      <c r="G103" s="1"/>
      <c r="H103" s="1">
        <f>SUM(OSRRefH22_19x_0)</f>
        <v>0</v>
      </c>
      <c r="I103" s="1"/>
      <c r="J103" s="5">
        <f t="shared" ref="J103:J107" si="78">IF(H$12=0,0,H103/H$12)</f>
        <v>0</v>
      </c>
      <c r="K103" s="1"/>
      <c r="L103" s="1">
        <f t="shared" ref="L103:L107" si="79">+D103-H103</f>
        <v>0</v>
      </c>
      <c r="M103" s="1"/>
      <c r="N103" s="5">
        <f t="shared" ref="N103:N107" si="80">IF(H103=0,0,L103/H103)</f>
        <v>0</v>
      </c>
      <c r="O103" s="14"/>
      <c r="P103" s="1">
        <f>SUM(OSRRefP22_19x_0)</f>
        <v>0</v>
      </c>
      <c r="Q103" s="1"/>
      <c r="R103" s="5">
        <f t="shared" ref="R103:R107" si="81">IF(P$12=0,0,P103/P$12)</f>
        <v>0</v>
      </c>
      <c r="S103" s="1"/>
      <c r="T103" s="1">
        <f>SUM(OSRRefT22_19x_0)</f>
        <v>0</v>
      </c>
      <c r="U103" s="1"/>
      <c r="V103" s="5">
        <f t="shared" ref="V103:V107" si="82">IF(T$12=0,0,T103/T$12)</f>
        <v>0</v>
      </c>
      <c r="W103" s="1"/>
      <c r="X103" s="1">
        <f t="shared" ref="X103:X107" si="83">+P103-T103</f>
        <v>0</v>
      </c>
      <c r="Y103" s="1"/>
      <c r="Z103" s="5">
        <f t="shared" ref="Z103:Z107" si="84">IF(T103=0,0,X103/T103)</f>
        <v>0</v>
      </c>
    </row>
    <row r="104" spans="1:26" s="24" customFormat="1" hidden="1" outlineLevel="2" x14ac:dyDescent="0.25">
      <c r="A104" s="29"/>
      <c r="B104" s="11" t="str">
        <f>CONCATENATE("          ", "6376", " - ", "TRAINING")</f>
        <v xml:space="preserve">          6376 - TRAINING</v>
      </c>
      <c r="C104" s="11"/>
      <c r="D104" s="6"/>
      <c r="E104" s="2"/>
      <c r="F104" s="7">
        <f t="shared" si="77"/>
        <v>0</v>
      </c>
      <c r="G104" s="2"/>
      <c r="H104" s="6">
        <v>0</v>
      </c>
      <c r="I104" s="2"/>
      <c r="J104" s="7">
        <f t="shared" si="78"/>
        <v>0</v>
      </c>
      <c r="K104" s="2"/>
      <c r="L104" s="6">
        <f t="shared" si="79"/>
        <v>0</v>
      </c>
      <c r="M104" s="2"/>
      <c r="N104" s="7">
        <f t="shared" si="80"/>
        <v>0</v>
      </c>
      <c r="O104" s="11"/>
      <c r="P104" s="6"/>
      <c r="Q104" s="2"/>
      <c r="R104" s="7">
        <f t="shared" si="81"/>
        <v>0</v>
      </c>
      <c r="S104" s="2"/>
      <c r="T104" s="6">
        <v>0</v>
      </c>
      <c r="U104" s="2"/>
      <c r="V104" s="7">
        <f t="shared" si="82"/>
        <v>0</v>
      </c>
      <c r="W104" s="2"/>
      <c r="X104" s="6">
        <f t="shared" si="83"/>
        <v>0</v>
      </c>
      <c r="Y104" s="2"/>
      <c r="Z104" s="7">
        <f t="shared" si="84"/>
        <v>0</v>
      </c>
    </row>
    <row r="105" spans="1:26" s="28" customFormat="1" outlineLevel="1" collapsed="1" x14ac:dyDescent="0.25">
      <c r="A105" s="27"/>
      <c r="B105" s="14" t="str">
        <f>CONCATENATE("     ","Travel                                            ")</f>
        <v xml:space="preserve">     Travel                                            </v>
      </c>
      <c r="C105" s="14"/>
      <c r="D105" s="1">
        <f>SUM(OSRRefD22_20x_0)</f>
        <v>152.52000000000001</v>
      </c>
      <c r="E105" s="1"/>
      <c r="F105" s="5">
        <f t="shared" si="77"/>
        <v>1.7576187101346563E-2</v>
      </c>
      <c r="G105" s="1"/>
      <c r="H105" s="1">
        <f>SUM(OSRRefH22_20x_0)</f>
        <v>0</v>
      </c>
      <c r="I105" s="1"/>
      <c r="J105" s="5">
        <f t="shared" si="78"/>
        <v>0</v>
      </c>
      <c r="K105" s="1"/>
      <c r="L105" s="1">
        <f t="shared" si="79"/>
        <v>152.52000000000001</v>
      </c>
      <c r="M105" s="1"/>
      <c r="N105" s="5">
        <f t="shared" si="80"/>
        <v>0</v>
      </c>
      <c r="O105" s="14"/>
      <c r="P105" s="1">
        <f>SUM(OSRRefP22_20x_0)</f>
        <v>332.21</v>
      </c>
      <c r="Q105" s="1"/>
      <c r="R105" s="5">
        <f t="shared" si="81"/>
        <v>2.3115889086038337E-2</v>
      </c>
      <c r="S105" s="1"/>
      <c r="T105" s="1">
        <f>SUM(OSRRefT22_20x_0)</f>
        <v>0</v>
      </c>
      <c r="U105" s="1"/>
      <c r="V105" s="5">
        <f t="shared" si="82"/>
        <v>0</v>
      </c>
      <c r="W105" s="1"/>
      <c r="X105" s="1">
        <f t="shared" si="83"/>
        <v>332.21</v>
      </c>
      <c r="Y105" s="1"/>
      <c r="Z105" s="5">
        <f t="shared" si="84"/>
        <v>0</v>
      </c>
    </row>
    <row r="106" spans="1:26" s="24" customFormat="1" hidden="1" outlineLevel="2" x14ac:dyDescent="0.25">
      <c r="A106" s="29"/>
      <c r="B106" s="11" t="str">
        <f>CONCATENATE("          ", "6292", " - ", "TRAVEL/CONFERENCE")</f>
        <v xml:space="preserve">          6292 - TRAVEL/CONFERENCE</v>
      </c>
      <c r="C106" s="11"/>
      <c r="D106" s="6"/>
      <c r="E106" s="2"/>
      <c r="F106" s="7">
        <f t="shared" si="77"/>
        <v>0</v>
      </c>
      <c r="G106" s="2"/>
      <c r="H106" s="6">
        <v>0</v>
      </c>
      <c r="I106" s="2"/>
      <c r="J106" s="7">
        <f t="shared" si="78"/>
        <v>0</v>
      </c>
      <c r="K106" s="2"/>
      <c r="L106" s="6">
        <f t="shared" si="79"/>
        <v>0</v>
      </c>
      <c r="M106" s="2"/>
      <c r="N106" s="7">
        <f t="shared" si="80"/>
        <v>0</v>
      </c>
      <c r="O106" s="11"/>
      <c r="P106" s="6"/>
      <c r="Q106" s="2"/>
      <c r="R106" s="7">
        <f t="shared" si="81"/>
        <v>0</v>
      </c>
      <c r="S106" s="2"/>
      <c r="T106" s="6">
        <v>0</v>
      </c>
      <c r="U106" s="2"/>
      <c r="V106" s="7">
        <f t="shared" si="82"/>
        <v>0</v>
      </c>
      <c r="W106" s="2"/>
      <c r="X106" s="6">
        <f t="shared" si="83"/>
        <v>0</v>
      </c>
      <c r="Y106" s="2"/>
      <c r="Z106" s="7">
        <f t="shared" si="84"/>
        <v>0</v>
      </c>
    </row>
    <row r="107" spans="1:26" s="24" customFormat="1" hidden="1" outlineLevel="2" x14ac:dyDescent="0.25">
      <c r="A107" s="29"/>
      <c r="B107" s="11" t="str">
        <f>CONCATENATE("          ", "6298", " - ", "VEHICLE MILEAGE")</f>
        <v xml:space="preserve">          6298 - VEHICLE MILEAGE</v>
      </c>
      <c r="C107" s="11"/>
      <c r="D107" s="6">
        <v>152.52000000000001</v>
      </c>
      <c r="E107" s="2"/>
      <c r="F107" s="7">
        <f t="shared" si="77"/>
        <v>1.7576187101346563E-2</v>
      </c>
      <c r="G107" s="2"/>
      <c r="H107" s="6"/>
      <c r="I107" s="2"/>
      <c r="J107" s="7">
        <f t="shared" si="78"/>
        <v>0</v>
      </c>
      <c r="K107" s="2"/>
      <c r="L107" s="6">
        <f t="shared" si="79"/>
        <v>152.52000000000001</v>
      </c>
      <c r="M107" s="2"/>
      <c r="N107" s="7">
        <f t="shared" si="80"/>
        <v>0</v>
      </c>
      <c r="O107" s="11"/>
      <c r="P107" s="6">
        <v>332.21</v>
      </c>
      <c r="Q107" s="2"/>
      <c r="R107" s="7">
        <f t="shared" si="81"/>
        <v>2.3115889086038337E-2</v>
      </c>
      <c r="S107" s="2"/>
      <c r="T107" s="6"/>
      <c r="U107" s="2"/>
      <c r="V107" s="7">
        <f t="shared" si="82"/>
        <v>0</v>
      </c>
      <c r="W107" s="2"/>
      <c r="X107" s="6">
        <f t="shared" si="83"/>
        <v>332.21</v>
      </c>
      <c r="Y107" s="2"/>
      <c r="Z107" s="7">
        <f t="shared" si="84"/>
        <v>0</v>
      </c>
    </row>
    <row r="108" spans="1:26" s="28" customFormat="1" outlineLevel="1" collapsed="1" x14ac:dyDescent="0.25">
      <c r="A108" s="27"/>
      <c r="B108" s="14" t="str">
        <f>CONCATENATE("     ","Utilities                                         ")</f>
        <v xml:space="preserve">     Utilities                                         </v>
      </c>
      <c r="C108" s="14"/>
      <c r="D108" s="1">
        <f>SUM(OSRRefD22_21x_0)</f>
        <v>2300</v>
      </c>
      <c r="E108" s="1"/>
      <c r="F108" s="5">
        <f t="shared" ref="F108:F109" si="85">IF(D$12=0,0,D108/D$12)</f>
        <v>0.26504871710658995</v>
      </c>
      <c r="G108" s="1"/>
      <c r="H108" s="1">
        <f>SUM(OSRRefH22_21x_0)</f>
        <v>3300</v>
      </c>
      <c r="I108" s="1"/>
      <c r="J108" s="5">
        <f t="shared" ref="J108:J109" si="86">IF(H$12=0,0,H108/H$12)</f>
        <v>0.15674725692300384</v>
      </c>
      <c r="K108" s="1"/>
      <c r="L108" s="1">
        <f t="shared" ref="L108:L109" si="87">+D108-H108</f>
        <v>-1000</v>
      </c>
      <c r="M108" s="1"/>
      <c r="N108" s="5">
        <f t="shared" ref="N108:N109" si="88">IF(H108=0,0,L108/H108)</f>
        <v>-0.30303030303030304</v>
      </c>
      <c r="O108" s="14"/>
      <c r="P108" s="1">
        <f>SUM(OSRRefP22_21x_0)</f>
        <v>6900</v>
      </c>
      <c r="Q108" s="1"/>
      <c r="R108" s="5">
        <f t="shared" ref="R108:R109" si="89">IF(P$12=0,0,P108/P$12)</f>
        <v>0.48011689802734581</v>
      </c>
      <c r="S108" s="1"/>
      <c r="T108" s="1">
        <f>SUM(OSRRefT22_21x_0)</f>
        <v>9900</v>
      </c>
      <c r="U108" s="1"/>
      <c r="V108" s="5">
        <f t="shared" ref="V108:V109" si="90">IF(T$12=0,0,T108/T$12)</f>
        <v>0.29216467463479417</v>
      </c>
      <c r="W108" s="1"/>
      <c r="X108" s="1">
        <f t="shared" ref="X108:X109" si="91">+P108-T108</f>
        <v>-3000</v>
      </c>
      <c r="Y108" s="1"/>
      <c r="Z108" s="5">
        <f t="shared" ref="Z108:Z109" si="92">IF(T108=0,0,X108/T108)</f>
        <v>-0.30303030303030304</v>
      </c>
    </row>
    <row r="109" spans="1:26" s="24" customFormat="1" hidden="1" outlineLevel="2" x14ac:dyDescent="0.25">
      <c r="A109" s="29"/>
      <c r="B109" s="11" t="str">
        <f>CONCATENATE("          ", "6274", " - ", "UTILITIES")</f>
        <v xml:space="preserve">          6274 - UTILITIES</v>
      </c>
      <c r="C109" s="11"/>
      <c r="D109" s="6">
        <v>2300</v>
      </c>
      <c r="E109" s="2"/>
      <c r="F109" s="7">
        <f t="shared" si="85"/>
        <v>0.26504871710658995</v>
      </c>
      <c r="G109" s="2"/>
      <c r="H109" s="6">
        <v>3300</v>
      </c>
      <c r="I109" s="2"/>
      <c r="J109" s="7">
        <f t="shared" si="86"/>
        <v>0.15674725692300384</v>
      </c>
      <c r="K109" s="2"/>
      <c r="L109" s="6">
        <f t="shared" si="87"/>
        <v>-1000</v>
      </c>
      <c r="M109" s="2"/>
      <c r="N109" s="7">
        <f t="shared" si="88"/>
        <v>-0.30303030303030304</v>
      </c>
      <c r="O109" s="11"/>
      <c r="P109" s="6">
        <v>6900</v>
      </c>
      <c r="Q109" s="2"/>
      <c r="R109" s="7">
        <f t="shared" si="89"/>
        <v>0.48011689802734581</v>
      </c>
      <c r="S109" s="2"/>
      <c r="T109" s="6">
        <v>9900</v>
      </c>
      <c r="U109" s="2"/>
      <c r="V109" s="7">
        <f t="shared" si="90"/>
        <v>0.29216467463479417</v>
      </c>
      <c r="W109" s="2"/>
      <c r="X109" s="6">
        <f t="shared" si="91"/>
        <v>-3000</v>
      </c>
      <c r="Y109" s="2"/>
      <c r="Z109" s="7">
        <f t="shared" si="92"/>
        <v>-0.30303030303030304</v>
      </c>
    </row>
    <row r="110" spans="1:26" s="61" customFormat="1" x14ac:dyDescent="0.25">
      <c r="A110" s="36"/>
      <c r="B110" s="36"/>
      <c r="C110" s="36"/>
      <c r="D110" s="1"/>
      <c r="E110" s="1"/>
      <c r="F110" s="5"/>
      <c r="G110" s="1"/>
      <c r="H110" s="1"/>
      <c r="I110" s="1"/>
      <c r="J110" s="5"/>
      <c r="K110" s="1"/>
      <c r="L110" s="1"/>
      <c r="M110" s="1"/>
      <c r="N110" s="5"/>
      <c r="O110" s="36"/>
      <c r="P110" s="1"/>
      <c r="Q110" s="1"/>
      <c r="R110" s="5"/>
      <c r="S110" s="1"/>
      <c r="T110" s="1"/>
      <c r="U110" s="1"/>
      <c r="V110" s="5"/>
      <c r="W110" s="1"/>
      <c r="X110" s="1"/>
      <c r="Y110" s="1"/>
      <c r="Z110" s="5"/>
    </row>
    <row r="111" spans="1:26" s="23" customFormat="1" collapsed="1" x14ac:dyDescent="0.25">
      <c r="A111" s="10"/>
      <c r="B111" s="25" t="s">
        <v>0</v>
      </c>
      <c r="C111" s="10"/>
      <c r="D111" s="4">
        <f>SUM(OSRRefD25x_0)</f>
        <v>805.53</v>
      </c>
      <c r="E111" s="4"/>
      <c r="F111" s="12">
        <f t="shared" ref="F111:F115" si="93">IF(D$12=0,0,D111/D$12)</f>
        <v>9.2828127430813645E-2</v>
      </c>
      <c r="G111" s="4"/>
      <c r="H111" s="4">
        <f>SUM(OSRRefH25x_0)</f>
        <v>4235</v>
      </c>
      <c r="I111" s="4"/>
      <c r="J111" s="12">
        <f t="shared" ref="J111:J115" si="94">IF(H$12=0,0,H111/H$12)</f>
        <v>0.20115897971785493</v>
      </c>
      <c r="K111" s="4"/>
      <c r="L111" s="4">
        <f t="shared" ref="L111:L115" si="95">+D111-H111</f>
        <v>-3429.4700000000003</v>
      </c>
      <c r="M111" s="4"/>
      <c r="N111" s="12">
        <f t="shared" ref="N111:N115" si="96">IF(H111=0,0,L111/H111)</f>
        <v>-0.80979220779220784</v>
      </c>
      <c r="O111" s="10"/>
      <c r="P111" s="4">
        <f>SUM(OSRRefP25x_0)</f>
        <v>3619.9199999999996</v>
      </c>
      <c r="Q111" s="4"/>
      <c r="R111" s="12">
        <f t="shared" ref="R111:R115" si="97">IF(P$12=0,0,P111/P$12)</f>
        <v>0.25188184949378978</v>
      </c>
      <c r="S111" s="4"/>
      <c r="T111" s="4">
        <f>SUM(OSRRefT25x_0)</f>
        <v>4235</v>
      </c>
      <c r="U111" s="4"/>
      <c r="V111" s="12">
        <f t="shared" ref="V111:V115" si="98">IF(T$12=0,0,T111/T$12)</f>
        <v>0.12498155526043972</v>
      </c>
      <c r="W111" s="4"/>
      <c r="X111" s="4">
        <f t="shared" ref="X111:X115" si="99">+P111-T111</f>
        <v>-615.08000000000038</v>
      </c>
      <c r="Y111" s="4"/>
      <c r="Z111" s="12">
        <f t="shared" ref="Z111:Z115" si="100">IF(T111=0,0,X111/T111)</f>
        <v>-0.14523730814639915</v>
      </c>
    </row>
    <row r="112" spans="1:26" s="24" customFormat="1" hidden="1" outlineLevel="1" x14ac:dyDescent="0.25">
      <c r="A112" s="51"/>
      <c r="B112" s="11" t="str">
        <f>CONCATENATE("          ", "9150", " - ", "MISC. INCOME")</f>
        <v xml:space="preserve">          9150 - MISC. INCOME</v>
      </c>
      <c r="C112" s="11"/>
      <c r="D112" s="2">
        <f>--180.85</f>
        <v>180.85</v>
      </c>
      <c r="E112" s="2"/>
      <c r="F112" s="22">
        <f t="shared" si="93"/>
        <v>2.0840895864663821E-2</v>
      </c>
      <c r="G112" s="2"/>
      <c r="H112" s="2">
        <v>2036</v>
      </c>
      <c r="I112" s="2"/>
      <c r="J112" s="22">
        <f t="shared" si="94"/>
        <v>9.6708307604616919E-2</v>
      </c>
      <c r="K112" s="2"/>
      <c r="L112" s="2">
        <f t="shared" si="95"/>
        <v>-1855.15</v>
      </c>
      <c r="M112" s="2"/>
      <c r="N112" s="22">
        <f t="shared" si="96"/>
        <v>-0.91117387033398822</v>
      </c>
      <c r="O112" s="11"/>
      <c r="P112" s="2">
        <f>--804.68</f>
        <v>804.68</v>
      </c>
      <c r="Q112" s="2"/>
      <c r="R112" s="22">
        <f t="shared" si="97"/>
        <v>5.5991371812267328E-2</v>
      </c>
      <c r="S112" s="2"/>
      <c r="T112" s="2">
        <v>2036</v>
      </c>
      <c r="U112" s="2"/>
      <c r="V112" s="22">
        <f t="shared" si="98"/>
        <v>6.0085583591559688E-2</v>
      </c>
      <c r="W112" s="2"/>
      <c r="X112" s="2">
        <f t="shared" si="99"/>
        <v>-1231.3200000000002</v>
      </c>
      <c r="Y112" s="2"/>
      <c r="Z112" s="22">
        <f t="shared" si="100"/>
        <v>-0.60477406679764256</v>
      </c>
    </row>
    <row r="113" spans="1:26" s="24" customFormat="1" hidden="1" outlineLevel="1" x14ac:dyDescent="0.25">
      <c r="A113" s="51"/>
      <c r="B113" s="11" t="str">
        <f>CONCATENATE("          ", "9151", " - ", "MISC. INCOME")</f>
        <v xml:space="preserve">          9151 - MISC. INCOME</v>
      </c>
      <c r="C113" s="11"/>
      <c r="D113" s="2">
        <f t="shared" ref="D113:D114" si="101">0</f>
        <v>0</v>
      </c>
      <c r="E113" s="2"/>
      <c r="F113" s="22">
        <f t="shared" si="93"/>
        <v>0</v>
      </c>
      <c r="G113" s="2"/>
      <c r="H113" s="2">
        <v>2199</v>
      </c>
      <c r="I113" s="2"/>
      <c r="J113" s="22">
        <f t="shared" si="94"/>
        <v>0.10445067211323802</v>
      </c>
      <c r="K113" s="2"/>
      <c r="L113" s="2">
        <f t="shared" si="95"/>
        <v>-2199</v>
      </c>
      <c r="M113" s="2"/>
      <c r="N113" s="22">
        <f t="shared" si="96"/>
        <v>-1</v>
      </c>
      <c r="O113" s="11"/>
      <c r="P113" s="2">
        <f>0</f>
        <v>0</v>
      </c>
      <c r="Q113" s="2"/>
      <c r="R113" s="22">
        <f t="shared" si="97"/>
        <v>0</v>
      </c>
      <c r="S113" s="2"/>
      <c r="T113" s="2">
        <v>2199</v>
      </c>
      <c r="U113" s="2"/>
      <c r="V113" s="22">
        <f t="shared" si="98"/>
        <v>6.4895971668880031E-2</v>
      </c>
      <c r="W113" s="2"/>
      <c r="X113" s="2">
        <f t="shared" si="99"/>
        <v>-2199</v>
      </c>
      <c r="Y113" s="2"/>
      <c r="Z113" s="22">
        <f t="shared" si="100"/>
        <v>-1</v>
      </c>
    </row>
    <row r="114" spans="1:26" s="24" customFormat="1" hidden="1" outlineLevel="1" x14ac:dyDescent="0.25">
      <c r="A114" s="51"/>
      <c r="B114" s="11" t="str">
        <f>CONCATENATE("          ", "9160", " - ", "MISC. INCOME")</f>
        <v xml:space="preserve">          9160 - MISC. INCOME</v>
      </c>
      <c r="C114" s="11"/>
      <c r="D114" s="2">
        <f t="shared" si="101"/>
        <v>0</v>
      </c>
      <c r="E114" s="2"/>
      <c r="F114" s="22">
        <f t="shared" si="93"/>
        <v>0</v>
      </c>
      <c r="G114" s="2"/>
      <c r="H114" s="2"/>
      <c r="I114" s="2"/>
      <c r="J114" s="22">
        <f t="shared" si="94"/>
        <v>0</v>
      </c>
      <c r="K114" s="2"/>
      <c r="L114" s="2">
        <f t="shared" si="95"/>
        <v>0</v>
      </c>
      <c r="M114" s="2"/>
      <c r="N114" s="22">
        <f t="shared" si="96"/>
        <v>0</v>
      </c>
      <c r="O114" s="11"/>
      <c r="P114" s="2">
        <f>--1990.06</f>
        <v>1990.06</v>
      </c>
      <c r="Q114" s="2"/>
      <c r="R114" s="22">
        <f t="shared" si="97"/>
        <v>0.13847267160699997</v>
      </c>
      <c r="S114" s="2"/>
      <c r="T114" s="2"/>
      <c r="U114" s="2"/>
      <c r="V114" s="22">
        <f t="shared" si="98"/>
        <v>0</v>
      </c>
      <c r="W114" s="2"/>
      <c r="X114" s="2">
        <f t="shared" si="99"/>
        <v>1990.06</v>
      </c>
      <c r="Y114" s="2"/>
      <c r="Z114" s="22">
        <f t="shared" si="100"/>
        <v>0</v>
      </c>
    </row>
    <row r="115" spans="1:26" s="24" customFormat="1" hidden="1" outlineLevel="1" x14ac:dyDescent="0.25">
      <c r="A115" s="51"/>
      <c r="B115" s="11" t="str">
        <f>CONCATENATE("          ", "9165", " - ", "OTHER INCOME")</f>
        <v xml:space="preserve">          9165 - OTHER INCOME</v>
      </c>
      <c r="C115" s="11"/>
      <c r="D115" s="2">
        <f>--624.68</f>
        <v>624.67999999999995</v>
      </c>
      <c r="E115" s="2"/>
      <c r="F115" s="22">
        <f t="shared" si="93"/>
        <v>7.198723156614982E-2</v>
      </c>
      <c r="G115" s="2"/>
      <c r="H115" s="2"/>
      <c r="I115" s="2"/>
      <c r="J115" s="22">
        <f t="shared" si="94"/>
        <v>0</v>
      </c>
      <c r="K115" s="2"/>
      <c r="L115" s="2">
        <f t="shared" si="95"/>
        <v>624.67999999999995</v>
      </c>
      <c r="M115" s="2"/>
      <c r="N115" s="22">
        <f t="shared" si="96"/>
        <v>0</v>
      </c>
      <c r="O115" s="11"/>
      <c r="P115" s="2">
        <f>--825.18</f>
        <v>825.18</v>
      </c>
      <c r="Q115" s="2"/>
      <c r="R115" s="22">
        <f t="shared" si="97"/>
        <v>5.7417806074522487E-2</v>
      </c>
      <c r="S115" s="2"/>
      <c r="T115" s="2"/>
      <c r="U115" s="2"/>
      <c r="V115" s="22">
        <f t="shared" si="98"/>
        <v>0</v>
      </c>
      <c r="W115" s="2"/>
      <c r="X115" s="2">
        <f t="shared" si="99"/>
        <v>825.18</v>
      </c>
      <c r="Y115" s="2"/>
      <c r="Z115" s="22">
        <f t="shared" si="100"/>
        <v>0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x14ac:dyDescent="0.25">
      <c r="A117" s="10"/>
      <c r="B117" s="26" t="s">
        <v>3</v>
      </c>
      <c r="C117" s="26"/>
      <c r="D117" s="20">
        <f>+D24-D26+D111</f>
        <v>-110107.33000000002</v>
      </c>
      <c r="E117" s="13"/>
      <c r="F117" s="21">
        <f>IF(D$12=0,0,D117/D$12)</f>
        <v>-12.688611548057368</v>
      </c>
      <c r="G117" s="13"/>
      <c r="H117" s="20">
        <f>+H24-H26+H111</f>
        <v>-85476.15726457948</v>
      </c>
      <c r="I117" s="13"/>
      <c r="J117" s="21">
        <f>IF(H$12=0,0,H117/H$12)</f>
        <v>-4.0600464192551886</v>
      </c>
      <c r="K117" s="16"/>
      <c r="L117" s="20">
        <f>+D117-H117</f>
        <v>-24631.172735420536</v>
      </c>
      <c r="M117" s="16"/>
      <c r="N117" s="21">
        <f>IF(H117=0,0,L117/H117)</f>
        <v>0.28816424981738697</v>
      </c>
      <c r="O117" s="25"/>
      <c r="P117" s="20">
        <f>+P24-P26+P111</f>
        <v>-317806.74000000005</v>
      </c>
      <c r="Q117" s="13"/>
      <c r="R117" s="21">
        <f>IF(P$12=0,0,P117/P$12)</f>
        <v>-22.113679156664233</v>
      </c>
      <c r="S117" s="13"/>
      <c r="T117" s="20">
        <f>+T24-T26+T111</f>
        <v>-294150.99438655004</v>
      </c>
      <c r="U117" s="13"/>
      <c r="V117" s="21">
        <f>IF(T$12=0,0,T117/T$12)</f>
        <v>-8.6808615725704605</v>
      </c>
      <c r="W117" s="16"/>
      <c r="X117" s="20">
        <f>+P117-T117</f>
        <v>-23655.74561345001</v>
      </c>
      <c r="Y117" s="16"/>
      <c r="Z117" s="21">
        <f>IF(T117=0,0,X117/T117)</f>
        <v>8.042041694533078E-2</v>
      </c>
    </row>
    <row r="118" spans="1:26" x14ac:dyDescent="0.25">
      <c r="A118" s="9"/>
      <c r="B118" s="10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x14ac:dyDescent="0.25">
      <c r="A119" s="52"/>
      <c r="B119" s="10" t="s">
        <v>14</v>
      </c>
      <c r="C119" s="10"/>
      <c r="D119" s="4">
        <v>1701.07</v>
      </c>
      <c r="E119" s="4"/>
      <c r="F119" s="12">
        <f>IF(D$12=0,0,D119/D$12)</f>
        <v>0.19602887878630734</v>
      </c>
      <c r="G119" s="4"/>
      <c r="H119" s="4">
        <v>2803</v>
      </c>
      <c r="I119" s="4"/>
      <c r="J119" s="12">
        <f>IF(H$12=0,0,H119/H$12)</f>
        <v>0.13314017004702416</v>
      </c>
      <c r="K119" s="4"/>
      <c r="L119" s="4">
        <f>+D119-H119</f>
        <v>-1101.93</v>
      </c>
      <c r="M119" s="4"/>
      <c r="N119" s="12">
        <f>IF(H119=0,0,L119/H119)</f>
        <v>-0.39312522297538355</v>
      </c>
      <c r="O119" s="10"/>
      <c r="P119" s="4">
        <v>2662.4</v>
      </c>
      <c r="Q119" s="4"/>
      <c r="R119" s="12">
        <f>IF(P$12=0,0,P119/P$12)</f>
        <v>0.18525554047942108</v>
      </c>
      <c r="S119" s="4"/>
      <c r="T119" s="4">
        <v>4899</v>
      </c>
      <c r="U119" s="4"/>
      <c r="V119" s="12">
        <f>IF(T$12=0,0,T119/T$12)</f>
        <v>0.14457724656927845</v>
      </c>
      <c r="W119" s="4"/>
      <c r="X119" s="4">
        <f>+P119-T119</f>
        <v>-2236.6</v>
      </c>
      <c r="Y119" s="4"/>
      <c r="Z119" s="12">
        <f>IF(T119=0,0,X119/T119)</f>
        <v>-0.45654215145948152</v>
      </c>
    </row>
    <row r="120" spans="1:26" x14ac:dyDescent="0.25">
      <c r="A120" s="9"/>
      <c r="B120" s="10"/>
      <c r="C120" s="10"/>
      <c r="D120" s="3"/>
      <c r="E120" s="3"/>
      <c r="F120" s="8"/>
      <c r="G120" s="3"/>
      <c r="H120" s="3"/>
      <c r="I120" s="3"/>
      <c r="J120" s="8"/>
      <c r="K120" s="3"/>
      <c r="L120" s="3"/>
      <c r="M120" s="3"/>
      <c r="N120" s="8"/>
      <c r="O120" s="10"/>
      <c r="P120" s="3"/>
      <c r="Q120" s="3"/>
      <c r="R120" s="8"/>
      <c r="S120" s="3"/>
      <c r="T120" s="3"/>
      <c r="U120" s="3"/>
      <c r="V120" s="8"/>
      <c r="W120" s="3"/>
      <c r="X120" s="3"/>
      <c r="Y120" s="3"/>
      <c r="Z120" s="8"/>
    </row>
    <row r="121" spans="1:26" s="23" customFormat="1" ht="15.75" thickBot="1" x14ac:dyDescent="0.3">
      <c r="A121" s="10"/>
      <c r="B121" s="26" t="s">
        <v>4</v>
      </c>
      <c r="C121" s="26"/>
      <c r="D121" s="33">
        <f>+D117-D119</f>
        <v>-111808.40000000002</v>
      </c>
      <c r="E121" s="13"/>
      <c r="F121" s="34">
        <f>IF(D$12=0,0,D121/D$12)</f>
        <v>-12.884640426843676</v>
      </c>
      <c r="G121" s="13"/>
      <c r="H121" s="33">
        <f>+H117-H119</f>
        <v>-88279.15726457948</v>
      </c>
      <c r="I121" s="13"/>
      <c r="J121" s="34">
        <f>IF(H$12=0,0,H121/H$12)</f>
        <v>-4.1931865893022122</v>
      </c>
      <c r="K121" s="16"/>
      <c r="L121" s="33">
        <f>D121-H121</f>
        <v>-23529.242735420543</v>
      </c>
      <c r="M121" s="16"/>
      <c r="N121" s="34">
        <f>IF(H121=0,0,L121/H121)</f>
        <v>0.26653225364285682</v>
      </c>
      <c r="O121" s="25"/>
      <c r="P121" s="33">
        <f>+P117-P119</f>
        <v>-320469.14000000007</v>
      </c>
      <c r="Q121" s="13"/>
      <c r="R121" s="34">
        <f>IF(P$12=0,0,P121/P$12)</f>
        <v>-22.298934697143658</v>
      </c>
      <c r="S121" s="13"/>
      <c r="T121" s="33">
        <f>+T117-T119</f>
        <v>-299049.99438655004</v>
      </c>
      <c r="U121" s="13"/>
      <c r="V121" s="34">
        <f>IF(T$12=0,0,T121/T$12)</f>
        <v>-8.8254388191397393</v>
      </c>
      <c r="W121" s="16"/>
      <c r="X121" s="33">
        <f>P121-T121</f>
        <v>-21419.145613450033</v>
      </c>
      <c r="Y121" s="16"/>
      <c r="Z121" s="34">
        <f>IF(T121=0,0,X121/T121)</f>
        <v>7.162396259992497E-2</v>
      </c>
    </row>
    <row r="122" spans="1:26" ht="15.75" thickTop="1" x14ac:dyDescent="0.25">
      <c r="A122" s="9"/>
      <c r="B122" s="9"/>
      <c r="C122" s="9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s="23" customFormat="1" ht="15.75" thickBot="1" x14ac:dyDescent="0.3">
      <c r="A124" s="10"/>
      <c r="B124" s="26" t="s">
        <v>5</v>
      </c>
      <c r="C124" s="26"/>
      <c r="D124" s="31">
        <f>SUM(D121:D123)</f>
        <v>-111808.40000000002</v>
      </c>
      <c r="E124" s="13"/>
      <c r="F124" s="32">
        <f>IF(D$12=0,0,D124/D$12)</f>
        <v>-12.884640426843676</v>
      </c>
      <c r="G124" s="13"/>
      <c r="H124" s="31">
        <f>SUM(H121:H123)</f>
        <v>-88279.15726457948</v>
      </c>
      <c r="I124" s="13"/>
      <c r="J124" s="32">
        <f>IF(H$12=0,0,H124/H$12)</f>
        <v>-4.1931865893022122</v>
      </c>
      <c r="K124" s="16"/>
      <c r="L124" s="31">
        <f>+D124-H124</f>
        <v>-23529.242735420543</v>
      </c>
      <c r="M124" s="16"/>
      <c r="N124" s="32">
        <f>IF(H124=0,0,L124/H124)</f>
        <v>0.26653225364285682</v>
      </c>
      <c r="O124" s="25"/>
      <c r="P124" s="31">
        <f>SUM(P121:P123)</f>
        <v>-320469.14000000007</v>
      </c>
      <c r="Q124" s="13"/>
      <c r="R124" s="32">
        <f>IF(P$12=0,0,P124/P$12)</f>
        <v>-22.298934697143658</v>
      </c>
      <c r="S124" s="13"/>
      <c r="T124" s="31">
        <f>SUM(T121:T123)</f>
        <v>-299049.99438655004</v>
      </c>
      <c r="U124" s="13"/>
      <c r="V124" s="32">
        <f>IF(T$12=0,0,T124/T$12)</f>
        <v>-8.8254388191397393</v>
      </c>
      <c r="W124" s="16"/>
      <c r="X124" s="31">
        <f>+P124-T124</f>
        <v>-21419.145613450033</v>
      </c>
      <c r="Y124" s="16"/>
      <c r="Z124" s="32">
        <f>IF(T124=0,0,X124/T124)</f>
        <v>7.162396259992497E-2</v>
      </c>
    </row>
    <row r="125" spans="1:26" ht="15.75" thickTop="1" x14ac:dyDescent="0.25">
      <c r="A125" s="9"/>
      <c r="C125" s="9"/>
      <c r="D125" s="17"/>
      <c r="E125" s="17"/>
      <c r="G125" s="17"/>
      <c r="H125" s="17"/>
      <c r="I125" s="17"/>
      <c r="J125" s="43"/>
      <c r="K125" s="17"/>
      <c r="L125" s="17"/>
      <c r="M125" s="17"/>
      <c r="P125" s="17"/>
      <c r="Q125" s="17"/>
      <c r="R125" s="43"/>
      <c r="S125" s="17"/>
      <c r="T125" s="17"/>
      <c r="U125" s="17"/>
      <c r="V125" s="43"/>
      <c r="W125" s="17"/>
      <c r="X125" s="17"/>
    </row>
    <row r="126" spans="1:26" x14ac:dyDescent="0.25">
      <c r="A126" s="9"/>
      <c r="B126" s="55">
        <v>44123.571624305558</v>
      </c>
      <c r="D126" s="17"/>
      <c r="E126" s="17"/>
      <c r="G126" s="17"/>
      <c r="H126" s="17"/>
      <c r="I126" s="17"/>
      <c r="J126" s="43"/>
      <c r="K126" s="17"/>
      <c r="L126" s="17"/>
      <c r="M126" s="17"/>
      <c r="P126" s="17"/>
      <c r="Q126" s="17"/>
      <c r="R126" s="43"/>
      <c r="S126" s="17"/>
      <c r="T126" s="17"/>
      <c r="U126" s="17"/>
      <c r="V126" s="43"/>
      <c r="W126" s="17"/>
      <c r="X126" s="17"/>
    </row>
    <row r="127" spans="1:26" x14ac:dyDescent="0.25">
      <c r="A127" s="9"/>
      <c r="B127" s="53" t="s">
        <v>314</v>
      </c>
      <c r="D127" s="17"/>
      <c r="E127" s="17"/>
      <c r="G127" s="17"/>
      <c r="H127" s="17"/>
      <c r="I127" s="17"/>
      <c r="J127" s="43"/>
      <c r="K127" s="17"/>
      <c r="L127" s="17"/>
      <c r="M127" s="17"/>
      <c r="P127" s="17"/>
      <c r="Q127" s="17"/>
      <c r="R127" s="43"/>
      <c r="S127" s="17"/>
      <c r="T127" s="17"/>
      <c r="U127" s="17"/>
      <c r="V127" s="43"/>
      <c r="W127" s="17"/>
      <c r="X127" s="17"/>
    </row>
    <row r="128" spans="1:26" x14ac:dyDescent="0.25">
      <c r="A128" s="9"/>
      <c r="B128" s="62"/>
      <c r="D128" s="17"/>
      <c r="E128" s="17"/>
      <c r="G128" s="17"/>
      <c r="H128" s="17"/>
      <c r="I128" s="17"/>
      <c r="J128" s="43"/>
      <c r="K128" s="17"/>
      <c r="L128" s="17"/>
      <c r="M128" s="17"/>
      <c r="P128" s="17"/>
      <c r="Q128" s="17"/>
      <c r="R128" s="43"/>
      <c r="S128" s="17"/>
      <c r="T128" s="17"/>
      <c r="U128" s="17"/>
      <c r="V128" s="43"/>
      <c r="W128" s="17"/>
      <c r="X128" s="17"/>
    </row>
    <row r="129" spans="4:24" x14ac:dyDescent="0.25">
      <c r="D129" s="17"/>
      <c r="E129" s="17"/>
      <c r="G129" s="17"/>
      <c r="H129" s="17"/>
      <c r="I129" s="17"/>
      <c r="J129" s="43"/>
      <c r="K129" s="17"/>
      <c r="L129" s="17"/>
      <c r="M129" s="17"/>
      <c r="P129" s="17"/>
      <c r="Q129" s="17"/>
      <c r="R129" s="43"/>
      <c r="S129" s="17"/>
      <c r="T129" s="17"/>
      <c r="U129" s="17"/>
      <c r="V129" s="43"/>
      <c r="W129" s="17"/>
      <c r="X129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","405", " - ", "Library Starbucks")</f>
        <v>Department 405 - Library Starbucks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D12-D16</f>
        <v>0</v>
      </c>
      <c r="E19" s="13"/>
      <c r="F19" s="21">
        <f>IF(D$12=0,0,D19/D$12)</f>
        <v>0</v>
      </c>
      <c r="G19" s="13"/>
      <c r="H19" s="20">
        <f>H12-H16</f>
        <v>0</v>
      </c>
      <c r="I19" s="13"/>
      <c r="J19" s="21">
        <f>IF(H$12=0,0,H19/H$12)</f>
        <v>0</v>
      </c>
      <c r="K19" s="16"/>
      <c r="L19" s="20">
        <f>+D19-H19</f>
        <v>0</v>
      </c>
      <c r="M19" s="16"/>
      <c r="N19" s="21">
        <f>IF(H19=0,0,L19/H19)</f>
        <v>0</v>
      </c>
      <c r="O19" s="25"/>
      <c r="P19" s="20">
        <f>P12-P16</f>
        <v>0</v>
      </c>
      <c r="Q19" s="13"/>
      <c r="R19" s="21">
        <f>IF(P$12=0,0,P19/P$12)</f>
        <v>0</v>
      </c>
      <c r="S19" s="13"/>
      <c r="T19" s="20">
        <f>T12-T16</f>
        <v>0</v>
      </c>
      <c r="U19" s="13"/>
      <c r="V19" s="21">
        <f>IF(T$12=0,0,T19/T$12)</f>
        <v>0</v>
      </c>
      <c r="W19" s="16"/>
      <c r="X19" s="20">
        <f>+P19-T19</f>
        <v>0</v>
      </c>
      <c r="Y19" s="16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19">
        <f>SUM(OSRRefD22x_0)</f>
        <v>11248.7</v>
      </c>
      <c r="E21" s="19"/>
      <c r="F21" s="35">
        <f t="shared" ref="F21:F30" si="14">IF(D$12=0,0,D21/D$12)</f>
        <v>0</v>
      </c>
      <c r="G21" s="19"/>
      <c r="H21" s="19">
        <f>SUM(OSRRefH22x_0)</f>
        <v>7481.333333333333</v>
      </c>
      <c r="I21" s="19"/>
      <c r="J21" s="35">
        <f t="shared" ref="J21:J30" si="15">IF(H$12=0,0,H21/H$12)</f>
        <v>0</v>
      </c>
      <c r="K21" s="4"/>
      <c r="L21" s="19">
        <f t="shared" ref="L21:L30" si="16">+D21-H21</f>
        <v>3767.3666666666677</v>
      </c>
      <c r="M21" s="4"/>
      <c r="N21" s="35">
        <f t="shared" ref="N21:N30" si="17">IF(H21=0,0,L21/H21)</f>
        <v>0.50356888255212995</v>
      </c>
      <c r="O21" s="10"/>
      <c r="P21" s="19">
        <f>SUM(OSRRefP22x_0)</f>
        <v>22398.399999999998</v>
      </c>
      <c r="Q21" s="19"/>
      <c r="R21" s="35">
        <f t="shared" ref="R21:R30" si="18">IF(P$12=0,0,P21/P$12)</f>
        <v>0</v>
      </c>
      <c r="S21" s="19"/>
      <c r="T21" s="19">
        <f>SUM(OSRRefT22x_0)</f>
        <v>22444</v>
      </c>
      <c r="U21" s="19"/>
      <c r="V21" s="35">
        <f t="shared" ref="V21:V30" si="19">IF(T$12=0,0,T21/T$12)</f>
        <v>0</v>
      </c>
      <c r="W21" s="4"/>
      <c r="X21" s="19">
        <f t="shared" ref="X21:X30" si="20">+P21-T21</f>
        <v>-45.600000000002183</v>
      </c>
      <c r="Y21" s="4"/>
      <c r="Z21" s="35">
        <f t="shared" ref="Z21:Z30" si="21">IF(T21=0,0,X21/T21)</f>
        <v>-2.0317234004634727E-3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0</v>
      </c>
      <c r="Y22" s="1"/>
      <c r="Z22" s="5">
        <f t="shared" si="21"/>
        <v>0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0</v>
      </c>
      <c r="I23" s="2"/>
      <c r="J23" s="7">
        <f t="shared" si="15"/>
        <v>0</v>
      </c>
      <c r="K23" s="2"/>
      <c r="L23" s="6">
        <f t="shared" si="16"/>
        <v>0</v>
      </c>
      <c r="M23" s="2"/>
      <c r="N23" s="7">
        <f t="shared" si="17"/>
        <v>0</v>
      </c>
      <c r="O23" s="11"/>
      <c r="P23" s="6"/>
      <c r="Q23" s="2"/>
      <c r="R23" s="7">
        <f t="shared" si="18"/>
        <v>0</v>
      </c>
      <c r="S23" s="2"/>
      <c r="T23" s="6">
        <v>0</v>
      </c>
      <c r="U23" s="2"/>
      <c r="V23" s="7">
        <f t="shared" si="19"/>
        <v>0</v>
      </c>
      <c r="W23" s="2"/>
      <c r="X23" s="6">
        <f t="shared" si="20"/>
        <v>0</v>
      </c>
      <c r="Y23" s="2"/>
      <c r="Z23" s="7">
        <f t="shared" si="21"/>
        <v>0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/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0</v>
      </c>
      <c r="Y24" s="2"/>
      <c r="Z24" s="7">
        <f t="shared" si="21"/>
        <v>0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/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0</v>
      </c>
      <c r="Y25" s="2"/>
      <c r="Z25" s="7">
        <f t="shared" si="21"/>
        <v>0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/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0</v>
      </c>
      <c r="Y27" s="2"/>
      <c r="Z27" s="7">
        <f t="shared" si="21"/>
        <v>0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0</v>
      </c>
      <c r="Y29" s="2"/>
      <c r="Z29" s="7">
        <f t="shared" si="21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0</v>
      </c>
      <c r="Y30" s="2"/>
      <c r="Z30" s="7">
        <f t="shared" si="21"/>
        <v>0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0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0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22"/>
        <v>0</v>
      </c>
      <c r="G32" s="2"/>
      <c r="H32" s="6">
        <v>0</v>
      </c>
      <c r="I32" s="2"/>
      <c r="J32" s="7">
        <f t="shared" si="23"/>
        <v>0</v>
      </c>
      <c r="K32" s="2"/>
      <c r="L32" s="6">
        <f t="shared" si="24"/>
        <v>0</v>
      </c>
      <c r="M32" s="2"/>
      <c r="N32" s="7">
        <f t="shared" si="25"/>
        <v>0</v>
      </c>
      <c r="O32" s="11"/>
      <c r="P32" s="6"/>
      <c r="Q32" s="2"/>
      <c r="R32" s="7">
        <f t="shared" si="26"/>
        <v>0</v>
      </c>
      <c r="S32" s="2"/>
      <c r="T32" s="6">
        <v>0</v>
      </c>
      <c r="U32" s="2"/>
      <c r="V32" s="7">
        <f t="shared" si="27"/>
        <v>0</v>
      </c>
      <c r="W32" s="2"/>
      <c r="X32" s="6">
        <f t="shared" si="28"/>
        <v>0</v>
      </c>
      <c r="Y32" s="2"/>
      <c r="Z32" s="7">
        <f t="shared" si="29"/>
        <v>0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0</v>
      </c>
      <c r="Y33" s="2"/>
      <c r="Z33" s="7">
        <f t="shared" si="29"/>
        <v>0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8" customFormat="1" outlineLevel="1" collapsed="1" x14ac:dyDescent="0.25">
      <c r="A42" s="27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9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30"/>
        <v>0</v>
      </c>
      <c r="G43" s="2"/>
      <c r="H43" s="6">
        <v>0</v>
      </c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/>
      <c r="Q43" s="2"/>
      <c r="R43" s="7">
        <f t="shared" si="34"/>
        <v>0</v>
      </c>
      <c r="S43" s="2"/>
      <c r="T43" s="6">
        <v>0</v>
      </c>
      <c r="U43" s="2"/>
      <c r="V43" s="7">
        <f t="shared" si="35"/>
        <v>0</v>
      </c>
      <c r="W43" s="2"/>
      <c r="X43" s="6">
        <f t="shared" si="36"/>
        <v>0</v>
      </c>
      <c r="Y43" s="2"/>
      <c r="Z43" s="7">
        <f t="shared" si="37"/>
        <v>0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30"/>
        <v>0</v>
      </c>
      <c r="G45" s="2"/>
      <c r="H45" s="6">
        <v>0</v>
      </c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/>
      <c r="Q45" s="2"/>
      <c r="R45" s="7">
        <f t="shared" si="34"/>
        <v>0</v>
      </c>
      <c r="S45" s="2"/>
      <c r="T45" s="6">
        <v>0</v>
      </c>
      <c r="U45" s="2"/>
      <c r="V45" s="7">
        <f t="shared" si="35"/>
        <v>0</v>
      </c>
      <c r="W45" s="2"/>
      <c r="X45" s="6">
        <f t="shared" si="36"/>
        <v>0</v>
      </c>
      <c r="Y45" s="2"/>
      <c r="Z45" s="7">
        <f t="shared" si="37"/>
        <v>0</v>
      </c>
    </row>
    <row r="46" spans="1:26" s="28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5330.05</v>
      </c>
      <c r="E46" s="1"/>
      <c r="F46" s="5">
        <f t="shared" si="30"/>
        <v>0</v>
      </c>
      <c r="G46" s="1"/>
      <c r="H46" s="1">
        <f>SUM(OSRRefH22_4x_0)</f>
        <v>5330</v>
      </c>
      <c r="I46" s="1"/>
      <c r="J46" s="5">
        <f t="shared" si="31"/>
        <v>0</v>
      </c>
      <c r="K46" s="1"/>
      <c r="L46" s="1">
        <f t="shared" si="32"/>
        <v>5.0000000000181899E-2</v>
      </c>
      <c r="M46" s="1"/>
      <c r="N46" s="5">
        <f t="shared" si="33"/>
        <v>9.3808630394337517E-6</v>
      </c>
      <c r="O46" s="14"/>
      <c r="P46" s="1">
        <f>SUM(OSRRefP22_4x_0)</f>
        <v>15990.15</v>
      </c>
      <c r="Q46" s="1"/>
      <c r="R46" s="5">
        <f t="shared" si="34"/>
        <v>0</v>
      </c>
      <c r="S46" s="1"/>
      <c r="T46" s="1">
        <f>SUM(OSRRefT22_4x_0)</f>
        <v>15990</v>
      </c>
      <c r="U46" s="1"/>
      <c r="V46" s="5">
        <f t="shared" si="35"/>
        <v>0</v>
      </c>
      <c r="W46" s="1"/>
      <c r="X46" s="1">
        <f t="shared" si="36"/>
        <v>0.1499999999996362</v>
      </c>
      <c r="Y46" s="1"/>
      <c r="Z46" s="5">
        <f t="shared" si="37"/>
        <v>9.3808630393768735E-6</v>
      </c>
    </row>
    <row r="47" spans="1:26" s="24" customFormat="1" hidden="1" outlineLevel="2" x14ac:dyDescent="0.25">
      <c r="A47" s="29"/>
      <c r="B47" s="11" t="str">
        <f>CONCATENATE("          ", "6321", " - ", "BUILDING DEPRECIATION")</f>
        <v xml:space="preserve">          6321 - BUILDING DEPRECIATION</v>
      </c>
      <c r="C47" s="11"/>
      <c r="D47" s="6">
        <v>4626.5</v>
      </c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4626.5</v>
      </c>
      <c r="M47" s="2"/>
      <c r="N47" s="7">
        <f t="shared" si="33"/>
        <v>0</v>
      </c>
      <c r="O47" s="11"/>
      <c r="P47" s="6">
        <v>13879.5</v>
      </c>
      <c r="Q47" s="2"/>
      <c r="R47" s="7">
        <f t="shared" si="34"/>
        <v>0</v>
      </c>
      <c r="S47" s="2"/>
      <c r="T47" s="6"/>
      <c r="U47" s="2"/>
      <c r="V47" s="7">
        <f t="shared" si="35"/>
        <v>0</v>
      </c>
      <c r="W47" s="2"/>
      <c r="X47" s="6">
        <f t="shared" si="36"/>
        <v>13879.5</v>
      </c>
      <c r="Y47" s="2"/>
      <c r="Z47" s="7">
        <f t="shared" si="37"/>
        <v>0</v>
      </c>
    </row>
    <row r="48" spans="1:26" s="24" customFormat="1" hidden="1" outlineLevel="2" x14ac:dyDescent="0.2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703.55</v>
      </c>
      <c r="E48" s="2"/>
      <c r="F48" s="7">
        <f t="shared" si="30"/>
        <v>0</v>
      </c>
      <c r="G48" s="2"/>
      <c r="H48" s="6">
        <v>5330</v>
      </c>
      <c r="I48" s="2"/>
      <c r="J48" s="7">
        <f t="shared" si="31"/>
        <v>0</v>
      </c>
      <c r="K48" s="2"/>
      <c r="L48" s="6">
        <f t="shared" si="32"/>
        <v>-4626.45</v>
      </c>
      <c r="M48" s="2"/>
      <c r="N48" s="7">
        <f t="shared" si="33"/>
        <v>-0.86800187617260782</v>
      </c>
      <c r="O48" s="11"/>
      <c r="P48" s="6">
        <v>2110.65</v>
      </c>
      <c r="Q48" s="2"/>
      <c r="R48" s="7">
        <f t="shared" si="34"/>
        <v>0</v>
      </c>
      <c r="S48" s="2"/>
      <c r="T48" s="6">
        <v>15990</v>
      </c>
      <c r="U48" s="2"/>
      <c r="V48" s="7">
        <f t="shared" si="35"/>
        <v>0</v>
      </c>
      <c r="W48" s="2"/>
      <c r="X48" s="6">
        <f t="shared" si="36"/>
        <v>-13879.35</v>
      </c>
      <c r="Y48" s="2"/>
      <c r="Z48" s="7">
        <f t="shared" si="37"/>
        <v>-0.86800187617260793</v>
      </c>
    </row>
    <row r="49" spans="1:26" s="28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SUM(OSRRefD22_5x_0)</f>
        <v>96.3</v>
      </c>
      <c r="E49" s="1"/>
      <c r="F49" s="5">
        <f t="shared" ref="F49:F57" si="38">IF(D$12=0,0,D49/D$12)</f>
        <v>0</v>
      </c>
      <c r="G49" s="1"/>
      <c r="H49" s="1">
        <f>SUM(OSRRefH22_5x_0)</f>
        <v>208.333333333333</v>
      </c>
      <c r="I49" s="1"/>
      <c r="J49" s="5">
        <f t="shared" ref="J49:J57" si="39">IF(H$12=0,0,H49/H$12)</f>
        <v>0</v>
      </c>
      <c r="K49" s="1"/>
      <c r="L49" s="1">
        <f t="shared" ref="L49:L57" si="40">+D49-H49</f>
        <v>-112.033333333333</v>
      </c>
      <c r="M49" s="1"/>
      <c r="N49" s="5">
        <f t="shared" ref="N49:N57" si="41">IF(H49=0,0,L49/H49)</f>
        <v>-0.53775999999999924</v>
      </c>
      <c r="O49" s="14"/>
      <c r="P49" s="1">
        <f>SUM(OSRRefP22_5x_0)</f>
        <v>96.3</v>
      </c>
      <c r="Q49" s="1"/>
      <c r="R49" s="5">
        <f t="shared" ref="R49:R57" si="42">IF(P$12=0,0,P49/P$12)</f>
        <v>0</v>
      </c>
      <c r="S49" s="1"/>
      <c r="T49" s="1">
        <f>SUM(OSRRefT22_5x_0)</f>
        <v>624.99999999999898</v>
      </c>
      <c r="U49" s="1"/>
      <c r="V49" s="5">
        <f t="shared" ref="V49:V57" si="43">IF(T$12=0,0,T49/T$12)</f>
        <v>0</v>
      </c>
      <c r="W49" s="1"/>
      <c r="X49" s="1">
        <f t="shared" ref="X49:X57" si="44">+P49-T49</f>
        <v>-528.69999999999902</v>
      </c>
      <c r="Y49" s="1"/>
      <c r="Z49" s="5">
        <f t="shared" ref="Z49:Z57" si="45">IF(T49=0,0,X49/T49)</f>
        <v>-0.84591999999999978</v>
      </c>
    </row>
    <row r="50" spans="1:26" s="24" customFormat="1" hidden="1" outlineLevel="2" x14ac:dyDescent="0.25">
      <c r="A50" s="29"/>
      <c r="B50" s="11" t="str">
        <f>CONCATENATE("          ", "6351", " - ", "EQUIPMENT RENTAL")</f>
        <v xml:space="preserve">          6351 - EQUIPMENT RENTAL</v>
      </c>
      <c r="C50" s="11"/>
      <c r="D50" s="6">
        <v>96.3</v>
      </c>
      <c r="E50" s="2"/>
      <c r="F50" s="7">
        <f t="shared" si="38"/>
        <v>0</v>
      </c>
      <c r="G50" s="2"/>
      <c r="H50" s="6">
        <v>208.333333333333</v>
      </c>
      <c r="I50" s="2"/>
      <c r="J50" s="7">
        <f t="shared" si="39"/>
        <v>0</v>
      </c>
      <c r="K50" s="2"/>
      <c r="L50" s="6">
        <f t="shared" si="40"/>
        <v>-112.033333333333</v>
      </c>
      <c r="M50" s="2"/>
      <c r="N50" s="7">
        <f t="shared" si="41"/>
        <v>-0.53775999999999924</v>
      </c>
      <c r="O50" s="11"/>
      <c r="P50" s="6">
        <v>96.3</v>
      </c>
      <c r="Q50" s="2"/>
      <c r="R50" s="7">
        <f t="shared" si="42"/>
        <v>0</v>
      </c>
      <c r="S50" s="2"/>
      <c r="T50" s="6">
        <v>624.99999999999898</v>
      </c>
      <c r="U50" s="2"/>
      <c r="V50" s="7">
        <f t="shared" si="43"/>
        <v>0</v>
      </c>
      <c r="W50" s="2"/>
      <c r="X50" s="6">
        <f t="shared" si="44"/>
        <v>-528.69999999999902</v>
      </c>
      <c r="Y50" s="2"/>
      <c r="Z50" s="7">
        <f t="shared" si="45"/>
        <v>-0.84591999999999978</v>
      </c>
    </row>
    <row r="51" spans="1:26" s="28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SUM(OSRRefP22_6x_0)</f>
        <v>0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0</v>
      </c>
      <c r="Y51" s="1"/>
      <c r="Z51" s="5">
        <f t="shared" si="45"/>
        <v>0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8"/>
        <v>0</v>
      </c>
      <c r="G52" s="2"/>
      <c r="H52" s="6">
        <v>0</v>
      </c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>
        <v>0</v>
      </c>
      <c r="Q52" s="2"/>
      <c r="R52" s="7">
        <f t="shared" si="42"/>
        <v>0</v>
      </c>
      <c r="S52" s="2"/>
      <c r="T52" s="6">
        <v>0</v>
      </c>
      <c r="U52" s="2"/>
      <c r="V52" s="7">
        <f t="shared" si="43"/>
        <v>0</v>
      </c>
      <c r="W52" s="2"/>
      <c r="X52" s="6">
        <f t="shared" si="44"/>
        <v>0</v>
      </c>
      <c r="Y52" s="2"/>
      <c r="Z52" s="7">
        <f t="shared" si="45"/>
        <v>0</v>
      </c>
    </row>
    <row r="53" spans="1:26" s="28" customFormat="1" outlineLevel="1" collapsed="1" x14ac:dyDescent="0.25">
      <c r="A53" s="27"/>
      <c r="B53" s="14" t="str">
        <f>CONCATENATE("     ","Rent                                              ")</f>
        <v xml:space="preserve">     Rent                                              </v>
      </c>
      <c r="C53" s="14"/>
      <c r="D53" s="1">
        <f>SUM(OSRRefD22_7x_0)</f>
        <v>5550</v>
      </c>
      <c r="E53" s="1"/>
      <c r="F53" s="5">
        <f t="shared" si="38"/>
        <v>0</v>
      </c>
      <c r="G53" s="1"/>
      <c r="H53" s="1">
        <f>SUM(OSRRefH22_7x_0)</f>
        <v>1943</v>
      </c>
      <c r="I53" s="1"/>
      <c r="J53" s="5">
        <f t="shared" si="39"/>
        <v>0</v>
      </c>
      <c r="K53" s="1"/>
      <c r="L53" s="1">
        <f t="shared" si="40"/>
        <v>3607</v>
      </c>
      <c r="M53" s="1"/>
      <c r="N53" s="5">
        <f t="shared" si="41"/>
        <v>1.856407617086979</v>
      </c>
      <c r="O53" s="14"/>
      <c r="P53" s="1">
        <f>SUM(OSRRefP22_7x_0)</f>
        <v>5550</v>
      </c>
      <c r="Q53" s="1"/>
      <c r="R53" s="5">
        <f t="shared" si="42"/>
        <v>0</v>
      </c>
      <c r="S53" s="1"/>
      <c r="T53" s="1">
        <f>SUM(OSRRefT22_7x_0)</f>
        <v>5829</v>
      </c>
      <c r="U53" s="1"/>
      <c r="V53" s="5">
        <f t="shared" si="43"/>
        <v>0</v>
      </c>
      <c r="W53" s="1"/>
      <c r="X53" s="1">
        <f t="shared" si="44"/>
        <v>-279</v>
      </c>
      <c r="Y53" s="1"/>
      <c r="Z53" s="5">
        <f t="shared" si="45"/>
        <v>-4.7864127637673698E-2</v>
      </c>
    </row>
    <row r="54" spans="1:26" s="24" customFormat="1" hidden="1" outlineLevel="2" x14ac:dyDescent="0.25">
      <c r="A54" s="29"/>
      <c r="B54" s="11" t="str">
        <f>CONCATENATE("          ", "6273", " - ", "RENT")</f>
        <v xml:space="preserve">          6273 - RENT</v>
      </c>
      <c r="C54" s="11"/>
      <c r="D54" s="6">
        <v>5550</v>
      </c>
      <c r="E54" s="2"/>
      <c r="F54" s="7">
        <f t="shared" si="38"/>
        <v>0</v>
      </c>
      <c r="G54" s="2"/>
      <c r="H54" s="6">
        <v>1943</v>
      </c>
      <c r="I54" s="2"/>
      <c r="J54" s="7">
        <f t="shared" si="39"/>
        <v>0</v>
      </c>
      <c r="K54" s="2"/>
      <c r="L54" s="6">
        <f t="shared" si="40"/>
        <v>3607</v>
      </c>
      <c r="M54" s="2"/>
      <c r="N54" s="7">
        <f t="shared" si="41"/>
        <v>1.856407617086979</v>
      </c>
      <c r="O54" s="11"/>
      <c r="P54" s="6">
        <v>5550</v>
      </c>
      <c r="Q54" s="2"/>
      <c r="R54" s="7">
        <f t="shared" si="42"/>
        <v>0</v>
      </c>
      <c r="S54" s="2"/>
      <c r="T54" s="6">
        <v>5829</v>
      </c>
      <c r="U54" s="2"/>
      <c r="V54" s="7">
        <f t="shared" si="43"/>
        <v>0</v>
      </c>
      <c r="W54" s="2"/>
      <c r="X54" s="6">
        <f t="shared" si="44"/>
        <v>-279</v>
      </c>
      <c r="Y54" s="2"/>
      <c r="Z54" s="7">
        <f t="shared" si="45"/>
        <v>-4.7864127637673698E-2</v>
      </c>
    </row>
    <row r="55" spans="1:26" s="28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272.35000000000002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272.35000000000002</v>
      </c>
      <c r="M55" s="1"/>
      <c r="N55" s="5">
        <f t="shared" si="41"/>
        <v>0</v>
      </c>
      <c r="O55" s="14"/>
      <c r="P55" s="1">
        <f>SUM(OSRRefP22_8x_0)</f>
        <v>692.95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692.95</v>
      </c>
      <c r="Y55" s="1"/>
      <c r="Z55" s="5">
        <f t="shared" si="45"/>
        <v>0</v>
      </c>
    </row>
    <row r="56" spans="1:26" s="24" customFormat="1" hidden="1" outlineLevel="2" x14ac:dyDescent="0.25">
      <c r="A56" s="29"/>
      <c r="B56" s="11" t="str">
        <f>CONCATENATE("          ", "6373", " - ", "MAINTENANCE CONTRACTS")</f>
        <v xml:space="preserve">          6373 - MAINTENANCE CONTRACTS</v>
      </c>
      <c r="C56" s="11"/>
      <c r="D56" s="6">
        <v>72.349999999999994</v>
      </c>
      <c r="E56" s="2"/>
      <c r="F56" s="7">
        <f t="shared" si="38"/>
        <v>0</v>
      </c>
      <c r="G56" s="2"/>
      <c r="H56" s="6">
        <v>0</v>
      </c>
      <c r="I56" s="2"/>
      <c r="J56" s="7">
        <f t="shared" si="39"/>
        <v>0</v>
      </c>
      <c r="K56" s="2"/>
      <c r="L56" s="6">
        <f t="shared" si="40"/>
        <v>72.349999999999994</v>
      </c>
      <c r="M56" s="2"/>
      <c r="N56" s="7">
        <f t="shared" si="41"/>
        <v>0</v>
      </c>
      <c r="O56" s="11"/>
      <c r="P56" s="6">
        <v>150.94999999999999</v>
      </c>
      <c r="Q56" s="2"/>
      <c r="R56" s="7">
        <f t="shared" si="42"/>
        <v>0</v>
      </c>
      <c r="S56" s="2"/>
      <c r="T56" s="6">
        <v>0</v>
      </c>
      <c r="U56" s="2"/>
      <c r="V56" s="7">
        <f t="shared" si="43"/>
        <v>0</v>
      </c>
      <c r="W56" s="2"/>
      <c r="X56" s="6">
        <f t="shared" si="44"/>
        <v>150.94999999999999</v>
      </c>
      <c r="Y56" s="2"/>
      <c r="Z56" s="7">
        <f t="shared" si="45"/>
        <v>0</v>
      </c>
    </row>
    <row r="57" spans="1:26" s="24" customFormat="1" hidden="1" outlineLevel="2" x14ac:dyDescent="0.25">
      <c r="A57" s="29"/>
      <c r="B57" s="11" t="str">
        <f>CONCATENATE("          ", "6375", " - ", "OUTSIDE REPAIRS &amp; MAINTENANCE")</f>
        <v xml:space="preserve">          6375 - OUTSIDE REPAIRS &amp; MAINTENANCE</v>
      </c>
      <c r="C57" s="11"/>
      <c r="D57" s="6">
        <v>200</v>
      </c>
      <c r="E57" s="2"/>
      <c r="F57" s="7">
        <f t="shared" si="38"/>
        <v>0</v>
      </c>
      <c r="G57" s="2"/>
      <c r="H57" s="6">
        <v>0</v>
      </c>
      <c r="I57" s="2"/>
      <c r="J57" s="7">
        <f t="shared" si="39"/>
        <v>0</v>
      </c>
      <c r="K57" s="2"/>
      <c r="L57" s="6">
        <f t="shared" si="40"/>
        <v>200</v>
      </c>
      <c r="M57" s="2"/>
      <c r="N57" s="7">
        <f t="shared" si="41"/>
        <v>0</v>
      </c>
      <c r="O57" s="11"/>
      <c r="P57" s="6">
        <v>542</v>
      </c>
      <c r="Q57" s="2"/>
      <c r="R57" s="7">
        <f t="shared" si="42"/>
        <v>0</v>
      </c>
      <c r="S57" s="2"/>
      <c r="T57" s="6">
        <v>0</v>
      </c>
      <c r="U57" s="2"/>
      <c r="V57" s="7">
        <f t="shared" si="43"/>
        <v>0</v>
      </c>
      <c r="W57" s="2"/>
      <c r="X57" s="6">
        <f t="shared" si="44"/>
        <v>542</v>
      </c>
      <c r="Y57" s="2"/>
      <c r="Z57" s="7">
        <f t="shared" si="45"/>
        <v>0</v>
      </c>
    </row>
    <row r="58" spans="1:26" s="28" customFormat="1" outlineLevel="1" collapsed="1" x14ac:dyDescent="0.25">
      <c r="A58" s="27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1">
        <f>SUM(OSRRefD22_9x_0)</f>
        <v>0</v>
      </c>
      <c r="E58" s="1"/>
      <c r="F58" s="5">
        <f t="shared" ref="F58:F64" si="46">IF(D$12=0,0,D58/D$12)</f>
        <v>0</v>
      </c>
      <c r="G58" s="1"/>
      <c r="H58" s="1">
        <f>SUM(OSRRefH22_9x_0)</f>
        <v>0</v>
      </c>
      <c r="I58" s="1"/>
      <c r="J58" s="5">
        <f t="shared" ref="J58:J64" si="47">IF(H$12=0,0,H58/H$12)</f>
        <v>0</v>
      </c>
      <c r="K58" s="1"/>
      <c r="L58" s="1">
        <f t="shared" ref="L58:L64" si="48">+D58-H58</f>
        <v>0</v>
      </c>
      <c r="M58" s="1"/>
      <c r="N58" s="5">
        <f t="shared" ref="N58:N64" si="49">IF(H58=0,0,L58/H58)</f>
        <v>0</v>
      </c>
      <c r="O58" s="14"/>
      <c r="P58" s="1">
        <f>SUM(OSRRefP22_9x_0)</f>
        <v>0</v>
      </c>
      <c r="Q58" s="1"/>
      <c r="R58" s="5">
        <f t="shared" ref="R58:R64" si="50">IF(P$12=0,0,P58/P$12)</f>
        <v>0</v>
      </c>
      <c r="S58" s="1"/>
      <c r="T58" s="1">
        <f>SUM(OSRRefT22_9x_0)</f>
        <v>0</v>
      </c>
      <c r="U58" s="1"/>
      <c r="V58" s="5">
        <f t="shared" ref="V58:V64" si="51">IF(T$12=0,0,T58/T$12)</f>
        <v>0</v>
      </c>
      <c r="W58" s="1"/>
      <c r="X58" s="1">
        <f t="shared" ref="X58:X64" si="52">+P58-T58</f>
        <v>0</v>
      </c>
      <c r="Y58" s="1"/>
      <c r="Z58" s="5">
        <f t="shared" ref="Z58:Z64" si="53">IF(T58=0,0,X58/T58)</f>
        <v>0</v>
      </c>
    </row>
    <row r="59" spans="1:26" s="24" customFormat="1" hidden="1" outlineLevel="2" x14ac:dyDescent="0.25">
      <c r="A59" s="29"/>
      <c r="B59" s="11" t="str">
        <f>CONCATENATE("          ", "6259", " - ", "ROYALTY &amp; COMMISSIONS")</f>
        <v xml:space="preserve">          6259 - ROYALTY &amp; COMMISSIONS</v>
      </c>
      <c r="C59" s="11"/>
      <c r="D59" s="6"/>
      <c r="E59" s="2"/>
      <c r="F59" s="7">
        <f t="shared" si="46"/>
        <v>0</v>
      </c>
      <c r="G59" s="2"/>
      <c r="H59" s="6">
        <v>0</v>
      </c>
      <c r="I59" s="2"/>
      <c r="J59" s="7">
        <f t="shared" si="47"/>
        <v>0</v>
      </c>
      <c r="K59" s="2"/>
      <c r="L59" s="6">
        <f t="shared" si="48"/>
        <v>0</v>
      </c>
      <c r="M59" s="2"/>
      <c r="N59" s="7">
        <f t="shared" si="49"/>
        <v>0</v>
      </c>
      <c r="O59" s="11"/>
      <c r="P59" s="6"/>
      <c r="Q59" s="2"/>
      <c r="R59" s="7">
        <f t="shared" si="50"/>
        <v>0</v>
      </c>
      <c r="S59" s="2"/>
      <c r="T59" s="6">
        <v>0</v>
      </c>
      <c r="U59" s="2"/>
      <c r="V59" s="7">
        <f t="shared" si="51"/>
        <v>0</v>
      </c>
      <c r="W59" s="2"/>
      <c r="X59" s="6">
        <f t="shared" si="52"/>
        <v>0</v>
      </c>
      <c r="Y59" s="2"/>
      <c r="Z59" s="7">
        <f t="shared" si="53"/>
        <v>0</v>
      </c>
    </row>
    <row r="60" spans="1:26" s="28" customFormat="1" outlineLevel="1" collapsed="1" x14ac:dyDescent="0.25">
      <c r="A60" s="27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SUM(OSRRefD22_10x_0)</f>
        <v>0</v>
      </c>
      <c r="E60" s="1"/>
      <c r="F60" s="5">
        <f t="shared" si="46"/>
        <v>0</v>
      </c>
      <c r="G60" s="1"/>
      <c r="H60" s="1">
        <f>SUM(OSRRefH22_10x_0)</f>
        <v>0</v>
      </c>
      <c r="I60" s="1"/>
      <c r="J60" s="5">
        <f t="shared" si="47"/>
        <v>0</v>
      </c>
      <c r="K60" s="1"/>
      <c r="L60" s="1">
        <f t="shared" si="48"/>
        <v>0</v>
      </c>
      <c r="M60" s="1"/>
      <c r="N60" s="5">
        <f t="shared" si="49"/>
        <v>0</v>
      </c>
      <c r="O60" s="14"/>
      <c r="P60" s="1">
        <f>SUM(OSRRefP22_10x_0)</f>
        <v>0</v>
      </c>
      <c r="Q60" s="1"/>
      <c r="R60" s="5">
        <f t="shared" si="50"/>
        <v>0</v>
      </c>
      <c r="S60" s="1"/>
      <c r="T60" s="1">
        <f>SUM(OSRRefT22_10x_0)</f>
        <v>0</v>
      </c>
      <c r="U60" s="1"/>
      <c r="V60" s="5">
        <f t="shared" si="51"/>
        <v>0</v>
      </c>
      <c r="W60" s="1"/>
      <c r="X60" s="1">
        <f t="shared" si="52"/>
        <v>0</v>
      </c>
      <c r="Y60" s="1"/>
      <c r="Z60" s="5">
        <f t="shared" si="53"/>
        <v>0</v>
      </c>
    </row>
    <row r="61" spans="1:26" s="24" customFormat="1" hidden="1" outlineLevel="2" x14ac:dyDescent="0.25">
      <c r="A61" s="29"/>
      <c r="B61" s="11" t="str">
        <f>CONCATENATE("          ", "6282", " - ", "JANITORIAL/EXTERMINATOR EXPENS")</f>
        <v xml:space="preserve">          6282 - JANITORIAL/EXTERMINATOR EXPENS</v>
      </c>
      <c r="C61" s="11"/>
      <c r="D61" s="6"/>
      <c r="E61" s="2"/>
      <c r="F61" s="7">
        <f t="shared" si="46"/>
        <v>0</v>
      </c>
      <c r="G61" s="2"/>
      <c r="H61" s="6">
        <v>0</v>
      </c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0</v>
      </c>
      <c r="U61" s="2"/>
      <c r="V61" s="7">
        <f t="shared" si="51"/>
        <v>0</v>
      </c>
      <c r="W61" s="2"/>
      <c r="X61" s="6">
        <f t="shared" si="52"/>
        <v>0</v>
      </c>
      <c r="Y61" s="2"/>
      <c r="Z61" s="7">
        <f t="shared" si="53"/>
        <v>0</v>
      </c>
    </row>
    <row r="62" spans="1:26" s="24" customFormat="1" hidden="1" outlineLevel="2" x14ac:dyDescent="0.25">
      <c r="A62" s="29"/>
      <c r="B62" s="11" t="str">
        <f>CONCATENATE("          ", "6284", " - ", "TRASH REMOVAL EXPENSE")</f>
        <v xml:space="preserve">          6284 - TRASH REMOVAL EXPENSE</v>
      </c>
      <c r="C62" s="11"/>
      <c r="D62" s="6"/>
      <c r="E62" s="2"/>
      <c r="F62" s="7">
        <f t="shared" si="46"/>
        <v>0</v>
      </c>
      <c r="G62" s="2"/>
      <c r="H62" s="6">
        <v>0</v>
      </c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0</v>
      </c>
      <c r="U62" s="2"/>
      <c r="V62" s="7">
        <f t="shared" si="51"/>
        <v>0</v>
      </c>
      <c r="W62" s="2"/>
      <c r="X62" s="6">
        <f t="shared" si="52"/>
        <v>0</v>
      </c>
      <c r="Y62" s="2"/>
      <c r="Z62" s="7">
        <f t="shared" si="53"/>
        <v>0</v>
      </c>
    </row>
    <row r="63" spans="1:26" s="24" customFormat="1" hidden="1" outlineLevel="2" x14ac:dyDescent="0.25">
      <c r="A63" s="29"/>
      <c r="B63" s="11" t="str">
        <f>CONCATENATE("          ", "6285", " - ", "JANITORIAL SERVICES")</f>
        <v xml:space="preserve">          6285 - JANITORIAL SERVICES</v>
      </c>
      <c r="C63" s="11"/>
      <c r="D63" s="6"/>
      <c r="E63" s="2"/>
      <c r="F63" s="7">
        <f t="shared" si="46"/>
        <v>0</v>
      </c>
      <c r="G63" s="2"/>
      <c r="H63" s="6">
        <v>0</v>
      </c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1"/>
      <c r="P63" s="6"/>
      <c r="Q63" s="2"/>
      <c r="R63" s="7">
        <f t="shared" si="50"/>
        <v>0</v>
      </c>
      <c r="S63" s="2"/>
      <c r="T63" s="6">
        <v>0</v>
      </c>
      <c r="U63" s="2"/>
      <c r="V63" s="7">
        <f t="shared" si="51"/>
        <v>0</v>
      </c>
      <c r="W63" s="2"/>
      <c r="X63" s="6">
        <f t="shared" si="52"/>
        <v>0</v>
      </c>
      <c r="Y63" s="2"/>
      <c r="Z63" s="7">
        <f t="shared" si="53"/>
        <v>0</v>
      </c>
    </row>
    <row r="64" spans="1:26" s="24" customFormat="1" hidden="1" outlineLevel="2" x14ac:dyDescent="0.25">
      <c r="A64" s="29"/>
      <c r="B64" s="11" t="str">
        <f>CONCATENATE("          ", "6286", " - ", "LAUNDRY EXPENSE")</f>
        <v xml:space="preserve">          6286 - LAUNDRY EXPENSE</v>
      </c>
      <c r="C64" s="11"/>
      <c r="D64" s="6"/>
      <c r="E64" s="2"/>
      <c r="F64" s="7">
        <f t="shared" si="46"/>
        <v>0</v>
      </c>
      <c r="G64" s="2"/>
      <c r="H64" s="6">
        <v>0</v>
      </c>
      <c r="I64" s="2"/>
      <c r="J64" s="7">
        <f t="shared" si="47"/>
        <v>0</v>
      </c>
      <c r="K64" s="2"/>
      <c r="L64" s="6">
        <f t="shared" si="48"/>
        <v>0</v>
      </c>
      <c r="M64" s="2"/>
      <c r="N64" s="7">
        <f t="shared" si="49"/>
        <v>0</v>
      </c>
      <c r="O64" s="11"/>
      <c r="P64" s="6"/>
      <c r="Q64" s="2"/>
      <c r="R64" s="7">
        <f t="shared" si="50"/>
        <v>0</v>
      </c>
      <c r="S64" s="2"/>
      <c r="T64" s="6">
        <v>0</v>
      </c>
      <c r="U64" s="2"/>
      <c r="V64" s="7">
        <f t="shared" si="51"/>
        <v>0</v>
      </c>
      <c r="W64" s="2"/>
      <c r="X64" s="6">
        <f t="shared" si="52"/>
        <v>0</v>
      </c>
      <c r="Y64" s="2"/>
      <c r="Z64" s="7">
        <f t="shared" si="53"/>
        <v>0</v>
      </c>
    </row>
    <row r="65" spans="1:26" s="28" customFormat="1" outlineLevel="1" collapsed="1" x14ac:dyDescent="0.25">
      <c r="A65" s="27"/>
      <c r="B65" s="14" t="str">
        <f>CONCATENATE("     ","Subscriptions &amp; Dues                              ")</f>
        <v xml:space="preserve">     Subscriptions &amp; Dues                              </v>
      </c>
      <c r="C65" s="14"/>
      <c r="D65" s="1">
        <f>SUM(OSRRefD22_11x_0)</f>
        <v>0</v>
      </c>
      <c r="E65" s="1"/>
      <c r="F65" s="5">
        <f t="shared" ref="F65:F76" si="54">IF(D$12=0,0,D65/D$12)</f>
        <v>0</v>
      </c>
      <c r="G65" s="1"/>
      <c r="H65" s="1">
        <f>SUM(OSRRefH22_11x_0)</f>
        <v>0</v>
      </c>
      <c r="I65" s="1"/>
      <c r="J65" s="5">
        <f t="shared" ref="J65:J76" si="55">IF(H$12=0,0,H65/H$12)</f>
        <v>0</v>
      </c>
      <c r="K65" s="1"/>
      <c r="L65" s="1">
        <f t="shared" ref="L65:L76" si="56">+D65-H65</f>
        <v>0</v>
      </c>
      <c r="M65" s="1"/>
      <c r="N65" s="5">
        <f t="shared" ref="N65:N76" si="57">IF(H65=0,0,L65/H65)</f>
        <v>0</v>
      </c>
      <c r="O65" s="14"/>
      <c r="P65" s="1">
        <f>SUM(OSRRefP22_11x_0)</f>
        <v>0</v>
      </c>
      <c r="Q65" s="1"/>
      <c r="R65" s="5">
        <f t="shared" ref="R65:R76" si="58">IF(P$12=0,0,P65/P$12)</f>
        <v>0</v>
      </c>
      <c r="S65" s="1"/>
      <c r="T65" s="1">
        <f>SUM(OSRRefT22_11x_0)</f>
        <v>0</v>
      </c>
      <c r="U65" s="1"/>
      <c r="V65" s="5">
        <f t="shared" ref="V65:V76" si="59">IF(T$12=0,0,T65/T$12)</f>
        <v>0</v>
      </c>
      <c r="W65" s="1"/>
      <c r="X65" s="1">
        <f t="shared" ref="X65:X76" si="60">+P65-T65</f>
        <v>0</v>
      </c>
      <c r="Y65" s="1"/>
      <c r="Z65" s="5">
        <f t="shared" ref="Z65:Z76" si="61">IF(T65=0,0,X65/T65)</f>
        <v>0</v>
      </c>
    </row>
    <row r="66" spans="1:26" s="24" customFormat="1" hidden="1" outlineLevel="2" x14ac:dyDescent="0.25">
      <c r="A66" s="29"/>
      <c r="B66" s="11" t="str">
        <f>CONCATENATE("          ", "6275", " - ", "SUBSCRIPTIONS")</f>
        <v xml:space="preserve">          6275 - SUBSCRIPTIONS</v>
      </c>
      <c r="C66" s="11"/>
      <c r="D66" s="6"/>
      <c r="E66" s="2"/>
      <c r="F66" s="7">
        <f t="shared" si="54"/>
        <v>0</v>
      </c>
      <c r="G66" s="2"/>
      <c r="H66" s="6">
        <v>0</v>
      </c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/>
      <c r="Q66" s="2"/>
      <c r="R66" s="7">
        <f t="shared" si="58"/>
        <v>0</v>
      </c>
      <c r="S66" s="2"/>
      <c r="T66" s="6">
        <v>0</v>
      </c>
      <c r="U66" s="2"/>
      <c r="V66" s="7">
        <f t="shared" si="59"/>
        <v>0</v>
      </c>
      <c r="W66" s="2"/>
      <c r="X66" s="6">
        <f t="shared" si="60"/>
        <v>0</v>
      </c>
      <c r="Y66" s="2"/>
      <c r="Z66" s="7">
        <f t="shared" si="61"/>
        <v>0</v>
      </c>
    </row>
    <row r="67" spans="1:26" s="28" customFormat="1" outlineLevel="1" collapsed="1" x14ac:dyDescent="0.25">
      <c r="A67" s="27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SUM(OSRRefD22_12x_0)</f>
        <v>0</v>
      </c>
      <c r="E67" s="1"/>
      <c r="F67" s="5">
        <f t="shared" si="54"/>
        <v>0</v>
      </c>
      <c r="G67" s="1"/>
      <c r="H67" s="1">
        <f>SUM(OSRRefH22_12x_0)</f>
        <v>0</v>
      </c>
      <c r="I67" s="1"/>
      <c r="J67" s="5">
        <f t="shared" si="55"/>
        <v>0</v>
      </c>
      <c r="K67" s="1"/>
      <c r="L67" s="1">
        <f t="shared" si="56"/>
        <v>0</v>
      </c>
      <c r="M67" s="1"/>
      <c r="N67" s="5">
        <f t="shared" si="57"/>
        <v>0</v>
      </c>
      <c r="O67" s="14"/>
      <c r="P67" s="1">
        <f>SUM(OSRRefP22_12x_0)</f>
        <v>0</v>
      </c>
      <c r="Q67" s="1"/>
      <c r="R67" s="5">
        <f t="shared" si="58"/>
        <v>0</v>
      </c>
      <c r="S67" s="1"/>
      <c r="T67" s="1">
        <f>SUM(OSRRefT22_12x_0)</f>
        <v>0</v>
      </c>
      <c r="U67" s="1"/>
      <c r="V67" s="5">
        <f t="shared" si="59"/>
        <v>0</v>
      </c>
      <c r="W67" s="1"/>
      <c r="X67" s="1">
        <f t="shared" si="60"/>
        <v>0</v>
      </c>
      <c r="Y67" s="1"/>
      <c r="Z67" s="5">
        <f t="shared" si="61"/>
        <v>0</v>
      </c>
    </row>
    <row r="68" spans="1:26" s="24" customFormat="1" hidden="1" outlineLevel="2" x14ac:dyDescent="0.25">
      <c r="A68" s="29"/>
      <c r="B68" s="11" t="str">
        <f>CONCATENATE("          ", "6235", " - ", "COVID-19 EXPENSES")</f>
        <v xml:space="preserve">          6235 - COVID-19 EXPENSES</v>
      </c>
      <c r="C68" s="11"/>
      <c r="D68" s="6"/>
      <c r="E68" s="2"/>
      <c r="F68" s="7">
        <f t="shared" si="54"/>
        <v>0</v>
      </c>
      <c r="G68" s="2"/>
      <c r="H68" s="6">
        <v>0</v>
      </c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0</v>
      </c>
      <c r="U68" s="2"/>
      <c r="V68" s="7">
        <f t="shared" si="59"/>
        <v>0</v>
      </c>
      <c r="W68" s="2"/>
      <c r="X68" s="6">
        <f t="shared" si="60"/>
        <v>0</v>
      </c>
      <c r="Y68" s="2"/>
      <c r="Z68" s="7">
        <f t="shared" si="61"/>
        <v>0</v>
      </c>
    </row>
    <row r="69" spans="1:26" s="24" customFormat="1" hidden="1" outlineLevel="2" x14ac:dyDescent="0.25">
      <c r="A69" s="29"/>
      <c r="B69" s="11" t="str">
        <f>CONCATENATE("          ", "6237", " - ", "JANITORIAL SUPPLIES")</f>
        <v xml:space="preserve">          6237 - JANITORIAL SUPPLIES</v>
      </c>
      <c r="C69" s="11"/>
      <c r="D69" s="6"/>
      <c r="E69" s="2"/>
      <c r="F69" s="7">
        <f t="shared" si="54"/>
        <v>0</v>
      </c>
      <c r="G69" s="2"/>
      <c r="H69" s="6">
        <v>0</v>
      </c>
      <c r="I69" s="2"/>
      <c r="J69" s="7">
        <f t="shared" si="55"/>
        <v>0</v>
      </c>
      <c r="K69" s="2"/>
      <c r="L69" s="6">
        <f t="shared" si="56"/>
        <v>0</v>
      </c>
      <c r="M69" s="2"/>
      <c r="N69" s="7">
        <f t="shared" si="57"/>
        <v>0</v>
      </c>
      <c r="O69" s="11"/>
      <c r="P69" s="6"/>
      <c r="Q69" s="2"/>
      <c r="R69" s="7">
        <f t="shared" si="58"/>
        <v>0</v>
      </c>
      <c r="S69" s="2"/>
      <c r="T69" s="6">
        <v>0</v>
      </c>
      <c r="U69" s="2"/>
      <c r="V69" s="7">
        <f t="shared" si="59"/>
        <v>0</v>
      </c>
      <c r="W69" s="2"/>
      <c r="X69" s="6">
        <f t="shared" si="60"/>
        <v>0</v>
      </c>
      <c r="Y69" s="2"/>
      <c r="Z69" s="7">
        <f t="shared" si="61"/>
        <v>0</v>
      </c>
    </row>
    <row r="70" spans="1:26" s="24" customFormat="1" hidden="1" outlineLevel="2" x14ac:dyDescent="0.25">
      <c r="A70" s="29"/>
      <c r="B70" s="11" t="str">
        <f>CONCATENATE("          ", "6239", " - ", "KITCHEN SUPPLIES")</f>
        <v xml:space="preserve">          6239 - KITCHEN SUPPLIES</v>
      </c>
      <c r="C70" s="11"/>
      <c r="D70" s="6"/>
      <c r="E70" s="2"/>
      <c r="F70" s="7">
        <f t="shared" si="54"/>
        <v>0</v>
      </c>
      <c r="G70" s="2"/>
      <c r="H70" s="6">
        <v>0</v>
      </c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/>
      <c r="Q70" s="2"/>
      <c r="R70" s="7">
        <f t="shared" si="58"/>
        <v>0</v>
      </c>
      <c r="S70" s="2"/>
      <c r="T70" s="6">
        <v>0</v>
      </c>
      <c r="U70" s="2"/>
      <c r="V70" s="7">
        <f t="shared" si="59"/>
        <v>0</v>
      </c>
      <c r="W70" s="2"/>
      <c r="X70" s="6">
        <f t="shared" si="60"/>
        <v>0</v>
      </c>
      <c r="Y70" s="2"/>
      <c r="Z70" s="7">
        <f t="shared" si="61"/>
        <v>0</v>
      </c>
    </row>
    <row r="71" spans="1:26" s="24" customFormat="1" hidden="1" outlineLevel="2" x14ac:dyDescent="0.25">
      <c r="A71" s="29"/>
      <c r="B71" s="11" t="str">
        <f>CONCATENATE("          ", "6241", " - ", "OFFICE EXPENSE")</f>
        <v xml:space="preserve">          6241 - OFFICE EXPENSE</v>
      </c>
      <c r="C71" s="11"/>
      <c r="D71" s="6"/>
      <c r="E71" s="2"/>
      <c r="F71" s="7">
        <f t="shared" si="54"/>
        <v>0</v>
      </c>
      <c r="G71" s="2"/>
      <c r="H71" s="6">
        <v>0</v>
      </c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1"/>
      <c r="P71" s="6"/>
      <c r="Q71" s="2"/>
      <c r="R71" s="7">
        <f t="shared" si="58"/>
        <v>0</v>
      </c>
      <c r="S71" s="2"/>
      <c r="T71" s="6">
        <v>0</v>
      </c>
      <c r="U71" s="2"/>
      <c r="V71" s="7">
        <f t="shared" si="59"/>
        <v>0</v>
      </c>
      <c r="W71" s="2"/>
      <c r="X71" s="6">
        <f t="shared" si="60"/>
        <v>0</v>
      </c>
      <c r="Y71" s="2"/>
      <c r="Z71" s="7">
        <f t="shared" si="61"/>
        <v>0</v>
      </c>
    </row>
    <row r="72" spans="1:26" s="24" customFormat="1" hidden="1" outlineLevel="2" x14ac:dyDescent="0.25">
      <c r="A72" s="29"/>
      <c r="B72" s="11" t="str">
        <f>CONCATENATE("          ", "6243", " - ", "PAPER SUPPLIES")</f>
        <v xml:space="preserve">          6243 - PAPER SUPPLIES</v>
      </c>
      <c r="C72" s="11"/>
      <c r="D72" s="6"/>
      <c r="E72" s="2"/>
      <c r="F72" s="7">
        <f t="shared" si="54"/>
        <v>0</v>
      </c>
      <c r="G72" s="2"/>
      <c r="H72" s="6">
        <v>0</v>
      </c>
      <c r="I72" s="2"/>
      <c r="J72" s="7">
        <f t="shared" si="55"/>
        <v>0</v>
      </c>
      <c r="K72" s="2"/>
      <c r="L72" s="6">
        <f t="shared" si="56"/>
        <v>0</v>
      </c>
      <c r="M72" s="2"/>
      <c r="N72" s="7">
        <f t="shared" si="57"/>
        <v>0</v>
      </c>
      <c r="O72" s="11"/>
      <c r="P72" s="6"/>
      <c r="Q72" s="2"/>
      <c r="R72" s="7">
        <f t="shared" si="58"/>
        <v>0</v>
      </c>
      <c r="S72" s="2"/>
      <c r="T72" s="6">
        <v>0</v>
      </c>
      <c r="U72" s="2"/>
      <c r="V72" s="7">
        <f t="shared" si="59"/>
        <v>0</v>
      </c>
      <c r="W72" s="2"/>
      <c r="X72" s="6">
        <f t="shared" si="60"/>
        <v>0</v>
      </c>
      <c r="Y72" s="2"/>
      <c r="Z72" s="7">
        <f t="shared" si="61"/>
        <v>0</v>
      </c>
    </row>
    <row r="73" spans="1:26" s="24" customFormat="1" hidden="1" outlineLevel="2" x14ac:dyDescent="0.25">
      <c r="A73" s="29"/>
      <c r="B73" s="11" t="str">
        <f>CONCATENATE("          ", "6245", " - ", "PRINTING")</f>
        <v xml:space="preserve">          6245 - PRINTING</v>
      </c>
      <c r="C73" s="11"/>
      <c r="D73" s="6"/>
      <c r="E73" s="2"/>
      <c r="F73" s="7">
        <f t="shared" si="54"/>
        <v>0</v>
      </c>
      <c r="G73" s="2"/>
      <c r="H73" s="6">
        <v>0</v>
      </c>
      <c r="I73" s="2"/>
      <c r="J73" s="7">
        <f t="shared" si="55"/>
        <v>0</v>
      </c>
      <c r="K73" s="2"/>
      <c r="L73" s="6">
        <f t="shared" si="56"/>
        <v>0</v>
      </c>
      <c r="M73" s="2"/>
      <c r="N73" s="7">
        <f t="shared" si="57"/>
        <v>0</v>
      </c>
      <c r="O73" s="11"/>
      <c r="P73" s="6"/>
      <c r="Q73" s="2"/>
      <c r="R73" s="7">
        <f t="shared" si="58"/>
        <v>0</v>
      </c>
      <c r="S73" s="2"/>
      <c r="T73" s="6">
        <v>0</v>
      </c>
      <c r="U73" s="2"/>
      <c r="V73" s="7">
        <f t="shared" si="59"/>
        <v>0</v>
      </c>
      <c r="W73" s="2"/>
      <c r="X73" s="6">
        <f t="shared" si="60"/>
        <v>0</v>
      </c>
      <c r="Y73" s="2"/>
      <c r="Z73" s="7">
        <f t="shared" si="61"/>
        <v>0</v>
      </c>
    </row>
    <row r="74" spans="1:26" s="24" customFormat="1" hidden="1" outlineLevel="2" x14ac:dyDescent="0.25">
      <c r="A74" s="29"/>
      <c r="B74" s="11" t="str">
        <f>CONCATENATE("          ", "6246", " - ", "REPLACEMENTS")</f>
        <v xml:space="preserve">          6246 - REPLACEMENTS</v>
      </c>
      <c r="C74" s="11"/>
      <c r="D74" s="6"/>
      <c r="E74" s="2"/>
      <c r="F74" s="7">
        <f t="shared" si="54"/>
        <v>0</v>
      </c>
      <c r="G74" s="2"/>
      <c r="H74" s="6">
        <v>0</v>
      </c>
      <c r="I74" s="2"/>
      <c r="J74" s="7">
        <f t="shared" si="55"/>
        <v>0</v>
      </c>
      <c r="K74" s="2"/>
      <c r="L74" s="6">
        <f t="shared" si="56"/>
        <v>0</v>
      </c>
      <c r="M74" s="2"/>
      <c r="N74" s="7">
        <f t="shared" si="57"/>
        <v>0</v>
      </c>
      <c r="O74" s="11"/>
      <c r="P74" s="6"/>
      <c r="Q74" s="2"/>
      <c r="R74" s="7">
        <f t="shared" si="58"/>
        <v>0</v>
      </c>
      <c r="S74" s="2"/>
      <c r="T74" s="6">
        <v>0</v>
      </c>
      <c r="U74" s="2"/>
      <c r="V74" s="7">
        <f t="shared" si="59"/>
        <v>0</v>
      </c>
      <c r="W74" s="2"/>
      <c r="X74" s="6">
        <f t="shared" si="60"/>
        <v>0</v>
      </c>
      <c r="Y74" s="2"/>
      <c r="Z74" s="7">
        <f t="shared" si="61"/>
        <v>0</v>
      </c>
    </row>
    <row r="75" spans="1:26" s="24" customFormat="1" hidden="1" outlineLevel="2" x14ac:dyDescent="0.25">
      <c r="A75" s="29"/>
      <c r="B75" s="11" t="str">
        <f>CONCATENATE("          ", "6247", " - ", "STORE SUPPLIES")</f>
        <v xml:space="preserve">          6247 - STORE SUPPLIES</v>
      </c>
      <c r="C75" s="11"/>
      <c r="D75" s="6"/>
      <c r="E75" s="2"/>
      <c r="F75" s="7">
        <f t="shared" si="54"/>
        <v>0</v>
      </c>
      <c r="G75" s="2"/>
      <c r="H75" s="6">
        <v>0</v>
      </c>
      <c r="I75" s="2"/>
      <c r="J75" s="7">
        <f t="shared" si="55"/>
        <v>0</v>
      </c>
      <c r="K75" s="2"/>
      <c r="L75" s="6">
        <f t="shared" si="56"/>
        <v>0</v>
      </c>
      <c r="M75" s="2"/>
      <c r="N75" s="7">
        <f t="shared" si="57"/>
        <v>0</v>
      </c>
      <c r="O75" s="11"/>
      <c r="P75" s="6"/>
      <c r="Q75" s="2"/>
      <c r="R75" s="7">
        <f t="shared" si="58"/>
        <v>0</v>
      </c>
      <c r="S75" s="2"/>
      <c r="T75" s="6">
        <v>0</v>
      </c>
      <c r="U75" s="2"/>
      <c r="V75" s="7">
        <f t="shared" si="59"/>
        <v>0</v>
      </c>
      <c r="W75" s="2"/>
      <c r="X75" s="6">
        <f t="shared" si="60"/>
        <v>0</v>
      </c>
      <c r="Y75" s="2"/>
      <c r="Z75" s="7">
        <f t="shared" si="61"/>
        <v>0</v>
      </c>
    </row>
    <row r="76" spans="1:26" s="24" customFormat="1" hidden="1" outlineLevel="2" x14ac:dyDescent="0.25">
      <c r="A76" s="29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54"/>
        <v>0</v>
      </c>
      <c r="G76" s="2"/>
      <c r="H76" s="6"/>
      <c r="I76" s="2"/>
      <c r="J76" s="7">
        <f t="shared" si="55"/>
        <v>0</v>
      </c>
      <c r="K76" s="2"/>
      <c r="L76" s="6">
        <f t="shared" si="56"/>
        <v>0</v>
      </c>
      <c r="M76" s="2"/>
      <c r="N76" s="7">
        <f t="shared" si="57"/>
        <v>0</v>
      </c>
      <c r="O76" s="11"/>
      <c r="P76" s="6"/>
      <c r="Q76" s="2"/>
      <c r="R76" s="7">
        <f t="shared" si="58"/>
        <v>0</v>
      </c>
      <c r="S76" s="2"/>
      <c r="T76" s="6">
        <v>0</v>
      </c>
      <c r="U76" s="2"/>
      <c r="V76" s="7">
        <f t="shared" si="59"/>
        <v>0</v>
      </c>
      <c r="W76" s="2"/>
      <c r="X76" s="6">
        <f t="shared" si="60"/>
        <v>0</v>
      </c>
      <c r="Y76" s="2"/>
      <c r="Z76" s="7">
        <f t="shared" si="61"/>
        <v>0</v>
      </c>
    </row>
    <row r="77" spans="1:26" s="28" customFormat="1" outlineLevel="1" collapsed="1" x14ac:dyDescent="0.25">
      <c r="A77" s="27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SUM(OSRRefD22_13x_0)</f>
        <v>0</v>
      </c>
      <c r="E77" s="1"/>
      <c r="F77" s="5">
        <f t="shared" ref="F77:F82" si="62">IF(D$12=0,0,D77/D$12)</f>
        <v>0</v>
      </c>
      <c r="G77" s="1"/>
      <c r="H77" s="1">
        <f>SUM(OSRRefH22_13x_0)</f>
        <v>0</v>
      </c>
      <c r="I77" s="1"/>
      <c r="J77" s="5">
        <f t="shared" ref="J77:J82" si="63">IF(H$12=0,0,H77/H$12)</f>
        <v>0</v>
      </c>
      <c r="K77" s="1"/>
      <c r="L77" s="1">
        <f t="shared" ref="L77:L82" si="64">+D77-H77</f>
        <v>0</v>
      </c>
      <c r="M77" s="1"/>
      <c r="N77" s="5">
        <f t="shared" ref="N77:N82" si="65">IF(H77=0,0,L77/H77)</f>
        <v>0</v>
      </c>
      <c r="O77" s="14"/>
      <c r="P77" s="1">
        <f>SUM(OSRRefP22_13x_0)</f>
        <v>69</v>
      </c>
      <c r="Q77" s="1"/>
      <c r="R77" s="5">
        <f t="shared" ref="R77:R82" si="66">IF(P$12=0,0,P77/P$12)</f>
        <v>0</v>
      </c>
      <c r="S77" s="1"/>
      <c r="T77" s="1">
        <f>SUM(OSRRefT22_13x_0)</f>
        <v>0</v>
      </c>
      <c r="U77" s="1"/>
      <c r="V77" s="5">
        <f t="shared" ref="V77:V82" si="67">IF(T$12=0,0,T77/T$12)</f>
        <v>0</v>
      </c>
      <c r="W77" s="1"/>
      <c r="X77" s="1">
        <f t="shared" ref="X77:X82" si="68">+P77-T77</f>
        <v>69</v>
      </c>
      <c r="Y77" s="1"/>
      <c r="Z77" s="5">
        <f t="shared" ref="Z77:Z82" si="69">IF(T77=0,0,X77/T77)</f>
        <v>0</v>
      </c>
    </row>
    <row r="78" spans="1:26" s="24" customFormat="1" hidden="1" outlineLevel="2" x14ac:dyDescent="0.25">
      <c r="A78" s="29"/>
      <c r="B78" s="11" t="str">
        <f>CONCATENATE("          ", "6309", " - ", "TELEPHONE")</f>
        <v xml:space="preserve">          6309 - TELEPHONE</v>
      </c>
      <c r="C78" s="11"/>
      <c r="D78" s="6"/>
      <c r="E78" s="2"/>
      <c r="F78" s="7">
        <f t="shared" si="62"/>
        <v>0</v>
      </c>
      <c r="G78" s="2"/>
      <c r="H78" s="6">
        <v>0</v>
      </c>
      <c r="I78" s="2"/>
      <c r="J78" s="7">
        <f t="shared" si="63"/>
        <v>0</v>
      </c>
      <c r="K78" s="2"/>
      <c r="L78" s="6">
        <f t="shared" si="64"/>
        <v>0</v>
      </c>
      <c r="M78" s="2"/>
      <c r="N78" s="7">
        <f t="shared" si="65"/>
        <v>0</v>
      </c>
      <c r="O78" s="11"/>
      <c r="P78" s="6">
        <v>69</v>
      </c>
      <c r="Q78" s="2"/>
      <c r="R78" s="7">
        <f t="shared" si="66"/>
        <v>0</v>
      </c>
      <c r="S78" s="2"/>
      <c r="T78" s="6">
        <v>0</v>
      </c>
      <c r="U78" s="2"/>
      <c r="V78" s="7">
        <f t="shared" si="67"/>
        <v>0</v>
      </c>
      <c r="W78" s="2"/>
      <c r="X78" s="6">
        <f t="shared" si="68"/>
        <v>69</v>
      </c>
      <c r="Y78" s="2"/>
      <c r="Z78" s="7">
        <f t="shared" si="69"/>
        <v>0</v>
      </c>
    </row>
    <row r="79" spans="1:26" s="28" customFormat="1" outlineLevel="1" collapsed="1" x14ac:dyDescent="0.25">
      <c r="A79" s="27"/>
      <c r="B79" s="14" t="str">
        <f>CONCATENATE("     ","Travel                                            ")</f>
        <v xml:space="preserve">     Travel                                            </v>
      </c>
      <c r="C79" s="14"/>
      <c r="D79" s="1">
        <f>SUM(OSRRefD22_14x_0)</f>
        <v>0</v>
      </c>
      <c r="E79" s="1"/>
      <c r="F79" s="5">
        <f t="shared" si="62"/>
        <v>0</v>
      </c>
      <c r="G79" s="1"/>
      <c r="H79" s="1">
        <f>SUM(OSRRefH22_14x_0)</f>
        <v>0</v>
      </c>
      <c r="I79" s="1"/>
      <c r="J79" s="5">
        <f t="shared" si="63"/>
        <v>0</v>
      </c>
      <c r="K79" s="1"/>
      <c r="L79" s="1">
        <f t="shared" si="64"/>
        <v>0</v>
      </c>
      <c r="M79" s="1"/>
      <c r="N79" s="5">
        <f t="shared" si="65"/>
        <v>0</v>
      </c>
      <c r="O79" s="14"/>
      <c r="P79" s="1">
        <f>SUM(OSRRefP22_14x_0)</f>
        <v>0</v>
      </c>
      <c r="Q79" s="1"/>
      <c r="R79" s="5">
        <f t="shared" si="66"/>
        <v>0</v>
      </c>
      <c r="S79" s="1"/>
      <c r="T79" s="1">
        <f>SUM(OSRRefT22_14x_0)</f>
        <v>0</v>
      </c>
      <c r="U79" s="1"/>
      <c r="V79" s="5">
        <f t="shared" si="67"/>
        <v>0</v>
      </c>
      <c r="W79" s="1"/>
      <c r="X79" s="1">
        <f t="shared" si="68"/>
        <v>0</v>
      </c>
      <c r="Y79" s="1"/>
      <c r="Z79" s="5">
        <f t="shared" si="69"/>
        <v>0</v>
      </c>
    </row>
    <row r="80" spans="1:26" s="24" customFormat="1" hidden="1" outlineLevel="2" x14ac:dyDescent="0.25">
      <c r="A80" s="29"/>
      <c r="B80" s="11" t="str">
        <f>CONCATENATE("          ", "6292", " - ", "TRAVEL/CONFERENCE")</f>
        <v xml:space="preserve">          6292 - TRAVEL/CONFERENCE</v>
      </c>
      <c r="C80" s="11"/>
      <c r="D80" s="6"/>
      <c r="E80" s="2"/>
      <c r="F80" s="7">
        <f t="shared" si="62"/>
        <v>0</v>
      </c>
      <c r="G80" s="2"/>
      <c r="H80" s="6"/>
      <c r="I80" s="2"/>
      <c r="J80" s="7">
        <f t="shared" si="63"/>
        <v>0</v>
      </c>
      <c r="K80" s="2"/>
      <c r="L80" s="6">
        <f t="shared" si="64"/>
        <v>0</v>
      </c>
      <c r="M80" s="2"/>
      <c r="N80" s="7">
        <f t="shared" si="65"/>
        <v>0</v>
      </c>
      <c r="O80" s="11"/>
      <c r="P80" s="6"/>
      <c r="Q80" s="2"/>
      <c r="R80" s="7">
        <f t="shared" si="66"/>
        <v>0</v>
      </c>
      <c r="S80" s="2"/>
      <c r="T80" s="6">
        <v>0</v>
      </c>
      <c r="U80" s="2"/>
      <c r="V80" s="7">
        <f t="shared" si="67"/>
        <v>0</v>
      </c>
      <c r="W80" s="2"/>
      <c r="X80" s="6">
        <f t="shared" si="68"/>
        <v>0</v>
      </c>
      <c r="Y80" s="2"/>
      <c r="Z80" s="7">
        <f t="shared" si="69"/>
        <v>0</v>
      </c>
    </row>
    <row r="81" spans="1:26" s="28" customFormat="1" outlineLevel="1" collapsed="1" x14ac:dyDescent="0.25">
      <c r="A81" s="27"/>
      <c r="B81" s="14" t="str">
        <f>CONCATENATE("     ","Utilities                                         ")</f>
        <v xml:space="preserve">     Utilities                                         </v>
      </c>
      <c r="C81" s="14"/>
      <c r="D81" s="1">
        <f>SUM(OSRRefD22_15x_0)</f>
        <v>0</v>
      </c>
      <c r="E81" s="1"/>
      <c r="F81" s="5">
        <f t="shared" si="62"/>
        <v>0</v>
      </c>
      <c r="G81" s="1"/>
      <c r="H81" s="1">
        <f>SUM(OSRRefH22_15x_0)</f>
        <v>0</v>
      </c>
      <c r="I81" s="1"/>
      <c r="J81" s="5">
        <f t="shared" si="63"/>
        <v>0</v>
      </c>
      <c r="K81" s="1"/>
      <c r="L81" s="1">
        <f t="shared" si="64"/>
        <v>0</v>
      </c>
      <c r="M81" s="1"/>
      <c r="N81" s="5">
        <f t="shared" si="65"/>
        <v>0</v>
      </c>
      <c r="O81" s="14"/>
      <c r="P81" s="1">
        <f>SUM(OSRRefP22_15x_0)</f>
        <v>0</v>
      </c>
      <c r="Q81" s="1"/>
      <c r="R81" s="5">
        <f t="shared" si="66"/>
        <v>0</v>
      </c>
      <c r="S81" s="1"/>
      <c r="T81" s="1">
        <f>SUM(OSRRefT22_15x_0)</f>
        <v>0</v>
      </c>
      <c r="U81" s="1"/>
      <c r="V81" s="5">
        <f t="shared" si="67"/>
        <v>0</v>
      </c>
      <c r="W81" s="1"/>
      <c r="X81" s="1">
        <f t="shared" si="68"/>
        <v>0</v>
      </c>
      <c r="Y81" s="1"/>
      <c r="Z81" s="5">
        <f t="shared" si="69"/>
        <v>0</v>
      </c>
    </row>
    <row r="82" spans="1:26" s="24" customFormat="1" hidden="1" outlineLevel="2" x14ac:dyDescent="0.25">
      <c r="A82" s="29"/>
      <c r="B82" s="11" t="str">
        <f>CONCATENATE("          ", "6274", " - ", "UTILITIES")</f>
        <v xml:space="preserve">          6274 - UTILITIES</v>
      </c>
      <c r="C82" s="11"/>
      <c r="D82" s="6"/>
      <c r="E82" s="2"/>
      <c r="F82" s="7">
        <f t="shared" si="62"/>
        <v>0</v>
      </c>
      <c r="G82" s="2"/>
      <c r="H82" s="6">
        <v>0</v>
      </c>
      <c r="I82" s="2"/>
      <c r="J82" s="7">
        <f t="shared" si="63"/>
        <v>0</v>
      </c>
      <c r="K82" s="2"/>
      <c r="L82" s="6">
        <f t="shared" si="64"/>
        <v>0</v>
      </c>
      <c r="M82" s="2"/>
      <c r="N82" s="7">
        <f t="shared" si="65"/>
        <v>0</v>
      </c>
      <c r="O82" s="11"/>
      <c r="P82" s="6"/>
      <c r="Q82" s="2"/>
      <c r="R82" s="7">
        <f t="shared" si="66"/>
        <v>0</v>
      </c>
      <c r="S82" s="2"/>
      <c r="T82" s="6">
        <v>0</v>
      </c>
      <c r="U82" s="2"/>
      <c r="V82" s="7">
        <f t="shared" si="67"/>
        <v>0</v>
      </c>
      <c r="W82" s="2"/>
      <c r="X82" s="6">
        <f t="shared" si="68"/>
        <v>0</v>
      </c>
      <c r="Y82" s="2"/>
      <c r="Z82" s="7">
        <f t="shared" si="69"/>
        <v>0</v>
      </c>
    </row>
    <row r="83" spans="1:26" s="61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5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6" t="s">
        <v>3</v>
      </c>
      <c r="C86" s="26"/>
      <c r="D86" s="20">
        <f>+D19-D21+D84</f>
        <v>-11248.7</v>
      </c>
      <c r="E86" s="13"/>
      <c r="F86" s="21">
        <f>IF(D$12=0,0,D86/D$12)</f>
        <v>0</v>
      </c>
      <c r="G86" s="13"/>
      <c r="H86" s="20">
        <f>+H19-H21+H84</f>
        <v>-7481.333333333333</v>
      </c>
      <c r="I86" s="13"/>
      <c r="J86" s="21">
        <f>IF(H$12=0,0,H86/H$12)</f>
        <v>0</v>
      </c>
      <c r="K86" s="16"/>
      <c r="L86" s="20">
        <f>+D86-H86</f>
        <v>-3767.3666666666677</v>
      </c>
      <c r="M86" s="16"/>
      <c r="N86" s="21">
        <f>IF(H86=0,0,L86/H86)</f>
        <v>0.50356888255212995</v>
      </c>
      <c r="O86" s="25"/>
      <c r="P86" s="20">
        <f>+P19-P21+P84</f>
        <v>-22398.399999999998</v>
      </c>
      <c r="Q86" s="13"/>
      <c r="R86" s="21">
        <f>IF(P$12=0,0,P86/P$12)</f>
        <v>0</v>
      </c>
      <c r="S86" s="13"/>
      <c r="T86" s="20">
        <f>+T19-T21+T84</f>
        <v>-22444</v>
      </c>
      <c r="U86" s="13"/>
      <c r="V86" s="21">
        <f>IF(T$12=0,0,T86/T$12)</f>
        <v>0</v>
      </c>
      <c r="W86" s="16"/>
      <c r="X86" s="20">
        <f>+P86-T86</f>
        <v>45.600000000002183</v>
      </c>
      <c r="Y86" s="16"/>
      <c r="Z86" s="21">
        <f>IF(T86=0,0,X86/T86)</f>
        <v>-2.0317234004634727E-3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/>
      <c r="E88" s="4"/>
      <c r="F88" s="12">
        <f>IF(D$12=0,0,D88/D$12)</f>
        <v>0</v>
      </c>
      <c r="G88" s="4"/>
      <c r="H88" s="4"/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/>
      <c r="Q88" s="4"/>
      <c r="R88" s="12">
        <f>IF(P$12=0,0,P88/P$12)</f>
        <v>0</v>
      </c>
      <c r="S88" s="4"/>
      <c r="T88" s="4"/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4</v>
      </c>
      <c r="C90" s="26"/>
      <c r="D90" s="33">
        <f>+D86-D88</f>
        <v>-11248.7</v>
      </c>
      <c r="E90" s="13"/>
      <c r="F90" s="34">
        <f>IF(D$12=0,0,D90/D$12)</f>
        <v>0</v>
      </c>
      <c r="G90" s="13"/>
      <c r="H90" s="33">
        <f>+H86-H88</f>
        <v>-7481.333333333333</v>
      </c>
      <c r="I90" s="13"/>
      <c r="J90" s="34">
        <f>IF(H$12=0,0,H90/H$12)</f>
        <v>0</v>
      </c>
      <c r="K90" s="16"/>
      <c r="L90" s="33">
        <f>D90-H90</f>
        <v>-3767.3666666666677</v>
      </c>
      <c r="M90" s="16"/>
      <c r="N90" s="34">
        <f>IF(H90=0,0,L90/H90)</f>
        <v>0.50356888255212995</v>
      </c>
      <c r="O90" s="25"/>
      <c r="P90" s="33">
        <f>+P86-P88</f>
        <v>-22398.399999999998</v>
      </c>
      <c r="Q90" s="13"/>
      <c r="R90" s="34">
        <f>IF(P$12=0,0,P90/P$12)</f>
        <v>0</v>
      </c>
      <c r="S90" s="13"/>
      <c r="T90" s="33">
        <f>+T86-T88</f>
        <v>-22444</v>
      </c>
      <c r="U90" s="13"/>
      <c r="V90" s="34">
        <f>IF(T$12=0,0,T90/T$12)</f>
        <v>0</v>
      </c>
      <c r="W90" s="16"/>
      <c r="X90" s="33">
        <f>P90-T90</f>
        <v>45.600000000002183</v>
      </c>
      <c r="Y90" s="16"/>
      <c r="Z90" s="34">
        <f>IF(T90=0,0,X90/T90)</f>
        <v>-2.0317234004634727E-3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5</v>
      </c>
      <c r="C93" s="26"/>
      <c r="D93" s="31">
        <f>SUM(D90:D92)</f>
        <v>-11248.7</v>
      </c>
      <c r="E93" s="13"/>
      <c r="F93" s="32">
        <f>IF(D$12=0,0,D93/D$12)</f>
        <v>0</v>
      </c>
      <c r="G93" s="13"/>
      <c r="H93" s="31">
        <f>SUM(H90:H92)</f>
        <v>-7481.333333333333</v>
      </c>
      <c r="I93" s="13"/>
      <c r="J93" s="32">
        <f>IF(H$12=0,0,H93/H$12)</f>
        <v>0</v>
      </c>
      <c r="K93" s="16"/>
      <c r="L93" s="31">
        <f>+D93-H93</f>
        <v>-3767.3666666666677</v>
      </c>
      <c r="M93" s="16"/>
      <c r="N93" s="32">
        <f>IF(H93=0,0,L93/H93)</f>
        <v>0.50356888255212995</v>
      </c>
      <c r="O93" s="25"/>
      <c r="P93" s="31">
        <f>SUM(P90:P92)</f>
        <v>-22398.399999999998</v>
      </c>
      <c r="Q93" s="13"/>
      <c r="R93" s="32">
        <f>IF(P$12=0,0,P93/P$12)</f>
        <v>0</v>
      </c>
      <c r="S93" s="13"/>
      <c r="T93" s="31">
        <f>SUM(T90:T92)</f>
        <v>-22444</v>
      </c>
      <c r="U93" s="13"/>
      <c r="V93" s="32">
        <f>IF(T$12=0,0,T93/T$12)</f>
        <v>0</v>
      </c>
      <c r="W93" s="16"/>
      <c r="X93" s="31">
        <f>+P93-T93</f>
        <v>45.600000000002183</v>
      </c>
      <c r="Y93" s="16"/>
      <c r="Z93" s="32">
        <f>IF(T93=0,0,X93/T93)</f>
        <v>-2.0317234004634727E-3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5">
        <v>44123.572242905095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3" t="s">
        <v>314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62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","406", " - ", "OPA! Greek")</f>
        <v>Department 406 - OPA! Greek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188.84</v>
      </c>
      <c r="E18" s="19"/>
      <c r="F18" s="35">
        <f t="shared" ref="F18:F28" si="0">IF(D$12=0,0,D18/D$12)</f>
        <v>0</v>
      </c>
      <c r="G18" s="19"/>
      <c r="H18" s="19">
        <f>SUM(OSRRefH22x_0)</f>
        <v>435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-246.16</v>
      </c>
      <c r="M18" s="4"/>
      <c r="N18" s="35">
        <f t="shared" ref="N18:N28" si="3">IF(H18=0,0,L18/H18)</f>
        <v>-0.56588505747126439</v>
      </c>
      <c r="O18" s="10"/>
      <c r="P18" s="19">
        <f>SUM(OSRRefP22x_0)</f>
        <v>1303.3600000000001</v>
      </c>
      <c r="Q18" s="19"/>
      <c r="R18" s="35">
        <f t="shared" ref="R18:R28" si="4">IF(P$12=0,0,P18/P$12)</f>
        <v>0</v>
      </c>
      <c r="S18" s="19"/>
      <c r="T18" s="19">
        <f>SUM(OSRRefT22x_0)</f>
        <v>1305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-1.6399999999998727</v>
      </c>
      <c r="Y18" s="4"/>
      <c r="Z18" s="35">
        <f t="shared" ref="Z18:Z28" si="7">IF(T18=0,0,X18/T18)</f>
        <v>-1.2567049808428143E-3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660.8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660.8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"6113", " - ", "GROUP INSURANCE")</f>
        <v xml:space="preserve">          6113 - GROUP INSURANCE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660.8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660.8</v>
      </c>
      <c r="Y20" s="2"/>
      <c r="Z20" s="7">
        <f t="shared" si="7"/>
        <v>0</v>
      </c>
    </row>
    <row r="21" spans="1:26" s="28" customFormat="1" outlineLevel="1" collapsed="1" x14ac:dyDescent="0.25">
      <c r="A21" s="27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119.55</v>
      </c>
      <c r="E21" s="1"/>
      <c r="F21" s="5">
        <f t="shared" si="0"/>
        <v>0</v>
      </c>
      <c r="G21" s="1"/>
      <c r="H21" s="1">
        <f>SUM(OSRRefH22_1x_0)</f>
        <v>435</v>
      </c>
      <c r="I21" s="1"/>
      <c r="J21" s="5">
        <f t="shared" si="1"/>
        <v>0</v>
      </c>
      <c r="K21" s="1"/>
      <c r="L21" s="1">
        <f t="shared" si="2"/>
        <v>-315.45</v>
      </c>
      <c r="M21" s="1"/>
      <c r="N21" s="5">
        <f t="shared" si="3"/>
        <v>-0.72517241379310338</v>
      </c>
      <c r="O21" s="14"/>
      <c r="P21" s="1">
        <f>SUM(OSRRefP22_1x_0)</f>
        <v>358.65</v>
      </c>
      <c r="Q21" s="1"/>
      <c r="R21" s="5">
        <f t="shared" si="4"/>
        <v>0</v>
      </c>
      <c r="S21" s="1"/>
      <c r="T21" s="1">
        <f>SUM(OSRRefT22_1x_0)</f>
        <v>1305</v>
      </c>
      <c r="U21" s="1"/>
      <c r="V21" s="5">
        <f t="shared" si="5"/>
        <v>0</v>
      </c>
      <c r="W21" s="1"/>
      <c r="X21" s="1">
        <f t="shared" si="6"/>
        <v>-946.35</v>
      </c>
      <c r="Y21" s="1"/>
      <c r="Z21" s="5">
        <f t="shared" si="7"/>
        <v>-0.72517241379310349</v>
      </c>
    </row>
    <row r="22" spans="1:26" s="24" customFormat="1" hidden="1" outlineLevel="2" x14ac:dyDescent="0.25">
      <c r="A22" s="29"/>
      <c r="B22" s="11" t="str">
        <f>CONCATENATE("          ", "6322", " - ", "EQUIPMENT DEPRECIATION EXPENSE")</f>
        <v xml:space="preserve">          6322 - EQUIPMENT DEPRECIATION EXPENSE</v>
      </c>
      <c r="C22" s="11"/>
      <c r="D22" s="6">
        <v>119.55</v>
      </c>
      <c r="E22" s="2"/>
      <c r="F22" s="7">
        <f t="shared" si="0"/>
        <v>0</v>
      </c>
      <c r="G22" s="2"/>
      <c r="H22" s="6">
        <v>435</v>
      </c>
      <c r="I22" s="2"/>
      <c r="J22" s="7">
        <f t="shared" si="1"/>
        <v>0</v>
      </c>
      <c r="K22" s="2"/>
      <c r="L22" s="6">
        <f t="shared" si="2"/>
        <v>-315.45</v>
      </c>
      <c r="M22" s="2"/>
      <c r="N22" s="7">
        <f t="shared" si="3"/>
        <v>-0.72517241379310338</v>
      </c>
      <c r="O22" s="11"/>
      <c r="P22" s="6">
        <v>358.65</v>
      </c>
      <c r="Q22" s="2"/>
      <c r="R22" s="7">
        <f t="shared" si="4"/>
        <v>0</v>
      </c>
      <c r="S22" s="2"/>
      <c r="T22" s="6">
        <v>1305</v>
      </c>
      <c r="U22" s="2"/>
      <c r="V22" s="7">
        <f t="shared" si="5"/>
        <v>0</v>
      </c>
      <c r="W22" s="2"/>
      <c r="X22" s="6">
        <f t="shared" si="6"/>
        <v>-946.35</v>
      </c>
      <c r="Y22" s="2"/>
      <c r="Z22" s="7">
        <f t="shared" si="7"/>
        <v>-0.72517241379310349</v>
      </c>
    </row>
    <row r="23" spans="1:26" s="28" customFormat="1" outlineLevel="1" collapsed="1" x14ac:dyDescent="0.25">
      <c r="A23" s="27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64.02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64.02</v>
      </c>
      <c r="Y23" s="1"/>
      <c r="Z23" s="5">
        <f t="shared" si="7"/>
        <v>0</v>
      </c>
    </row>
    <row r="24" spans="1:26" s="24" customFormat="1" hidden="1" outlineLevel="2" x14ac:dyDescent="0.25">
      <c r="A24" s="29"/>
      <c r="B24" s="11" t="str">
        <f>CONCATENATE("          ", "6351", " - ", "EQUIPMENT RENTAL")</f>
        <v xml:space="preserve">          6351 - EQUIPMENT RENTAL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64.02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64.02</v>
      </c>
      <c r="Y24" s="2"/>
      <c r="Z24" s="7">
        <f t="shared" si="7"/>
        <v>0</v>
      </c>
    </row>
    <row r="25" spans="1:26" s="28" customFormat="1" outlineLevel="1" collapsed="1" x14ac:dyDescent="0.25">
      <c r="A25" s="27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69.290000000000006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69.290000000000006</v>
      </c>
      <c r="M25" s="1"/>
      <c r="N25" s="5">
        <f t="shared" si="3"/>
        <v>0</v>
      </c>
      <c r="O25" s="14"/>
      <c r="P25" s="1">
        <f>SUM(OSRRefP22_3x_0)</f>
        <v>147.88999999999999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147.88999999999999</v>
      </c>
      <c r="Y25" s="1"/>
      <c r="Z25" s="5">
        <f t="shared" si="7"/>
        <v>0</v>
      </c>
    </row>
    <row r="26" spans="1:26" s="24" customFormat="1" hidden="1" outlineLevel="2" x14ac:dyDescent="0.25">
      <c r="A26" s="29"/>
      <c r="B26" s="11" t="str">
        <f>CONCATENATE("          ", "6373", " - ", "MAINTENANCE CONTRACTS")</f>
        <v xml:space="preserve">          6373 - MAINTENANCE CONTRACTS</v>
      </c>
      <c r="C26" s="11"/>
      <c r="D26" s="6">
        <v>69.290000000000006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69.290000000000006</v>
      </c>
      <c r="M26" s="2"/>
      <c r="N26" s="7">
        <f t="shared" si="3"/>
        <v>0</v>
      </c>
      <c r="O26" s="11"/>
      <c r="P26" s="6">
        <v>147.88999999999999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147.88999999999999</v>
      </c>
      <c r="Y26" s="2"/>
      <c r="Z26" s="7">
        <f t="shared" si="7"/>
        <v>0</v>
      </c>
    </row>
    <row r="27" spans="1:26" s="28" customFormat="1" outlineLevel="1" collapsed="1" x14ac:dyDescent="0.25">
      <c r="A27" s="27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4"/>
      <c r="P27" s="1">
        <f>SUM(OSRRefP22_4x_0)</f>
        <v>72</v>
      </c>
      <c r="Q27" s="1"/>
      <c r="R27" s="5">
        <f t="shared" si="4"/>
        <v>0</v>
      </c>
      <c r="S27" s="1"/>
      <c r="T27" s="1">
        <f>SUM(OSRRefT22_4x_0)</f>
        <v>0</v>
      </c>
      <c r="U27" s="1"/>
      <c r="V27" s="5">
        <f t="shared" si="5"/>
        <v>0</v>
      </c>
      <c r="W27" s="1"/>
      <c r="X27" s="1">
        <f t="shared" si="6"/>
        <v>72</v>
      </c>
      <c r="Y27" s="1"/>
      <c r="Z27" s="5">
        <f t="shared" si="7"/>
        <v>0</v>
      </c>
    </row>
    <row r="28" spans="1:26" s="24" customFormat="1" hidden="1" outlineLevel="2" x14ac:dyDescent="0.25">
      <c r="A28" s="29"/>
      <c r="B28" s="11" t="str">
        <f>CONCATENATE("          ", "6309", " - ", "TELEPHONE")</f>
        <v xml:space="preserve">          6309 - TELEPHONE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>
        <v>72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72</v>
      </c>
      <c r="Y28" s="2"/>
      <c r="Z28" s="7">
        <f t="shared" si="7"/>
        <v>0</v>
      </c>
    </row>
    <row r="29" spans="1:26" s="61" customFormat="1" x14ac:dyDescent="0.25">
      <c r="A29" s="36"/>
      <c r="B29" s="36"/>
      <c r="C29" s="36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6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0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25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10"/>
      <c r="B32" s="26" t="s">
        <v>3</v>
      </c>
      <c r="C32" s="26"/>
      <c r="D32" s="20">
        <f>+D16-D18+D30</f>
        <v>-188.84</v>
      </c>
      <c r="E32" s="13"/>
      <c r="F32" s="21">
        <f>IF(D$12=0,0,D32/D$12)</f>
        <v>0</v>
      </c>
      <c r="G32" s="13"/>
      <c r="H32" s="20">
        <f>+H16-H18+H30</f>
        <v>-435</v>
      </c>
      <c r="I32" s="13"/>
      <c r="J32" s="21">
        <f>IF(H$12=0,0,H32/H$12)</f>
        <v>0</v>
      </c>
      <c r="K32" s="16"/>
      <c r="L32" s="20">
        <f>+D32-H32</f>
        <v>246.16</v>
      </c>
      <c r="M32" s="16"/>
      <c r="N32" s="21">
        <f>IF(H32=0,0,L32/H32)</f>
        <v>-0.56588505747126439</v>
      </c>
      <c r="O32" s="25"/>
      <c r="P32" s="20">
        <f>+P16-P18+P30</f>
        <v>-1303.3600000000001</v>
      </c>
      <c r="Q32" s="13"/>
      <c r="R32" s="21">
        <f>IF(P$12=0,0,P32/P$12)</f>
        <v>0</v>
      </c>
      <c r="S32" s="13"/>
      <c r="T32" s="20">
        <f>+T16-T18+T30</f>
        <v>-1305</v>
      </c>
      <c r="U32" s="13"/>
      <c r="V32" s="21">
        <f>IF(T$12=0,0,T32/T$12)</f>
        <v>0</v>
      </c>
      <c r="W32" s="16"/>
      <c r="X32" s="20">
        <f>+P32-T32</f>
        <v>1.6399999999998727</v>
      </c>
      <c r="Y32" s="16"/>
      <c r="Z32" s="21">
        <f>IF(T32=0,0,X32/T32)</f>
        <v>-1.2567049808428143E-3</v>
      </c>
    </row>
    <row r="33" spans="1:26" x14ac:dyDescent="0.25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25">
      <c r="A34" s="52"/>
      <c r="B34" s="10" t="s">
        <v>14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4</v>
      </c>
      <c r="C36" s="26"/>
      <c r="D36" s="33">
        <f>+D32-D34</f>
        <v>-188.84</v>
      </c>
      <c r="E36" s="13"/>
      <c r="F36" s="34">
        <f>IF(D$12=0,0,D36/D$12)</f>
        <v>0</v>
      </c>
      <c r="G36" s="13"/>
      <c r="H36" s="33">
        <f>+H32-H34</f>
        <v>-435</v>
      </c>
      <c r="I36" s="13"/>
      <c r="J36" s="34">
        <f>IF(H$12=0,0,H36/H$12)</f>
        <v>0</v>
      </c>
      <c r="K36" s="16"/>
      <c r="L36" s="33">
        <f>D36-H36</f>
        <v>246.16</v>
      </c>
      <c r="M36" s="16"/>
      <c r="N36" s="34">
        <f>IF(H36=0,0,L36/H36)</f>
        <v>-0.56588505747126439</v>
      </c>
      <c r="O36" s="25"/>
      <c r="P36" s="33">
        <f>+P32-P34</f>
        <v>-1303.3600000000001</v>
      </c>
      <c r="Q36" s="13"/>
      <c r="R36" s="34">
        <f>IF(P$12=0,0,P36/P$12)</f>
        <v>0</v>
      </c>
      <c r="S36" s="13"/>
      <c r="T36" s="33">
        <f>+T32-T34</f>
        <v>-1305</v>
      </c>
      <c r="U36" s="13"/>
      <c r="V36" s="34">
        <f>IF(T$12=0,0,T36/T$12)</f>
        <v>0</v>
      </c>
      <c r="W36" s="16"/>
      <c r="X36" s="33">
        <f>P36-T36</f>
        <v>1.6399999999998727</v>
      </c>
      <c r="Y36" s="16"/>
      <c r="Z36" s="34">
        <f>IF(T36=0,0,X36/T36)</f>
        <v>-1.2567049808428143E-3</v>
      </c>
    </row>
    <row r="37" spans="1:26" ht="15.75" thickTop="1" x14ac:dyDescent="0.25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25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6" t="s">
        <v>5</v>
      </c>
      <c r="C39" s="26"/>
      <c r="D39" s="31">
        <f>SUM(D36:D38)</f>
        <v>-188.84</v>
      </c>
      <c r="E39" s="13"/>
      <c r="F39" s="32">
        <f>IF(D$12=0,0,D39/D$12)</f>
        <v>0</v>
      </c>
      <c r="G39" s="13"/>
      <c r="H39" s="31">
        <f>SUM(H36:H38)</f>
        <v>-435</v>
      </c>
      <c r="I39" s="13"/>
      <c r="J39" s="32">
        <f>IF(H$12=0,0,H39/H$12)</f>
        <v>0</v>
      </c>
      <c r="K39" s="16"/>
      <c r="L39" s="31">
        <f>+D39-H39</f>
        <v>246.16</v>
      </c>
      <c r="M39" s="16"/>
      <c r="N39" s="32">
        <f>IF(H39=0,0,L39/H39)</f>
        <v>-0.56588505747126439</v>
      </c>
      <c r="O39" s="25"/>
      <c r="P39" s="31">
        <f>SUM(P36:P38)</f>
        <v>-1303.3600000000001</v>
      </c>
      <c r="Q39" s="13"/>
      <c r="R39" s="32">
        <f>IF(P$12=0,0,P39/P$12)</f>
        <v>0</v>
      </c>
      <c r="S39" s="13"/>
      <c r="T39" s="31">
        <f>SUM(T36:T38)</f>
        <v>-1305</v>
      </c>
      <c r="U39" s="13"/>
      <c r="V39" s="32">
        <f>IF(T$12=0,0,T39/T$12)</f>
        <v>0</v>
      </c>
      <c r="W39" s="16"/>
      <c r="X39" s="31">
        <f>+P39-T39</f>
        <v>1.6399999999998727</v>
      </c>
      <c r="Y39" s="16"/>
      <c r="Z39" s="32">
        <f>IF(T39=0,0,X39/T39)</f>
        <v>-1.2567049808428143E-3</v>
      </c>
    </row>
    <row r="40" spans="1:26" ht="15.75" thickTop="1" x14ac:dyDescent="0.25">
      <c r="A40" s="9"/>
      <c r="C40" s="9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55">
        <v>44123.572262268521</v>
      </c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A42" s="9"/>
      <c r="B42" s="53" t="s">
        <v>314</v>
      </c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  <row r="43" spans="1:26" x14ac:dyDescent="0.25">
      <c r="A43" s="9"/>
      <c r="B43" s="62"/>
      <c r="D43" s="17"/>
      <c r="E43" s="17"/>
      <c r="G43" s="17"/>
      <c r="H43" s="17"/>
      <c r="I43" s="17"/>
      <c r="J43" s="43"/>
      <c r="K43" s="17"/>
      <c r="L43" s="17"/>
      <c r="M43" s="17"/>
      <c r="P43" s="17"/>
      <c r="Q43" s="17"/>
      <c r="R43" s="43"/>
      <c r="S43" s="17"/>
      <c r="T43" s="17"/>
      <c r="U43" s="17"/>
      <c r="V43" s="43"/>
      <c r="W43" s="17"/>
      <c r="X43" s="17"/>
    </row>
    <row r="44" spans="1:26" x14ac:dyDescent="0.25"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","408", " - ", "Nugget Express")</f>
        <v>Department 408 - Nugget Express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0">
        <f>+D16-D18+D20</f>
        <v>0</v>
      </c>
      <c r="E22" s="13"/>
      <c r="F22" s="21">
        <f>IF(D$12=0,0,D22/D$12)</f>
        <v>0</v>
      </c>
      <c r="G22" s="13"/>
      <c r="H22" s="20">
        <f>+H16-H18+H20</f>
        <v>0</v>
      </c>
      <c r="I22" s="13"/>
      <c r="J22" s="21">
        <f>IF(H$12=0,0,H22/H$12)</f>
        <v>0</v>
      </c>
      <c r="K22" s="16"/>
      <c r="L22" s="20">
        <f>+D22-H22</f>
        <v>0</v>
      </c>
      <c r="M22" s="16"/>
      <c r="N22" s="21">
        <f>IF(H22=0,0,L22/H22)</f>
        <v>0</v>
      </c>
      <c r="O22" s="25"/>
      <c r="P22" s="20">
        <f>+P16-P18+P20</f>
        <v>0</v>
      </c>
      <c r="Q22" s="13"/>
      <c r="R22" s="21">
        <f>IF(P$12=0,0,P22/P$12)</f>
        <v>0</v>
      </c>
      <c r="S22" s="13"/>
      <c r="T22" s="20">
        <f>+T16-T18+T20</f>
        <v>0</v>
      </c>
      <c r="U22" s="13"/>
      <c r="V22" s="21">
        <f>IF(T$12=0,0,T22/T$12)</f>
        <v>0</v>
      </c>
      <c r="W22" s="16"/>
      <c r="X22" s="20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3">
        <f>+D22-D24</f>
        <v>0</v>
      </c>
      <c r="E26" s="13"/>
      <c r="F26" s="34">
        <f>IF(D$12=0,0,D26/D$12)</f>
        <v>0</v>
      </c>
      <c r="G26" s="13"/>
      <c r="H26" s="33">
        <f>+H22-H24</f>
        <v>0</v>
      </c>
      <c r="I26" s="13"/>
      <c r="J26" s="34">
        <f>IF(H$12=0,0,H26/H$12)</f>
        <v>0</v>
      </c>
      <c r="K26" s="16"/>
      <c r="L26" s="33">
        <f>D26-H26</f>
        <v>0</v>
      </c>
      <c r="M26" s="16"/>
      <c r="N26" s="34">
        <f>IF(H26=0,0,L26/H26)</f>
        <v>0</v>
      </c>
      <c r="O26" s="25"/>
      <c r="P26" s="33">
        <f>+P22-P24</f>
        <v>0</v>
      </c>
      <c r="Q26" s="13"/>
      <c r="R26" s="34">
        <f>IF(P$12=0,0,P26/P$12)</f>
        <v>0</v>
      </c>
      <c r="S26" s="13"/>
      <c r="T26" s="33">
        <f>+T22-T24</f>
        <v>0</v>
      </c>
      <c r="U26" s="13"/>
      <c r="V26" s="34">
        <f>IF(T$12=0,0,T26/T$12)</f>
        <v>0</v>
      </c>
      <c r="W26" s="16"/>
      <c r="X26" s="33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6" t="s">
        <v>5</v>
      </c>
      <c r="C29" s="26"/>
      <c r="D29" s="31">
        <f>SUM(D26:D28)</f>
        <v>0</v>
      </c>
      <c r="E29" s="13"/>
      <c r="F29" s="32">
        <f>IF(D$12=0,0,D29/D$12)</f>
        <v>0</v>
      </c>
      <c r="G29" s="13"/>
      <c r="H29" s="31">
        <f>SUM(H26:H28)</f>
        <v>0</v>
      </c>
      <c r="I29" s="13"/>
      <c r="J29" s="32">
        <f>IF(H$12=0,0,H29/H$12)</f>
        <v>0</v>
      </c>
      <c r="K29" s="16"/>
      <c r="L29" s="31">
        <f>+D29-H29</f>
        <v>0</v>
      </c>
      <c r="M29" s="16"/>
      <c r="N29" s="32">
        <f>IF(H29=0,0,L29/H29)</f>
        <v>0</v>
      </c>
      <c r="O29" s="25"/>
      <c r="P29" s="31">
        <f>SUM(P26:P28)</f>
        <v>0</v>
      </c>
      <c r="Q29" s="13"/>
      <c r="R29" s="32">
        <f>IF(P$12=0,0,P29/P$12)</f>
        <v>0</v>
      </c>
      <c r="S29" s="13"/>
      <c r="T29" s="31">
        <f>SUM(T26:T28)</f>
        <v>0</v>
      </c>
      <c r="U29" s="13"/>
      <c r="V29" s="32">
        <f>IF(T$12=0,0,T29/T$12)</f>
        <v>0</v>
      </c>
      <c r="W29" s="16"/>
      <c r="X29" s="31">
        <f>+P29-T29</f>
        <v>0</v>
      </c>
      <c r="Y29" s="16"/>
      <c r="Z29" s="32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5">
        <v>44123.572277777777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53" t="s">
        <v>314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62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","409", " - ", "Carts")</f>
        <v>Department 409 - Carts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0">
        <f>+D16-D18+D20</f>
        <v>0</v>
      </c>
      <c r="E22" s="13"/>
      <c r="F22" s="21">
        <f>IF(D$12=0,0,D22/D$12)</f>
        <v>0</v>
      </c>
      <c r="G22" s="13"/>
      <c r="H22" s="20">
        <f>+H16-H18+H20</f>
        <v>0</v>
      </c>
      <c r="I22" s="13"/>
      <c r="J22" s="21">
        <f>IF(H$12=0,0,H22/H$12)</f>
        <v>0</v>
      </c>
      <c r="K22" s="16"/>
      <c r="L22" s="20">
        <f>+D22-H22</f>
        <v>0</v>
      </c>
      <c r="M22" s="16"/>
      <c r="N22" s="21">
        <f>IF(H22=0,0,L22/H22)</f>
        <v>0</v>
      </c>
      <c r="O22" s="25"/>
      <c r="P22" s="20">
        <f>+P16-P18+P20</f>
        <v>0</v>
      </c>
      <c r="Q22" s="13"/>
      <c r="R22" s="21">
        <f>IF(P$12=0,0,P22/P$12)</f>
        <v>0</v>
      </c>
      <c r="S22" s="13"/>
      <c r="T22" s="20">
        <f>+T16-T18+T20</f>
        <v>0</v>
      </c>
      <c r="U22" s="13"/>
      <c r="V22" s="21">
        <f>IF(T$12=0,0,T22/T$12)</f>
        <v>0</v>
      </c>
      <c r="W22" s="16"/>
      <c r="X22" s="20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3">
        <f>+D22-D24</f>
        <v>0</v>
      </c>
      <c r="E26" s="13"/>
      <c r="F26" s="34">
        <f>IF(D$12=0,0,D26/D$12)</f>
        <v>0</v>
      </c>
      <c r="G26" s="13"/>
      <c r="H26" s="33">
        <f>+H22-H24</f>
        <v>0</v>
      </c>
      <c r="I26" s="13"/>
      <c r="J26" s="34">
        <f>IF(H$12=0,0,H26/H$12)</f>
        <v>0</v>
      </c>
      <c r="K26" s="16"/>
      <c r="L26" s="33">
        <f>D26-H26</f>
        <v>0</v>
      </c>
      <c r="M26" s="16"/>
      <c r="N26" s="34">
        <f>IF(H26=0,0,L26/H26)</f>
        <v>0</v>
      </c>
      <c r="O26" s="25"/>
      <c r="P26" s="33">
        <f>+P22-P24</f>
        <v>0</v>
      </c>
      <c r="Q26" s="13"/>
      <c r="R26" s="34">
        <f>IF(P$12=0,0,P26/P$12)</f>
        <v>0</v>
      </c>
      <c r="S26" s="13"/>
      <c r="T26" s="33">
        <f>+T22-T24</f>
        <v>0</v>
      </c>
      <c r="U26" s="13"/>
      <c r="V26" s="34">
        <f>IF(T$12=0,0,T26/T$12)</f>
        <v>0</v>
      </c>
      <c r="W26" s="16"/>
      <c r="X26" s="33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6" t="s">
        <v>5</v>
      </c>
      <c r="C29" s="26"/>
      <c r="D29" s="31">
        <f>SUM(D26:D28)</f>
        <v>0</v>
      </c>
      <c r="E29" s="13"/>
      <c r="F29" s="32">
        <f>IF(D$12=0,0,D29/D$12)</f>
        <v>0</v>
      </c>
      <c r="G29" s="13"/>
      <c r="H29" s="31">
        <f>SUM(H26:H28)</f>
        <v>0</v>
      </c>
      <c r="I29" s="13"/>
      <c r="J29" s="32">
        <f>IF(H$12=0,0,H29/H$12)</f>
        <v>0</v>
      </c>
      <c r="K29" s="16"/>
      <c r="L29" s="31">
        <f>+D29-H29</f>
        <v>0</v>
      </c>
      <c r="M29" s="16"/>
      <c r="N29" s="32">
        <f>IF(H29=0,0,L29/H29)</f>
        <v>0</v>
      </c>
      <c r="O29" s="25"/>
      <c r="P29" s="31">
        <f>SUM(P26:P28)</f>
        <v>0</v>
      </c>
      <c r="Q29" s="13"/>
      <c r="R29" s="32">
        <f>IF(P$12=0,0,P29/P$12)</f>
        <v>0</v>
      </c>
      <c r="S29" s="13"/>
      <c r="T29" s="31">
        <f>SUM(T26:T28)</f>
        <v>0</v>
      </c>
      <c r="U29" s="13"/>
      <c r="V29" s="32">
        <f>IF(T$12=0,0,T29/T$12)</f>
        <v>0</v>
      </c>
      <c r="W29" s="16"/>
      <c r="X29" s="31">
        <f>+P29-T29</f>
        <v>0</v>
      </c>
      <c r="Y29" s="16"/>
      <c r="Z29" s="32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5">
        <v>44123.572291666664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53" t="s">
        <v>314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62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","411", " - ", "University Dining")</f>
        <v>Department 411 - University Dining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28429.94</v>
      </c>
      <c r="E18" s="19"/>
      <c r="F18" s="35">
        <f t="shared" ref="F18:F28" si="0">IF(D$12=0,0,D18/D$12)</f>
        <v>0</v>
      </c>
      <c r="G18" s="19"/>
      <c r="H18" s="19">
        <f>SUM(OSRRefH22x_0)</f>
        <v>18055.461538461539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10374.47846153846</v>
      </c>
      <c r="M18" s="4"/>
      <c r="N18" s="35">
        <f t="shared" ref="N18:N28" si="3">IF(H18=0,0,L18/H18)</f>
        <v>0.5745894913535643</v>
      </c>
      <c r="O18" s="10"/>
      <c r="P18" s="19">
        <f>SUM(OSRRefP22x_0)</f>
        <v>58752.150000000009</v>
      </c>
      <c r="Q18" s="19"/>
      <c r="R18" s="35">
        <f t="shared" ref="R18:R28" si="4">IF(P$12=0,0,P18/P$12)</f>
        <v>0</v>
      </c>
      <c r="S18" s="19"/>
      <c r="T18" s="19">
        <f>SUM(OSRRefT22x_0)</f>
        <v>52286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6466.1500000000087</v>
      </c>
      <c r="Y18" s="4"/>
      <c r="Z18" s="35">
        <f t="shared" ref="Z18:Z28" si="7">IF(T18=0,0,X18/T18)</f>
        <v>0.12366885973300709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5739.17</v>
      </c>
      <c r="E19" s="1"/>
      <c r="F19" s="5">
        <f t="shared" si="0"/>
        <v>0</v>
      </c>
      <c r="G19" s="1"/>
      <c r="H19" s="1">
        <f>SUM(OSRRefH22_0x_0)</f>
        <v>3013.4615384615399</v>
      </c>
      <c r="I19" s="1"/>
      <c r="J19" s="5">
        <f t="shared" si="1"/>
        <v>0</v>
      </c>
      <c r="K19" s="1"/>
      <c r="L19" s="1">
        <f t="shared" si="2"/>
        <v>2725.7084615384601</v>
      </c>
      <c r="M19" s="1"/>
      <c r="N19" s="5">
        <f t="shared" si="3"/>
        <v>0.90451078493937365</v>
      </c>
      <c r="O19" s="14"/>
      <c r="P19" s="1">
        <f>SUM(OSRRefP22_0x_0)</f>
        <v>16797.71</v>
      </c>
      <c r="Q19" s="1"/>
      <c r="R19" s="5">
        <f t="shared" si="4"/>
        <v>0</v>
      </c>
      <c r="S19" s="1"/>
      <c r="T19" s="1">
        <f>SUM(OSRRefT22_0x_0)</f>
        <v>9360</v>
      </c>
      <c r="U19" s="1"/>
      <c r="V19" s="5">
        <f t="shared" si="5"/>
        <v>0</v>
      </c>
      <c r="W19" s="1"/>
      <c r="X19" s="1">
        <f t="shared" si="6"/>
        <v>7437.7099999999991</v>
      </c>
      <c r="Y19" s="1"/>
      <c r="Z19" s="5">
        <f t="shared" si="7"/>
        <v>0.7946271367521367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846.8</v>
      </c>
      <c r="E20" s="2"/>
      <c r="F20" s="7">
        <f t="shared" si="0"/>
        <v>0</v>
      </c>
      <c r="G20" s="2"/>
      <c r="H20" s="6">
        <v>0</v>
      </c>
      <c r="I20" s="2"/>
      <c r="J20" s="7">
        <f t="shared" si="1"/>
        <v>0</v>
      </c>
      <c r="K20" s="2"/>
      <c r="L20" s="6">
        <f t="shared" si="2"/>
        <v>846.8</v>
      </c>
      <c r="M20" s="2"/>
      <c r="N20" s="7">
        <f t="shared" si="3"/>
        <v>0</v>
      </c>
      <c r="O20" s="11"/>
      <c r="P20" s="6">
        <v>2699.52</v>
      </c>
      <c r="Q20" s="2"/>
      <c r="R20" s="7">
        <f t="shared" si="4"/>
        <v>0</v>
      </c>
      <c r="S20" s="2"/>
      <c r="T20" s="6">
        <v>0</v>
      </c>
      <c r="U20" s="2"/>
      <c r="V20" s="7">
        <f t="shared" si="5"/>
        <v>0</v>
      </c>
      <c r="W20" s="2"/>
      <c r="X20" s="6">
        <f t="shared" si="6"/>
        <v>2699.52</v>
      </c>
      <c r="Y20" s="2"/>
      <c r="Z20" s="7">
        <f t="shared" si="7"/>
        <v>0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36.53</v>
      </c>
      <c r="E21" s="2"/>
      <c r="F21" s="7">
        <f t="shared" si="0"/>
        <v>0</v>
      </c>
      <c r="G21" s="2"/>
      <c r="H21" s="6">
        <v>0</v>
      </c>
      <c r="I21" s="2"/>
      <c r="J21" s="7">
        <f t="shared" si="1"/>
        <v>0</v>
      </c>
      <c r="K21" s="2"/>
      <c r="L21" s="6">
        <f t="shared" si="2"/>
        <v>36.53</v>
      </c>
      <c r="M21" s="2"/>
      <c r="N21" s="7">
        <f t="shared" si="3"/>
        <v>0</v>
      </c>
      <c r="O21" s="11"/>
      <c r="P21" s="6">
        <v>198.82</v>
      </c>
      <c r="Q21" s="2"/>
      <c r="R21" s="7">
        <f t="shared" si="4"/>
        <v>0</v>
      </c>
      <c r="S21" s="2"/>
      <c r="T21" s="6">
        <v>0</v>
      </c>
      <c r="U21" s="2"/>
      <c r="V21" s="7">
        <f t="shared" si="5"/>
        <v>0</v>
      </c>
      <c r="W21" s="2"/>
      <c r="X21" s="6">
        <f t="shared" si="6"/>
        <v>198.82</v>
      </c>
      <c r="Y21" s="2"/>
      <c r="Z21" s="7">
        <f t="shared" si="7"/>
        <v>0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1950.75</v>
      </c>
      <c r="E22" s="2"/>
      <c r="F22" s="7">
        <f t="shared" si="0"/>
        <v>0</v>
      </c>
      <c r="G22" s="2"/>
      <c r="H22" s="6">
        <v>2663.4615384615399</v>
      </c>
      <c r="I22" s="2"/>
      <c r="J22" s="7">
        <f t="shared" si="1"/>
        <v>0</v>
      </c>
      <c r="K22" s="2"/>
      <c r="L22" s="6">
        <f t="shared" si="2"/>
        <v>-712.71153846153993</v>
      </c>
      <c r="M22" s="2"/>
      <c r="N22" s="7">
        <f t="shared" si="3"/>
        <v>-0.26758844765342998</v>
      </c>
      <c r="O22" s="11"/>
      <c r="P22" s="6">
        <v>4718.22</v>
      </c>
      <c r="Q22" s="2"/>
      <c r="R22" s="7">
        <f t="shared" si="4"/>
        <v>0</v>
      </c>
      <c r="S22" s="2"/>
      <c r="T22" s="6">
        <v>8310</v>
      </c>
      <c r="U22" s="2"/>
      <c r="V22" s="7">
        <f t="shared" si="5"/>
        <v>0</v>
      </c>
      <c r="W22" s="2"/>
      <c r="X22" s="6">
        <f t="shared" si="6"/>
        <v>-3591.7799999999997</v>
      </c>
      <c r="Y22" s="2"/>
      <c r="Z22" s="7">
        <f t="shared" si="7"/>
        <v>-0.43222382671480142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28.78</v>
      </c>
      <c r="E23" s="2"/>
      <c r="F23" s="7">
        <f t="shared" si="0"/>
        <v>0</v>
      </c>
      <c r="G23" s="2"/>
      <c r="H23" s="6">
        <v>0</v>
      </c>
      <c r="I23" s="2"/>
      <c r="J23" s="7">
        <f t="shared" si="1"/>
        <v>0</v>
      </c>
      <c r="K23" s="2"/>
      <c r="L23" s="6">
        <f t="shared" si="2"/>
        <v>28.78</v>
      </c>
      <c r="M23" s="2"/>
      <c r="N23" s="7">
        <f t="shared" si="3"/>
        <v>0</v>
      </c>
      <c r="O23" s="11"/>
      <c r="P23" s="6">
        <v>91.75</v>
      </c>
      <c r="Q23" s="2"/>
      <c r="R23" s="7">
        <f t="shared" si="4"/>
        <v>0</v>
      </c>
      <c r="S23" s="2"/>
      <c r="T23" s="6">
        <v>0</v>
      </c>
      <c r="U23" s="2"/>
      <c r="V23" s="7">
        <f t="shared" si="5"/>
        <v>0</v>
      </c>
      <c r="W23" s="2"/>
      <c r="X23" s="6">
        <f t="shared" si="6"/>
        <v>91.75</v>
      </c>
      <c r="Y23" s="2"/>
      <c r="Z23" s="7">
        <f t="shared" si="7"/>
        <v>0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1221.05</v>
      </c>
      <c r="E24" s="2"/>
      <c r="F24" s="7">
        <f t="shared" si="0"/>
        <v>0</v>
      </c>
      <c r="G24" s="2"/>
      <c r="H24" s="6">
        <v>0</v>
      </c>
      <c r="I24" s="2"/>
      <c r="J24" s="7">
        <f t="shared" si="1"/>
        <v>0</v>
      </c>
      <c r="K24" s="2"/>
      <c r="L24" s="6">
        <f t="shared" si="2"/>
        <v>1221.05</v>
      </c>
      <c r="M24" s="2"/>
      <c r="N24" s="7">
        <f t="shared" si="3"/>
        <v>0</v>
      </c>
      <c r="O24" s="11"/>
      <c r="P24" s="6">
        <v>3984.72</v>
      </c>
      <c r="Q24" s="2"/>
      <c r="R24" s="7">
        <f t="shared" si="4"/>
        <v>0</v>
      </c>
      <c r="S24" s="2"/>
      <c r="T24" s="6">
        <v>0</v>
      </c>
      <c r="U24" s="2"/>
      <c r="V24" s="7">
        <f t="shared" si="5"/>
        <v>0</v>
      </c>
      <c r="W24" s="2"/>
      <c r="X24" s="6">
        <f t="shared" si="6"/>
        <v>3984.72</v>
      </c>
      <c r="Y24" s="2"/>
      <c r="Z24" s="7">
        <f t="shared" si="7"/>
        <v>0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6">
        <v>1022.52</v>
      </c>
      <c r="E26" s="2"/>
      <c r="F26" s="7">
        <f t="shared" si="0"/>
        <v>0</v>
      </c>
      <c r="G26" s="2"/>
      <c r="H26" s="6">
        <v>0</v>
      </c>
      <c r="I26" s="2"/>
      <c r="J26" s="7">
        <f t="shared" si="1"/>
        <v>0</v>
      </c>
      <c r="K26" s="2"/>
      <c r="L26" s="6">
        <f t="shared" si="2"/>
        <v>1022.52</v>
      </c>
      <c r="M26" s="2"/>
      <c r="N26" s="7">
        <f t="shared" si="3"/>
        <v>0</v>
      </c>
      <c r="O26" s="11"/>
      <c r="P26" s="6">
        <v>3259.7</v>
      </c>
      <c r="Q26" s="2"/>
      <c r="R26" s="7">
        <f t="shared" si="4"/>
        <v>0</v>
      </c>
      <c r="S26" s="2"/>
      <c r="T26" s="6">
        <v>0</v>
      </c>
      <c r="U26" s="2"/>
      <c r="V26" s="7">
        <f t="shared" si="5"/>
        <v>0</v>
      </c>
      <c r="W26" s="2"/>
      <c r="X26" s="6">
        <f t="shared" si="6"/>
        <v>3259.7</v>
      </c>
      <c r="Y26" s="2"/>
      <c r="Z26" s="7">
        <f t="shared" si="7"/>
        <v>0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6">
        <v>510.58</v>
      </c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510.58</v>
      </c>
      <c r="M27" s="2"/>
      <c r="N27" s="7">
        <f t="shared" si="3"/>
        <v>0</v>
      </c>
      <c r="O27" s="11"/>
      <c r="P27" s="6">
        <v>1627.68</v>
      </c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1627.68</v>
      </c>
      <c r="Y27" s="2"/>
      <c r="Z27" s="7">
        <f t="shared" si="7"/>
        <v>0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6">
        <v>122.16</v>
      </c>
      <c r="E28" s="2"/>
      <c r="F28" s="7">
        <f t="shared" si="0"/>
        <v>0</v>
      </c>
      <c r="G28" s="2"/>
      <c r="H28" s="6">
        <v>350</v>
      </c>
      <c r="I28" s="2"/>
      <c r="J28" s="7">
        <f t="shared" si="1"/>
        <v>0</v>
      </c>
      <c r="K28" s="2"/>
      <c r="L28" s="6">
        <f t="shared" si="2"/>
        <v>-227.84</v>
      </c>
      <c r="M28" s="2"/>
      <c r="N28" s="7">
        <f t="shared" si="3"/>
        <v>-0.65097142857142853</v>
      </c>
      <c r="O28" s="11"/>
      <c r="P28" s="6">
        <v>217.3</v>
      </c>
      <c r="Q28" s="2"/>
      <c r="R28" s="7">
        <f t="shared" si="4"/>
        <v>0</v>
      </c>
      <c r="S28" s="2"/>
      <c r="T28" s="6">
        <v>1050</v>
      </c>
      <c r="U28" s="2"/>
      <c r="V28" s="7">
        <f t="shared" si="5"/>
        <v>0</v>
      </c>
      <c r="W28" s="2"/>
      <c r="X28" s="6">
        <f t="shared" si="6"/>
        <v>-832.7</v>
      </c>
      <c r="Y28" s="2"/>
      <c r="Z28" s="7">
        <f t="shared" si="7"/>
        <v>-0.79304761904761911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11069.28</v>
      </c>
      <c r="E29" s="1"/>
      <c r="F29" s="5">
        <f t="shared" ref="F29:F39" si="8">IF(D$12=0,0,D29/D$12)</f>
        <v>0</v>
      </c>
      <c r="G29" s="1"/>
      <c r="H29" s="1">
        <f>SUM(OSRRefH22_1x_0)</f>
        <v>0</v>
      </c>
      <c r="I29" s="1"/>
      <c r="J29" s="5">
        <f t="shared" ref="J29:J39" si="9">IF(H$12=0,0,H29/H$12)</f>
        <v>0</v>
      </c>
      <c r="K29" s="1"/>
      <c r="L29" s="1">
        <f t="shared" ref="L29:L39" si="10">+D29-H29</f>
        <v>11069.28</v>
      </c>
      <c r="M29" s="1"/>
      <c r="N29" s="5">
        <f t="shared" ref="N29:N39" si="11">IF(H29=0,0,L29/H29)</f>
        <v>0</v>
      </c>
      <c r="O29" s="14"/>
      <c r="P29" s="1">
        <f>SUM(OSRRefP22_1x_0)</f>
        <v>35425.89</v>
      </c>
      <c r="Q29" s="1"/>
      <c r="R29" s="5">
        <f t="shared" ref="R29:R39" si="12">IF(P$12=0,0,P29/P$12)</f>
        <v>0</v>
      </c>
      <c r="S29" s="1"/>
      <c r="T29" s="1">
        <f>SUM(OSRRefT22_1x_0)</f>
        <v>0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35425.89</v>
      </c>
      <c r="Y29" s="1"/>
      <c r="Z29" s="5">
        <f t="shared" ref="Z29:Z39" si="15">IF(T29=0,0,X29/T29)</f>
        <v>0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>
        <v>11069.28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11069.28</v>
      </c>
      <c r="M30" s="2"/>
      <c r="N30" s="7">
        <f t="shared" si="11"/>
        <v>0</v>
      </c>
      <c r="O30" s="11"/>
      <c r="P30" s="6">
        <v>33345.89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33345.89</v>
      </c>
      <c r="Y30" s="2"/>
      <c r="Z30" s="7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2080</v>
      </c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2080</v>
      </c>
      <c r="Y31" s="2"/>
      <c r="Z31" s="7">
        <f t="shared" si="15"/>
        <v>0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46" si="16">IF(D$12=0,0,D40/D$12)</f>
        <v>0</v>
      </c>
      <c r="G40" s="1"/>
      <c r="H40" s="1">
        <f>SUM(OSRRefH22_2x_0)</f>
        <v>0</v>
      </c>
      <c r="I40" s="1"/>
      <c r="J40" s="5">
        <f t="shared" ref="J40:J46" si="17">IF(H$12=0,0,H40/H$12)</f>
        <v>0</v>
      </c>
      <c r="K40" s="1"/>
      <c r="L40" s="1">
        <f t="shared" ref="L40:L46" si="18">+D40-H40</f>
        <v>0</v>
      </c>
      <c r="M40" s="1"/>
      <c r="N40" s="5">
        <f t="shared" ref="N40:N46" si="19">IF(H40=0,0,L40/H40)</f>
        <v>0</v>
      </c>
      <c r="O40" s="14"/>
      <c r="P40" s="1">
        <f>SUM(OSRRefP22_2x_0)</f>
        <v>0</v>
      </c>
      <c r="Q40" s="1"/>
      <c r="R40" s="5">
        <f t="shared" ref="R40:R46" si="20">IF(P$12=0,0,P40/P$12)</f>
        <v>0</v>
      </c>
      <c r="S40" s="1"/>
      <c r="T40" s="1">
        <f>SUM(OSRRefT22_2x_0)</f>
        <v>0</v>
      </c>
      <c r="U40" s="1"/>
      <c r="V40" s="5">
        <f t="shared" ref="V40:V46" si="21">IF(T$12=0,0,T40/T$12)</f>
        <v>0</v>
      </c>
      <c r="W40" s="1"/>
      <c r="X40" s="1">
        <f t="shared" ref="X40:X46" si="22">+P40-T40</f>
        <v>0</v>
      </c>
      <c r="Y40" s="1"/>
      <c r="Z40" s="5">
        <f t="shared" ref="Z40:Z46" si="23">IF(T40=0,0,X40/T40)</f>
        <v>0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16"/>
        <v>0</v>
      </c>
      <c r="G41" s="2"/>
      <c r="H41" s="6">
        <v>0</v>
      </c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/>
      <c r="Q41" s="2"/>
      <c r="R41" s="7">
        <f t="shared" si="20"/>
        <v>0</v>
      </c>
      <c r="S41" s="2"/>
      <c r="T41" s="6">
        <v>0</v>
      </c>
      <c r="U41" s="2"/>
      <c r="V41" s="7">
        <f t="shared" si="21"/>
        <v>0</v>
      </c>
      <c r="W41" s="2"/>
      <c r="X41" s="6">
        <f t="shared" si="22"/>
        <v>0</v>
      </c>
      <c r="Y41" s="2"/>
      <c r="Z41" s="7">
        <f t="shared" si="23"/>
        <v>0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429.18</v>
      </c>
      <c r="E42" s="1"/>
      <c r="F42" s="5">
        <f t="shared" si="16"/>
        <v>0</v>
      </c>
      <c r="G42" s="1"/>
      <c r="H42" s="1">
        <f>SUM(OSRRefH22_3x_0)</f>
        <v>0</v>
      </c>
      <c r="I42" s="1"/>
      <c r="J42" s="5">
        <f t="shared" si="17"/>
        <v>0</v>
      </c>
      <c r="K42" s="1"/>
      <c r="L42" s="1">
        <f t="shared" si="18"/>
        <v>429.18</v>
      </c>
      <c r="M42" s="1"/>
      <c r="N42" s="5">
        <f t="shared" si="19"/>
        <v>0</v>
      </c>
      <c r="O42" s="14"/>
      <c r="P42" s="1">
        <f>SUM(OSRRefP22_3x_0)</f>
        <v>1043.81</v>
      </c>
      <c r="Q42" s="1"/>
      <c r="R42" s="5">
        <f t="shared" si="20"/>
        <v>0</v>
      </c>
      <c r="S42" s="1"/>
      <c r="T42" s="1">
        <f>SUM(OSRRefT22_3x_0)</f>
        <v>0</v>
      </c>
      <c r="U42" s="1"/>
      <c r="V42" s="5">
        <f t="shared" si="21"/>
        <v>0</v>
      </c>
      <c r="W42" s="1"/>
      <c r="X42" s="1">
        <f t="shared" si="22"/>
        <v>1043.81</v>
      </c>
      <c r="Y42" s="1"/>
      <c r="Z42" s="5">
        <f t="shared" si="23"/>
        <v>0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6">
        <v>429.18</v>
      </c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429.18</v>
      </c>
      <c r="M43" s="2"/>
      <c r="N43" s="7">
        <f t="shared" si="19"/>
        <v>0</v>
      </c>
      <c r="O43" s="11"/>
      <c r="P43" s="6">
        <v>1043.81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1043.81</v>
      </c>
      <c r="Y43" s="2"/>
      <c r="Z43" s="7">
        <f t="shared" si="23"/>
        <v>0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SUM(OSRRefD22_4x_0)</f>
        <v>7041.25</v>
      </c>
      <c r="E44" s="1"/>
      <c r="F44" s="5">
        <f t="shared" si="16"/>
        <v>0</v>
      </c>
      <c r="G44" s="1"/>
      <c r="H44" s="1">
        <f>SUM(OSRRefH22_4x_0)</f>
        <v>7006</v>
      </c>
      <c r="I44" s="1"/>
      <c r="J44" s="5">
        <f t="shared" si="17"/>
        <v>0</v>
      </c>
      <c r="K44" s="1"/>
      <c r="L44" s="1">
        <f t="shared" si="18"/>
        <v>35.25</v>
      </c>
      <c r="M44" s="1"/>
      <c r="N44" s="5">
        <f t="shared" si="19"/>
        <v>5.0314016557236651E-3</v>
      </c>
      <c r="O44" s="14"/>
      <c r="P44" s="1">
        <f>SUM(OSRRefP22_4x_0)</f>
        <v>21123.77</v>
      </c>
      <c r="Q44" s="1"/>
      <c r="R44" s="5">
        <f t="shared" si="20"/>
        <v>0</v>
      </c>
      <c r="S44" s="1"/>
      <c r="T44" s="1">
        <f>SUM(OSRRefT22_4x_0)</f>
        <v>21018</v>
      </c>
      <c r="U44" s="1"/>
      <c r="V44" s="5">
        <f t="shared" si="21"/>
        <v>0</v>
      </c>
      <c r="W44" s="1"/>
      <c r="X44" s="1">
        <f t="shared" si="22"/>
        <v>105.77000000000044</v>
      </c>
      <c r="Y44" s="1"/>
      <c r="Z44" s="5">
        <f t="shared" si="23"/>
        <v>5.0323532210486454E-3</v>
      </c>
    </row>
    <row r="45" spans="1:26" s="24" customFormat="1" hidden="1" outlineLevel="2" x14ac:dyDescent="0.25">
      <c r="A45" s="29"/>
      <c r="B45" s="11" t="str">
        <f>CONCATENATE("          ", "6321", " - ", "BUILDING DEPRECIATION")</f>
        <v xml:space="preserve">          6321 - BUILDING DEPRECIATION</v>
      </c>
      <c r="C45" s="11"/>
      <c r="D45" s="6">
        <v>2084.0700000000002</v>
      </c>
      <c r="E45" s="2"/>
      <c r="F45" s="7">
        <f t="shared" si="16"/>
        <v>0</v>
      </c>
      <c r="G45" s="2"/>
      <c r="H45" s="6"/>
      <c r="I45" s="2"/>
      <c r="J45" s="7">
        <f t="shared" si="17"/>
        <v>0</v>
      </c>
      <c r="K45" s="2"/>
      <c r="L45" s="6">
        <f t="shared" si="18"/>
        <v>2084.0700000000002</v>
      </c>
      <c r="M45" s="2"/>
      <c r="N45" s="7">
        <f t="shared" si="19"/>
        <v>0</v>
      </c>
      <c r="O45" s="11"/>
      <c r="P45" s="6">
        <v>6252.23</v>
      </c>
      <c r="Q45" s="2"/>
      <c r="R45" s="7">
        <f t="shared" si="20"/>
        <v>0</v>
      </c>
      <c r="S45" s="2"/>
      <c r="T45" s="6"/>
      <c r="U45" s="2"/>
      <c r="V45" s="7">
        <f t="shared" si="21"/>
        <v>0</v>
      </c>
      <c r="W45" s="2"/>
      <c r="X45" s="6">
        <f t="shared" si="22"/>
        <v>6252.23</v>
      </c>
      <c r="Y45" s="2"/>
      <c r="Z45" s="7">
        <f t="shared" si="23"/>
        <v>0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4957.18</v>
      </c>
      <c r="E46" s="2"/>
      <c r="F46" s="7">
        <f t="shared" si="16"/>
        <v>0</v>
      </c>
      <c r="G46" s="2"/>
      <c r="H46" s="6">
        <v>7006</v>
      </c>
      <c r="I46" s="2"/>
      <c r="J46" s="7">
        <f t="shared" si="17"/>
        <v>0</v>
      </c>
      <c r="K46" s="2"/>
      <c r="L46" s="6">
        <f t="shared" si="18"/>
        <v>-2048.8199999999997</v>
      </c>
      <c r="M46" s="2"/>
      <c r="N46" s="7">
        <f t="shared" si="19"/>
        <v>-0.29243791036254635</v>
      </c>
      <c r="O46" s="11"/>
      <c r="P46" s="6">
        <v>14871.54</v>
      </c>
      <c r="Q46" s="2"/>
      <c r="R46" s="7">
        <f t="shared" si="20"/>
        <v>0</v>
      </c>
      <c r="S46" s="2"/>
      <c r="T46" s="6">
        <v>21018</v>
      </c>
      <c r="U46" s="2"/>
      <c r="V46" s="7">
        <f t="shared" si="21"/>
        <v>0</v>
      </c>
      <c r="W46" s="2"/>
      <c r="X46" s="6">
        <f t="shared" si="22"/>
        <v>-6146.4599999999991</v>
      </c>
      <c r="Y46" s="2"/>
      <c r="Z46" s="7">
        <f t="shared" si="23"/>
        <v>-0.29243791036254635</v>
      </c>
    </row>
    <row r="47" spans="1:26" s="28" customFormat="1" outlineLevel="1" collapsed="1" x14ac:dyDescent="0.2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SUM(OSRRefD22_5x_0)</f>
        <v>91.26</v>
      </c>
      <c r="E47" s="1"/>
      <c r="F47" s="5">
        <f t="shared" ref="F47:F55" si="24">IF(D$12=0,0,D47/D$12)</f>
        <v>0</v>
      </c>
      <c r="G47" s="1"/>
      <c r="H47" s="1">
        <f>SUM(OSRRefH22_5x_0)</f>
        <v>0</v>
      </c>
      <c r="I47" s="1"/>
      <c r="J47" s="5">
        <f t="shared" ref="J47:J55" si="25">IF(H$12=0,0,H47/H$12)</f>
        <v>0</v>
      </c>
      <c r="K47" s="1"/>
      <c r="L47" s="1">
        <f t="shared" ref="L47:L55" si="26">+D47-H47</f>
        <v>91.26</v>
      </c>
      <c r="M47" s="1"/>
      <c r="N47" s="5">
        <f t="shared" ref="N47:N55" si="27">IF(H47=0,0,L47/H47)</f>
        <v>0</v>
      </c>
      <c r="O47" s="14"/>
      <c r="P47" s="1">
        <f>SUM(OSRRefP22_5x_0)</f>
        <v>601.88</v>
      </c>
      <c r="Q47" s="1"/>
      <c r="R47" s="5">
        <f t="shared" ref="R47:R55" si="28">IF(P$12=0,0,P47/P$12)</f>
        <v>0</v>
      </c>
      <c r="S47" s="1"/>
      <c r="T47" s="1">
        <f>SUM(OSRRefT22_5x_0)</f>
        <v>0</v>
      </c>
      <c r="U47" s="1"/>
      <c r="V47" s="5">
        <f t="shared" ref="V47:V55" si="29">IF(T$12=0,0,T47/T$12)</f>
        <v>0</v>
      </c>
      <c r="W47" s="1"/>
      <c r="X47" s="1">
        <f t="shared" ref="X47:X55" si="30">+P47-T47</f>
        <v>601.88</v>
      </c>
      <c r="Y47" s="1"/>
      <c r="Z47" s="5">
        <f t="shared" ref="Z47:Z55" si="31">IF(T47=0,0,X47/T47)</f>
        <v>0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6">
        <v>91.26</v>
      </c>
      <c r="E48" s="2"/>
      <c r="F48" s="7">
        <f t="shared" si="24"/>
        <v>0</v>
      </c>
      <c r="G48" s="2"/>
      <c r="H48" s="6">
        <v>0</v>
      </c>
      <c r="I48" s="2"/>
      <c r="J48" s="7">
        <f t="shared" si="25"/>
        <v>0</v>
      </c>
      <c r="K48" s="2"/>
      <c r="L48" s="6">
        <f t="shared" si="26"/>
        <v>91.26</v>
      </c>
      <c r="M48" s="2"/>
      <c r="N48" s="7">
        <f t="shared" si="27"/>
        <v>0</v>
      </c>
      <c r="O48" s="11"/>
      <c r="P48" s="6">
        <v>601.88</v>
      </c>
      <c r="Q48" s="2"/>
      <c r="R48" s="7">
        <f t="shared" si="28"/>
        <v>0</v>
      </c>
      <c r="S48" s="2"/>
      <c r="T48" s="6">
        <v>0</v>
      </c>
      <c r="U48" s="2"/>
      <c r="V48" s="7">
        <f t="shared" si="29"/>
        <v>0</v>
      </c>
      <c r="W48" s="2"/>
      <c r="X48" s="6">
        <f t="shared" si="30"/>
        <v>601.88</v>
      </c>
      <c r="Y48" s="2"/>
      <c r="Z48" s="7">
        <f t="shared" si="31"/>
        <v>0</v>
      </c>
    </row>
    <row r="49" spans="1:26" s="28" customFormat="1" outlineLevel="1" collapsed="1" x14ac:dyDescent="0.25">
      <c r="A49" s="27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-5.41</v>
      </c>
      <c r="E49" s="1"/>
      <c r="F49" s="5">
        <f t="shared" si="24"/>
        <v>0</v>
      </c>
      <c r="G49" s="1"/>
      <c r="H49" s="1">
        <f>SUM(OSRRefH22_6x_0)</f>
        <v>0</v>
      </c>
      <c r="I49" s="1"/>
      <c r="J49" s="5">
        <f t="shared" si="25"/>
        <v>0</v>
      </c>
      <c r="K49" s="1"/>
      <c r="L49" s="1">
        <f t="shared" si="26"/>
        <v>-5.41</v>
      </c>
      <c r="M49" s="1"/>
      <c r="N49" s="5">
        <f t="shared" si="27"/>
        <v>0</v>
      </c>
      <c r="O49" s="14"/>
      <c r="P49" s="1">
        <f>SUM(OSRRefP22_6x_0)</f>
        <v>-5.41</v>
      </c>
      <c r="Q49" s="1"/>
      <c r="R49" s="5">
        <f t="shared" si="28"/>
        <v>0</v>
      </c>
      <c r="S49" s="1"/>
      <c r="T49" s="1">
        <f>SUM(OSRRefT22_6x_0)</f>
        <v>0</v>
      </c>
      <c r="U49" s="1"/>
      <c r="V49" s="5">
        <f t="shared" si="29"/>
        <v>0</v>
      </c>
      <c r="W49" s="1"/>
      <c r="X49" s="1">
        <f t="shared" si="30"/>
        <v>-5.41</v>
      </c>
      <c r="Y49" s="1"/>
      <c r="Z49" s="5">
        <f t="shared" si="31"/>
        <v>0</v>
      </c>
    </row>
    <row r="50" spans="1:26" s="24" customFormat="1" hidden="1" outlineLevel="2" x14ac:dyDescent="0.25">
      <c r="A50" s="29"/>
      <c r="B50" s="11" t="str">
        <f>CONCATENATE("          ", "6307", " - ", "POSTAGE")</f>
        <v xml:space="preserve">          6307 - POSTAGE</v>
      </c>
      <c r="C50" s="11"/>
      <c r="D50" s="6">
        <v>-5.41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-5.41</v>
      </c>
      <c r="M50" s="2"/>
      <c r="N50" s="7">
        <f t="shared" si="27"/>
        <v>0</v>
      </c>
      <c r="O50" s="11"/>
      <c r="P50" s="6">
        <v>-5.41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-5.41</v>
      </c>
      <c r="Y50" s="2"/>
      <c r="Z50" s="7">
        <f t="shared" si="31"/>
        <v>0</v>
      </c>
    </row>
    <row r="51" spans="1:26" s="28" customFormat="1" outlineLevel="1" collapsed="1" x14ac:dyDescent="0.25">
      <c r="A51" s="27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SUM(OSRRefD22_7x_0)</f>
        <v>3598.85</v>
      </c>
      <c r="E51" s="1"/>
      <c r="F51" s="5">
        <f t="shared" si="24"/>
        <v>0</v>
      </c>
      <c r="G51" s="1"/>
      <c r="H51" s="1">
        <f>SUM(OSRRefH22_7x_0)</f>
        <v>3860</v>
      </c>
      <c r="I51" s="1"/>
      <c r="J51" s="5">
        <f t="shared" si="25"/>
        <v>0</v>
      </c>
      <c r="K51" s="1"/>
      <c r="L51" s="1">
        <f t="shared" si="26"/>
        <v>-261.15000000000009</v>
      </c>
      <c r="M51" s="1"/>
      <c r="N51" s="5">
        <f t="shared" si="27"/>
        <v>-6.76554404145078E-2</v>
      </c>
      <c r="O51" s="14"/>
      <c r="P51" s="1">
        <f>SUM(OSRRefP22_7x_0)</f>
        <v>10796.55</v>
      </c>
      <c r="Q51" s="1"/>
      <c r="R51" s="5">
        <f t="shared" si="28"/>
        <v>0</v>
      </c>
      <c r="S51" s="1"/>
      <c r="T51" s="1">
        <f>SUM(OSRRefT22_7x_0)</f>
        <v>11580</v>
      </c>
      <c r="U51" s="1"/>
      <c r="V51" s="5">
        <f t="shared" si="29"/>
        <v>0</v>
      </c>
      <c r="W51" s="1"/>
      <c r="X51" s="1">
        <f t="shared" si="30"/>
        <v>-783.45000000000073</v>
      </c>
      <c r="Y51" s="1"/>
      <c r="Z51" s="5">
        <f t="shared" si="31"/>
        <v>-6.7655440414507828E-2</v>
      </c>
    </row>
    <row r="52" spans="1:26" s="24" customFormat="1" hidden="1" outlineLevel="2" x14ac:dyDescent="0.25">
      <c r="A52" s="29"/>
      <c r="B52" s="11" t="str">
        <f>CONCATENATE("          ", "6314", " - ", "LIABILITY INSURANCE")</f>
        <v xml:space="preserve">          6314 - LIABILITY INSURANCE</v>
      </c>
      <c r="C52" s="11"/>
      <c r="D52" s="6">
        <v>3598.85</v>
      </c>
      <c r="E52" s="2"/>
      <c r="F52" s="7">
        <f t="shared" si="24"/>
        <v>0</v>
      </c>
      <c r="G52" s="2"/>
      <c r="H52" s="6">
        <v>3860</v>
      </c>
      <c r="I52" s="2"/>
      <c r="J52" s="7">
        <f t="shared" si="25"/>
        <v>0</v>
      </c>
      <c r="K52" s="2"/>
      <c r="L52" s="6">
        <f t="shared" si="26"/>
        <v>-261.15000000000009</v>
      </c>
      <c r="M52" s="2"/>
      <c r="N52" s="7">
        <f t="shared" si="27"/>
        <v>-6.76554404145078E-2</v>
      </c>
      <c r="O52" s="11"/>
      <c r="P52" s="6">
        <v>10796.55</v>
      </c>
      <c r="Q52" s="2"/>
      <c r="R52" s="7">
        <f t="shared" si="28"/>
        <v>0</v>
      </c>
      <c r="S52" s="2"/>
      <c r="T52" s="6">
        <v>11580</v>
      </c>
      <c r="U52" s="2"/>
      <c r="V52" s="7">
        <f t="shared" si="29"/>
        <v>0</v>
      </c>
      <c r="W52" s="2"/>
      <c r="X52" s="6">
        <f t="shared" si="30"/>
        <v>-783.45000000000073</v>
      </c>
      <c r="Y52" s="2"/>
      <c r="Z52" s="7">
        <f t="shared" si="31"/>
        <v>-6.7655440414507828E-2</v>
      </c>
    </row>
    <row r="53" spans="1:26" s="28" customFormat="1" outlineLevel="1" collapsed="1" x14ac:dyDescent="0.25">
      <c r="A53" s="27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85.95</v>
      </c>
      <c r="E53" s="1"/>
      <c r="F53" s="5">
        <f t="shared" si="24"/>
        <v>0</v>
      </c>
      <c r="G53" s="1"/>
      <c r="H53" s="1">
        <f>SUM(OSRRefH22_8x_0)</f>
        <v>0</v>
      </c>
      <c r="I53" s="1"/>
      <c r="J53" s="5">
        <f t="shared" si="25"/>
        <v>0</v>
      </c>
      <c r="K53" s="1"/>
      <c r="L53" s="1">
        <f t="shared" si="26"/>
        <v>85.95</v>
      </c>
      <c r="M53" s="1"/>
      <c r="N53" s="5">
        <f t="shared" si="27"/>
        <v>0</v>
      </c>
      <c r="O53" s="14"/>
      <c r="P53" s="1">
        <f>SUM(OSRRefP22_8x_0)</f>
        <v>829.32</v>
      </c>
      <c r="Q53" s="1"/>
      <c r="R53" s="5">
        <f t="shared" si="28"/>
        <v>0</v>
      </c>
      <c r="S53" s="1"/>
      <c r="T53" s="1">
        <f>SUM(OSRRefT22_8x_0)</f>
        <v>0</v>
      </c>
      <c r="U53" s="1"/>
      <c r="V53" s="5">
        <f t="shared" si="29"/>
        <v>0</v>
      </c>
      <c r="W53" s="1"/>
      <c r="X53" s="1">
        <f t="shared" si="30"/>
        <v>829.32</v>
      </c>
      <c r="Y53" s="1"/>
      <c r="Z53" s="5">
        <f t="shared" si="31"/>
        <v>0</v>
      </c>
    </row>
    <row r="54" spans="1:26" s="24" customFormat="1" hidden="1" outlineLevel="2" x14ac:dyDescent="0.25">
      <c r="A54" s="29"/>
      <c r="B54" s="11" t="str">
        <f>CONCATENATE("          ", "6373", " - ", "MAINTENANCE CONTRACTS")</f>
        <v xml:space="preserve">          6373 - MAINTENANCE CONTRACTS</v>
      </c>
      <c r="C54" s="11"/>
      <c r="D54" s="6">
        <v>85.95</v>
      </c>
      <c r="E54" s="2"/>
      <c r="F54" s="7">
        <f t="shared" si="24"/>
        <v>0</v>
      </c>
      <c r="G54" s="2"/>
      <c r="H54" s="6">
        <v>0</v>
      </c>
      <c r="I54" s="2"/>
      <c r="J54" s="7">
        <f t="shared" si="25"/>
        <v>0</v>
      </c>
      <c r="K54" s="2"/>
      <c r="L54" s="6">
        <f t="shared" si="26"/>
        <v>85.95</v>
      </c>
      <c r="M54" s="2"/>
      <c r="N54" s="7">
        <f t="shared" si="27"/>
        <v>0</v>
      </c>
      <c r="O54" s="11"/>
      <c r="P54" s="6">
        <v>791.86</v>
      </c>
      <c r="Q54" s="2"/>
      <c r="R54" s="7">
        <f t="shared" si="28"/>
        <v>0</v>
      </c>
      <c r="S54" s="2"/>
      <c r="T54" s="6">
        <v>0</v>
      </c>
      <c r="U54" s="2"/>
      <c r="V54" s="7">
        <f t="shared" si="29"/>
        <v>0</v>
      </c>
      <c r="W54" s="2"/>
      <c r="X54" s="6">
        <f t="shared" si="30"/>
        <v>791.86</v>
      </c>
      <c r="Y54" s="2"/>
      <c r="Z54" s="7">
        <f t="shared" si="31"/>
        <v>0</v>
      </c>
    </row>
    <row r="55" spans="1:26" s="24" customFormat="1" hidden="1" outlineLevel="2" x14ac:dyDescent="0.25">
      <c r="A55" s="29"/>
      <c r="B55" s="11" t="str">
        <f>CONCATENATE("          ", "6375", " - ", "OUTSIDE REPAIRS &amp; MAINTENANCE")</f>
        <v xml:space="preserve">          6375 - OUTSIDE REPAIRS &amp; MAINTENANCE</v>
      </c>
      <c r="C55" s="11"/>
      <c r="D55" s="6"/>
      <c r="E55" s="2"/>
      <c r="F55" s="7">
        <f t="shared" si="24"/>
        <v>0</v>
      </c>
      <c r="G55" s="2"/>
      <c r="H55" s="6">
        <v>0</v>
      </c>
      <c r="I55" s="2"/>
      <c r="J55" s="7">
        <f t="shared" si="25"/>
        <v>0</v>
      </c>
      <c r="K55" s="2"/>
      <c r="L55" s="6">
        <f t="shared" si="26"/>
        <v>0</v>
      </c>
      <c r="M55" s="2"/>
      <c r="N55" s="7">
        <f t="shared" si="27"/>
        <v>0</v>
      </c>
      <c r="O55" s="11"/>
      <c r="P55" s="6">
        <v>37.46</v>
      </c>
      <c r="Q55" s="2"/>
      <c r="R55" s="7">
        <f t="shared" si="28"/>
        <v>0</v>
      </c>
      <c r="S55" s="2"/>
      <c r="T55" s="6">
        <v>0</v>
      </c>
      <c r="U55" s="2"/>
      <c r="V55" s="7">
        <f t="shared" si="29"/>
        <v>0</v>
      </c>
      <c r="W55" s="2"/>
      <c r="X55" s="6">
        <f t="shared" si="30"/>
        <v>37.46</v>
      </c>
      <c r="Y55" s="2"/>
      <c r="Z55" s="7">
        <f t="shared" si="31"/>
        <v>0</v>
      </c>
    </row>
    <row r="56" spans="1:26" s="28" customFormat="1" outlineLevel="1" collapsed="1" x14ac:dyDescent="0.25">
      <c r="A56" s="27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SUM(OSRRefD22_9x_0)</f>
        <v>0</v>
      </c>
      <c r="E56" s="1"/>
      <c r="F56" s="5">
        <f t="shared" ref="F56:F60" si="32">IF(D$12=0,0,D56/D$12)</f>
        <v>0</v>
      </c>
      <c r="G56" s="1"/>
      <c r="H56" s="1">
        <f>SUM(OSRRefH22_9x_0)</f>
        <v>3126</v>
      </c>
      <c r="I56" s="1"/>
      <c r="J56" s="5">
        <f t="shared" ref="J56:J60" si="33">IF(H$12=0,0,H56/H$12)</f>
        <v>0</v>
      </c>
      <c r="K56" s="1"/>
      <c r="L56" s="1">
        <f t="shared" ref="L56:L60" si="34">+D56-H56</f>
        <v>-3126</v>
      </c>
      <c r="M56" s="1"/>
      <c r="N56" s="5">
        <f t="shared" ref="N56:N60" si="35">IF(H56=0,0,L56/H56)</f>
        <v>-1</v>
      </c>
      <c r="O56" s="14"/>
      <c r="P56" s="1">
        <f>SUM(OSRRefP22_9x_0)</f>
        <v>0</v>
      </c>
      <c r="Q56" s="1"/>
      <c r="R56" s="5">
        <f t="shared" ref="R56:R60" si="36">IF(P$12=0,0,P56/P$12)</f>
        <v>0</v>
      </c>
      <c r="S56" s="1"/>
      <c r="T56" s="1">
        <f>SUM(OSRRefT22_9x_0)</f>
        <v>7178</v>
      </c>
      <c r="U56" s="1"/>
      <c r="V56" s="5">
        <f t="shared" ref="V56:V60" si="37">IF(T$12=0,0,T56/T$12)</f>
        <v>0</v>
      </c>
      <c r="W56" s="1"/>
      <c r="X56" s="1">
        <f t="shared" ref="X56:X60" si="38">+P56-T56</f>
        <v>-7178</v>
      </c>
      <c r="Y56" s="1"/>
      <c r="Z56" s="5">
        <f t="shared" ref="Z56:Z60" si="39">IF(T56=0,0,X56/T56)</f>
        <v>-1</v>
      </c>
    </row>
    <row r="57" spans="1:26" s="24" customFormat="1" hidden="1" outlineLevel="2" x14ac:dyDescent="0.25">
      <c r="A57" s="29"/>
      <c r="B57" s="11" t="str">
        <f>CONCATENATE("          ", "6282", " - ", "JANITORIAL/EXTERMINATOR EXPENS")</f>
        <v xml:space="preserve">          6282 - JANITORIAL/EXTERMINATOR EXPENS</v>
      </c>
      <c r="C57" s="11"/>
      <c r="D57" s="6"/>
      <c r="E57" s="2"/>
      <c r="F57" s="7">
        <f t="shared" si="32"/>
        <v>0</v>
      </c>
      <c r="G57" s="2"/>
      <c r="H57" s="6">
        <v>626</v>
      </c>
      <c r="I57" s="2"/>
      <c r="J57" s="7">
        <f t="shared" si="33"/>
        <v>0</v>
      </c>
      <c r="K57" s="2"/>
      <c r="L57" s="6">
        <f t="shared" si="34"/>
        <v>-626</v>
      </c>
      <c r="M57" s="2"/>
      <c r="N57" s="7">
        <f t="shared" si="35"/>
        <v>-1</v>
      </c>
      <c r="O57" s="11"/>
      <c r="P57" s="6"/>
      <c r="Q57" s="2"/>
      <c r="R57" s="7">
        <f t="shared" si="36"/>
        <v>0</v>
      </c>
      <c r="S57" s="2"/>
      <c r="T57" s="6">
        <v>1878</v>
      </c>
      <c r="U57" s="2"/>
      <c r="V57" s="7">
        <f t="shared" si="37"/>
        <v>0</v>
      </c>
      <c r="W57" s="2"/>
      <c r="X57" s="6">
        <f t="shared" si="38"/>
        <v>-1878</v>
      </c>
      <c r="Y57" s="2"/>
      <c r="Z57" s="7">
        <f t="shared" si="39"/>
        <v>-1</v>
      </c>
    </row>
    <row r="58" spans="1:26" s="24" customFormat="1" hidden="1" outlineLevel="2" x14ac:dyDescent="0.25">
      <c r="A58" s="29"/>
      <c r="B58" s="11" t="str">
        <f>CONCATENATE("          ", "6283", " - ", "PLANT SERVICE")</f>
        <v xml:space="preserve">          6283 - PLANT SERVICE</v>
      </c>
      <c r="C58" s="11"/>
      <c r="D58" s="6"/>
      <c r="E58" s="2"/>
      <c r="F58" s="7">
        <f t="shared" si="32"/>
        <v>0</v>
      </c>
      <c r="G58" s="2"/>
      <c r="H58" s="6">
        <v>0</v>
      </c>
      <c r="I58" s="2"/>
      <c r="J58" s="7">
        <f t="shared" si="33"/>
        <v>0</v>
      </c>
      <c r="K58" s="2"/>
      <c r="L58" s="6">
        <f t="shared" si="34"/>
        <v>0</v>
      </c>
      <c r="M58" s="2"/>
      <c r="N58" s="7">
        <f t="shared" si="35"/>
        <v>0</v>
      </c>
      <c r="O58" s="11"/>
      <c r="P58" s="6"/>
      <c r="Q58" s="2"/>
      <c r="R58" s="7">
        <f t="shared" si="36"/>
        <v>0</v>
      </c>
      <c r="S58" s="2"/>
      <c r="T58" s="6">
        <v>0</v>
      </c>
      <c r="U58" s="2"/>
      <c r="V58" s="7">
        <f t="shared" si="37"/>
        <v>0</v>
      </c>
      <c r="W58" s="2"/>
      <c r="X58" s="6">
        <f t="shared" si="38"/>
        <v>0</v>
      </c>
      <c r="Y58" s="2"/>
      <c r="Z58" s="7">
        <f t="shared" si="39"/>
        <v>0</v>
      </c>
    </row>
    <row r="59" spans="1:26" s="24" customFormat="1" hidden="1" outlineLevel="2" x14ac:dyDescent="0.25">
      <c r="A59" s="29"/>
      <c r="B59" s="11" t="str">
        <f>CONCATENATE("          ", "6284", " - ", "TRASH REMOVAL EXPENSE")</f>
        <v xml:space="preserve">          6284 - TRASH REMOVAL EXPENSE</v>
      </c>
      <c r="C59" s="11"/>
      <c r="D59" s="6"/>
      <c r="E59" s="2"/>
      <c r="F59" s="7">
        <f t="shared" si="32"/>
        <v>0</v>
      </c>
      <c r="G59" s="2"/>
      <c r="H59" s="6">
        <v>2500</v>
      </c>
      <c r="I59" s="2"/>
      <c r="J59" s="7">
        <f t="shared" si="33"/>
        <v>0</v>
      </c>
      <c r="K59" s="2"/>
      <c r="L59" s="6">
        <f t="shared" si="34"/>
        <v>-2500</v>
      </c>
      <c r="M59" s="2"/>
      <c r="N59" s="7">
        <f t="shared" si="35"/>
        <v>-1</v>
      </c>
      <c r="O59" s="11"/>
      <c r="P59" s="6"/>
      <c r="Q59" s="2"/>
      <c r="R59" s="7">
        <f t="shared" si="36"/>
        <v>0</v>
      </c>
      <c r="S59" s="2"/>
      <c r="T59" s="6">
        <v>5300</v>
      </c>
      <c r="U59" s="2"/>
      <c r="V59" s="7">
        <f t="shared" si="37"/>
        <v>0</v>
      </c>
      <c r="W59" s="2"/>
      <c r="X59" s="6">
        <f t="shared" si="38"/>
        <v>-5300</v>
      </c>
      <c r="Y59" s="2"/>
      <c r="Z59" s="7">
        <f t="shared" si="39"/>
        <v>-1</v>
      </c>
    </row>
    <row r="60" spans="1:26" s="24" customFormat="1" hidden="1" outlineLevel="2" x14ac:dyDescent="0.25">
      <c r="A60" s="29"/>
      <c r="B60" s="11" t="str">
        <f>CONCATENATE("          ", "6285", " - ", "JANITORIAL SERVICES")</f>
        <v xml:space="preserve">          6285 - JANITORIAL SERVICES</v>
      </c>
      <c r="C60" s="11"/>
      <c r="D60" s="6"/>
      <c r="E60" s="2"/>
      <c r="F60" s="7">
        <f t="shared" si="32"/>
        <v>0</v>
      </c>
      <c r="G60" s="2"/>
      <c r="H60" s="6">
        <v>0</v>
      </c>
      <c r="I60" s="2"/>
      <c r="J60" s="7">
        <f t="shared" si="33"/>
        <v>0</v>
      </c>
      <c r="K60" s="2"/>
      <c r="L60" s="6">
        <f t="shared" si="34"/>
        <v>0</v>
      </c>
      <c r="M60" s="2"/>
      <c r="N60" s="7">
        <f t="shared" si="35"/>
        <v>0</v>
      </c>
      <c r="O60" s="11"/>
      <c r="P60" s="6"/>
      <c r="Q60" s="2"/>
      <c r="R60" s="7">
        <f t="shared" si="36"/>
        <v>0</v>
      </c>
      <c r="S60" s="2"/>
      <c r="T60" s="6">
        <v>0</v>
      </c>
      <c r="U60" s="2"/>
      <c r="V60" s="7">
        <f t="shared" si="37"/>
        <v>0</v>
      </c>
      <c r="W60" s="2"/>
      <c r="X60" s="6">
        <f t="shared" si="38"/>
        <v>0</v>
      </c>
      <c r="Y60" s="2"/>
      <c r="Z60" s="7">
        <f t="shared" si="39"/>
        <v>0</v>
      </c>
    </row>
    <row r="61" spans="1:26" s="28" customFormat="1" outlineLevel="1" collapsed="1" x14ac:dyDescent="0.25">
      <c r="A61" s="27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SUM(OSRRefD22_10x_0)</f>
        <v>127.89</v>
      </c>
      <c r="E61" s="1"/>
      <c r="F61" s="5">
        <f t="shared" ref="F61:F68" si="40">IF(D$12=0,0,D61/D$12)</f>
        <v>0</v>
      </c>
      <c r="G61" s="1"/>
      <c r="H61" s="1">
        <f>SUM(OSRRefH22_10x_0)</f>
        <v>0</v>
      </c>
      <c r="I61" s="1"/>
      <c r="J61" s="5">
        <f t="shared" ref="J61:J68" si="41">IF(H$12=0,0,H61/H$12)</f>
        <v>0</v>
      </c>
      <c r="K61" s="1"/>
      <c r="L61" s="1">
        <f t="shared" ref="L61:L68" si="42">+D61-H61</f>
        <v>127.89</v>
      </c>
      <c r="M61" s="1"/>
      <c r="N61" s="5">
        <f t="shared" ref="N61:N68" si="43">IF(H61=0,0,L61/H61)</f>
        <v>0</v>
      </c>
      <c r="O61" s="14"/>
      <c r="P61" s="1">
        <f>SUM(OSRRefP22_10x_0)</f>
        <v>-29072.879999999997</v>
      </c>
      <c r="Q61" s="1"/>
      <c r="R61" s="5">
        <f t="shared" ref="R61:R68" si="44">IF(P$12=0,0,P61/P$12)</f>
        <v>0</v>
      </c>
      <c r="S61" s="1"/>
      <c r="T61" s="1">
        <f>SUM(OSRRefT22_10x_0)</f>
        <v>0</v>
      </c>
      <c r="U61" s="1"/>
      <c r="V61" s="5">
        <f t="shared" ref="V61:V68" si="45">IF(T$12=0,0,T61/T$12)</f>
        <v>0</v>
      </c>
      <c r="W61" s="1"/>
      <c r="X61" s="1">
        <f t="shared" ref="X61:X68" si="46">+P61-T61</f>
        <v>-29072.879999999997</v>
      </c>
      <c r="Y61" s="1"/>
      <c r="Z61" s="5">
        <f t="shared" ref="Z61:Z68" si="47">IF(T61=0,0,X61/T61)</f>
        <v>0</v>
      </c>
    </row>
    <row r="62" spans="1:26" s="24" customFormat="1" hidden="1" outlineLevel="2" x14ac:dyDescent="0.25">
      <c r="A62" s="29"/>
      <c r="B62" s="11" t="str">
        <f>CONCATENATE("          ", "6235", " - ", "COVID-19 EXPENSES")</f>
        <v xml:space="preserve">          6235 - COVID-19 EXPENSES</v>
      </c>
      <c r="C62" s="11"/>
      <c r="D62" s="6">
        <v>127.89</v>
      </c>
      <c r="E62" s="2"/>
      <c r="F62" s="7">
        <f t="shared" si="40"/>
        <v>0</v>
      </c>
      <c r="G62" s="2"/>
      <c r="H62" s="6"/>
      <c r="I62" s="2"/>
      <c r="J62" s="7">
        <f t="shared" si="41"/>
        <v>0</v>
      </c>
      <c r="K62" s="2"/>
      <c r="L62" s="6">
        <f t="shared" si="42"/>
        <v>127.89</v>
      </c>
      <c r="M62" s="2"/>
      <c r="N62" s="7">
        <f t="shared" si="43"/>
        <v>0</v>
      </c>
      <c r="O62" s="11"/>
      <c r="P62" s="6">
        <v>127.89</v>
      </c>
      <c r="Q62" s="2"/>
      <c r="R62" s="7">
        <f t="shared" si="44"/>
        <v>0</v>
      </c>
      <c r="S62" s="2"/>
      <c r="T62" s="6">
        <v>0</v>
      </c>
      <c r="U62" s="2"/>
      <c r="V62" s="7">
        <f t="shared" si="45"/>
        <v>0</v>
      </c>
      <c r="W62" s="2"/>
      <c r="X62" s="6">
        <f t="shared" si="46"/>
        <v>127.89</v>
      </c>
      <c r="Y62" s="2"/>
      <c r="Z62" s="7">
        <f t="shared" si="47"/>
        <v>0</v>
      </c>
    </row>
    <row r="63" spans="1:26" s="24" customFormat="1" hidden="1" outlineLevel="2" x14ac:dyDescent="0.25">
      <c r="A63" s="29"/>
      <c r="B63" s="11" t="str">
        <f>CONCATENATE("          ", "6237", " - ", "JANITORIAL SUPPLIES")</f>
        <v xml:space="preserve">          6237 - JANITORIAL SUPPLIES</v>
      </c>
      <c r="C63" s="11"/>
      <c r="D63" s="6"/>
      <c r="E63" s="2"/>
      <c r="F63" s="7">
        <f t="shared" si="40"/>
        <v>0</v>
      </c>
      <c r="G63" s="2"/>
      <c r="H63" s="6">
        <v>0</v>
      </c>
      <c r="I63" s="2"/>
      <c r="J63" s="7">
        <f t="shared" si="41"/>
        <v>0</v>
      </c>
      <c r="K63" s="2"/>
      <c r="L63" s="6">
        <f t="shared" si="42"/>
        <v>0</v>
      </c>
      <c r="M63" s="2"/>
      <c r="N63" s="7">
        <f t="shared" si="43"/>
        <v>0</v>
      </c>
      <c r="O63" s="11"/>
      <c r="P63" s="6"/>
      <c r="Q63" s="2"/>
      <c r="R63" s="7">
        <f t="shared" si="44"/>
        <v>0</v>
      </c>
      <c r="S63" s="2"/>
      <c r="T63" s="6">
        <v>0</v>
      </c>
      <c r="U63" s="2"/>
      <c r="V63" s="7">
        <f t="shared" si="45"/>
        <v>0</v>
      </c>
      <c r="W63" s="2"/>
      <c r="X63" s="6">
        <f t="shared" si="46"/>
        <v>0</v>
      </c>
      <c r="Y63" s="2"/>
      <c r="Z63" s="7">
        <f t="shared" si="47"/>
        <v>0</v>
      </c>
    </row>
    <row r="64" spans="1:26" s="24" customFormat="1" hidden="1" outlineLevel="2" x14ac:dyDescent="0.25">
      <c r="A64" s="29"/>
      <c r="B64" s="11" t="str">
        <f>CONCATENATE("          ", "6239", " - ", "KITCHEN SUPPLIES")</f>
        <v xml:space="preserve">          6239 - KITCHEN SUPPLIES</v>
      </c>
      <c r="C64" s="11"/>
      <c r="D64" s="6"/>
      <c r="E64" s="2"/>
      <c r="F64" s="7">
        <f t="shared" si="40"/>
        <v>0</v>
      </c>
      <c r="G64" s="2"/>
      <c r="H64" s="6">
        <v>0</v>
      </c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1"/>
      <c r="P64" s="6"/>
      <c r="Q64" s="2"/>
      <c r="R64" s="7">
        <f t="shared" si="44"/>
        <v>0</v>
      </c>
      <c r="S64" s="2"/>
      <c r="T64" s="6">
        <v>0</v>
      </c>
      <c r="U64" s="2"/>
      <c r="V64" s="7">
        <f t="shared" si="45"/>
        <v>0</v>
      </c>
      <c r="W64" s="2"/>
      <c r="X64" s="6">
        <f t="shared" si="46"/>
        <v>0</v>
      </c>
      <c r="Y64" s="2"/>
      <c r="Z64" s="7">
        <f t="shared" si="47"/>
        <v>0</v>
      </c>
    </row>
    <row r="65" spans="1:26" s="24" customFormat="1" hidden="1" outlineLevel="2" x14ac:dyDescent="0.25">
      <c r="A65" s="29"/>
      <c r="B65" s="11" t="str">
        <f>CONCATENATE("          ", "6241", " - ", "OFFICE EXPENSE")</f>
        <v xml:space="preserve">          6241 - OFFICE EXPENSE</v>
      </c>
      <c r="C65" s="11"/>
      <c r="D65" s="6"/>
      <c r="E65" s="2"/>
      <c r="F65" s="7">
        <f t="shared" si="40"/>
        <v>0</v>
      </c>
      <c r="G65" s="2"/>
      <c r="H65" s="6">
        <v>0</v>
      </c>
      <c r="I65" s="2"/>
      <c r="J65" s="7">
        <f t="shared" si="41"/>
        <v>0</v>
      </c>
      <c r="K65" s="2"/>
      <c r="L65" s="6">
        <f t="shared" si="42"/>
        <v>0</v>
      </c>
      <c r="M65" s="2"/>
      <c r="N65" s="7">
        <f t="shared" si="43"/>
        <v>0</v>
      </c>
      <c r="O65" s="11"/>
      <c r="P65" s="6">
        <v>-29200.769999999997</v>
      </c>
      <c r="Q65" s="2"/>
      <c r="R65" s="7">
        <f t="shared" si="44"/>
        <v>0</v>
      </c>
      <c r="S65" s="2"/>
      <c r="T65" s="6">
        <v>0</v>
      </c>
      <c r="U65" s="2"/>
      <c r="V65" s="7">
        <f t="shared" si="45"/>
        <v>0</v>
      </c>
      <c r="W65" s="2"/>
      <c r="X65" s="6">
        <f t="shared" si="46"/>
        <v>-29200.769999999997</v>
      </c>
      <c r="Y65" s="2"/>
      <c r="Z65" s="7">
        <f t="shared" si="47"/>
        <v>0</v>
      </c>
    </row>
    <row r="66" spans="1:26" s="24" customFormat="1" hidden="1" outlineLevel="2" x14ac:dyDescent="0.25">
      <c r="A66" s="29"/>
      <c r="B66" s="11" t="str">
        <f>CONCATENATE("          ", "6246", " - ", "REPLACEMENTS")</f>
        <v xml:space="preserve">          6246 - REPLACEMENTS</v>
      </c>
      <c r="C66" s="11"/>
      <c r="D66" s="6"/>
      <c r="E66" s="2"/>
      <c r="F66" s="7">
        <f t="shared" si="40"/>
        <v>0</v>
      </c>
      <c r="G66" s="2"/>
      <c r="H66" s="6">
        <v>0</v>
      </c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/>
      <c r="Q66" s="2"/>
      <c r="R66" s="7">
        <f t="shared" si="44"/>
        <v>0</v>
      </c>
      <c r="S66" s="2"/>
      <c r="T66" s="6">
        <v>0</v>
      </c>
      <c r="U66" s="2"/>
      <c r="V66" s="7">
        <f t="shared" si="45"/>
        <v>0</v>
      </c>
      <c r="W66" s="2"/>
      <c r="X66" s="6">
        <f t="shared" si="46"/>
        <v>0</v>
      </c>
      <c r="Y66" s="2"/>
      <c r="Z66" s="7">
        <f t="shared" si="47"/>
        <v>0</v>
      </c>
    </row>
    <row r="67" spans="1:26" s="24" customFormat="1" hidden="1" outlineLevel="2" x14ac:dyDescent="0.25">
      <c r="A67" s="29"/>
      <c r="B67" s="11" t="str">
        <f>CONCATENATE("          ", "6247", " - ", "STORE SUPPLIES")</f>
        <v xml:space="preserve">          6247 - STORE SUPPLIES</v>
      </c>
      <c r="C67" s="11"/>
      <c r="D67" s="6"/>
      <c r="E67" s="2"/>
      <c r="F67" s="7">
        <f t="shared" si="40"/>
        <v>0</v>
      </c>
      <c r="G67" s="2"/>
      <c r="H67" s="6">
        <v>0</v>
      </c>
      <c r="I67" s="2"/>
      <c r="J67" s="7">
        <f t="shared" si="41"/>
        <v>0</v>
      </c>
      <c r="K67" s="2"/>
      <c r="L67" s="6">
        <f t="shared" si="42"/>
        <v>0</v>
      </c>
      <c r="M67" s="2"/>
      <c r="N67" s="7">
        <f t="shared" si="43"/>
        <v>0</v>
      </c>
      <c r="O67" s="11"/>
      <c r="P67" s="6"/>
      <c r="Q67" s="2"/>
      <c r="R67" s="7">
        <f t="shared" si="44"/>
        <v>0</v>
      </c>
      <c r="S67" s="2"/>
      <c r="T67" s="6">
        <v>0</v>
      </c>
      <c r="U67" s="2"/>
      <c r="V67" s="7">
        <f t="shared" si="45"/>
        <v>0</v>
      </c>
      <c r="W67" s="2"/>
      <c r="X67" s="6">
        <f t="shared" si="46"/>
        <v>0</v>
      </c>
      <c r="Y67" s="2"/>
      <c r="Z67" s="7">
        <f t="shared" si="47"/>
        <v>0</v>
      </c>
    </row>
    <row r="68" spans="1:26" s="24" customFormat="1" hidden="1" outlineLevel="2" x14ac:dyDescent="0.25">
      <c r="A68" s="29"/>
      <c r="B68" s="11" t="str">
        <f>CONCATENATE("          ", "6248", " - ", "UNIFORMS")</f>
        <v xml:space="preserve">          6248 - UNIFORMS</v>
      </c>
      <c r="C68" s="11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/>
      <c r="Q68" s="2"/>
      <c r="R68" s="7">
        <f t="shared" si="44"/>
        <v>0</v>
      </c>
      <c r="S68" s="2"/>
      <c r="T68" s="6">
        <v>0</v>
      </c>
      <c r="U68" s="2"/>
      <c r="V68" s="7">
        <f t="shared" si="45"/>
        <v>0</v>
      </c>
      <c r="W68" s="2"/>
      <c r="X68" s="6">
        <f t="shared" si="46"/>
        <v>0</v>
      </c>
      <c r="Y68" s="2"/>
      <c r="Z68" s="7">
        <f t="shared" si="47"/>
        <v>0</v>
      </c>
    </row>
    <row r="69" spans="1:26" s="28" customFormat="1" outlineLevel="1" collapsed="1" x14ac:dyDescent="0.2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SUM(OSRRefD22_11x_0)</f>
        <v>100</v>
      </c>
      <c r="E69" s="1"/>
      <c r="F69" s="5">
        <f t="shared" ref="F69:F74" si="48">IF(D$12=0,0,D69/D$12)</f>
        <v>0</v>
      </c>
      <c r="G69" s="1"/>
      <c r="H69" s="1">
        <f>SUM(OSRRefH22_11x_0)</f>
        <v>50</v>
      </c>
      <c r="I69" s="1"/>
      <c r="J69" s="5">
        <f t="shared" ref="J69:J74" si="49">IF(H$12=0,0,H69/H$12)</f>
        <v>0</v>
      </c>
      <c r="K69" s="1"/>
      <c r="L69" s="1">
        <f t="shared" ref="L69:L74" si="50">+D69-H69</f>
        <v>50</v>
      </c>
      <c r="M69" s="1"/>
      <c r="N69" s="5">
        <f t="shared" ref="N69:N74" si="51">IF(H69=0,0,L69/H69)</f>
        <v>1</v>
      </c>
      <c r="O69" s="14"/>
      <c r="P69" s="1">
        <f>SUM(OSRRefP22_11x_0)</f>
        <v>879.3</v>
      </c>
      <c r="Q69" s="1"/>
      <c r="R69" s="5">
        <f t="shared" ref="R69:R74" si="52">IF(P$12=0,0,P69/P$12)</f>
        <v>0</v>
      </c>
      <c r="S69" s="1"/>
      <c r="T69" s="1">
        <f>SUM(OSRRefT22_11x_0)</f>
        <v>150</v>
      </c>
      <c r="U69" s="1"/>
      <c r="V69" s="5">
        <f t="shared" ref="V69:V74" si="53">IF(T$12=0,0,T69/T$12)</f>
        <v>0</v>
      </c>
      <c r="W69" s="1"/>
      <c r="X69" s="1">
        <f t="shared" ref="X69:X74" si="54">+P69-T69</f>
        <v>729.3</v>
      </c>
      <c r="Y69" s="1"/>
      <c r="Z69" s="5">
        <f t="shared" ref="Z69:Z74" si="55">IF(T69=0,0,X69/T69)</f>
        <v>4.8620000000000001</v>
      </c>
    </row>
    <row r="70" spans="1:26" s="24" customFormat="1" hidden="1" outlineLevel="2" x14ac:dyDescent="0.25">
      <c r="A70" s="29"/>
      <c r="B70" s="11" t="str">
        <f>CONCATENATE("          ", "6309", " - ", "TELEPHONE")</f>
        <v xml:space="preserve">          6309 - TELEPHONE</v>
      </c>
      <c r="C70" s="11"/>
      <c r="D70" s="6">
        <v>100</v>
      </c>
      <c r="E70" s="2"/>
      <c r="F70" s="7">
        <f t="shared" si="48"/>
        <v>0</v>
      </c>
      <c r="G70" s="2"/>
      <c r="H70" s="6">
        <v>50</v>
      </c>
      <c r="I70" s="2"/>
      <c r="J70" s="7">
        <f t="shared" si="49"/>
        <v>0</v>
      </c>
      <c r="K70" s="2"/>
      <c r="L70" s="6">
        <f t="shared" si="50"/>
        <v>50</v>
      </c>
      <c r="M70" s="2"/>
      <c r="N70" s="7">
        <f t="shared" si="51"/>
        <v>1</v>
      </c>
      <c r="O70" s="11"/>
      <c r="P70" s="6">
        <v>879.3</v>
      </c>
      <c r="Q70" s="2"/>
      <c r="R70" s="7">
        <f t="shared" si="52"/>
        <v>0</v>
      </c>
      <c r="S70" s="2"/>
      <c r="T70" s="6">
        <v>150</v>
      </c>
      <c r="U70" s="2"/>
      <c r="V70" s="7">
        <f t="shared" si="53"/>
        <v>0</v>
      </c>
      <c r="W70" s="2"/>
      <c r="X70" s="6">
        <f t="shared" si="54"/>
        <v>729.3</v>
      </c>
      <c r="Y70" s="2"/>
      <c r="Z70" s="7">
        <f t="shared" si="55"/>
        <v>4.8620000000000001</v>
      </c>
    </row>
    <row r="71" spans="1:26" s="28" customFormat="1" outlineLevel="1" collapsed="1" x14ac:dyDescent="0.25">
      <c r="A71" s="27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SUM(OSRRefD22_12x_0)</f>
        <v>152.52000000000001</v>
      </c>
      <c r="E71" s="1"/>
      <c r="F71" s="5">
        <f t="shared" si="48"/>
        <v>0</v>
      </c>
      <c r="G71" s="1"/>
      <c r="H71" s="1">
        <f>SUM(OSRRefH22_12x_0)</f>
        <v>0</v>
      </c>
      <c r="I71" s="1"/>
      <c r="J71" s="5">
        <f t="shared" si="49"/>
        <v>0</v>
      </c>
      <c r="K71" s="1"/>
      <c r="L71" s="1">
        <f t="shared" si="50"/>
        <v>152.52000000000001</v>
      </c>
      <c r="M71" s="1"/>
      <c r="N71" s="5">
        <f t="shared" si="51"/>
        <v>0</v>
      </c>
      <c r="O71" s="14"/>
      <c r="P71" s="1">
        <f>SUM(OSRRefP22_12x_0)</f>
        <v>332.21</v>
      </c>
      <c r="Q71" s="1"/>
      <c r="R71" s="5">
        <f t="shared" si="52"/>
        <v>0</v>
      </c>
      <c r="S71" s="1"/>
      <c r="T71" s="1">
        <f>SUM(OSRRefT22_12x_0)</f>
        <v>0</v>
      </c>
      <c r="U71" s="1"/>
      <c r="V71" s="5">
        <f t="shared" si="53"/>
        <v>0</v>
      </c>
      <c r="W71" s="1"/>
      <c r="X71" s="1">
        <f t="shared" si="54"/>
        <v>332.21</v>
      </c>
      <c r="Y71" s="1"/>
      <c r="Z71" s="5">
        <f t="shared" si="55"/>
        <v>0</v>
      </c>
    </row>
    <row r="72" spans="1:26" s="24" customFormat="1" hidden="1" outlineLevel="2" x14ac:dyDescent="0.25">
      <c r="A72" s="29"/>
      <c r="B72" s="11" t="str">
        <f>CONCATENATE("          ", "6298", " - ", "VEHICLE MILEAGE")</f>
        <v xml:space="preserve">          6298 - VEHICLE MILEAGE</v>
      </c>
      <c r="C72" s="11"/>
      <c r="D72" s="6">
        <v>152.52000000000001</v>
      </c>
      <c r="E72" s="2"/>
      <c r="F72" s="7">
        <f t="shared" si="48"/>
        <v>0</v>
      </c>
      <c r="G72" s="2"/>
      <c r="H72" s="6"/>
      <c r="I72" s="2"/>
      <c r="J72" s="7">
        <f t="shared" si="49"/>
        <v>0</v>
      </c>
      <c r="K72" s="2"/>
      <c r="L72" s="6">
        <f t="shared" si="50"/>
        <v>152.52000000000001</v>
      </c>
      <c r="M72" s="2"/>
      <c r="N72" s="7">
        <f t="shared" si="51"/>
        <v>0</v>
      </c>
      <c r="O72" s="11"/>
      <c r="P72" s="6">
        <v>332.21</v>
      </c>
      <c r="Q72" s="2"/>
      <c r="R72" s="7">
        <f t="shared" si="52"/>
        <v>0</v>
      </c>
      <c r="S72" s="2"/>
      <c r="T72" s="6"/>
      <c r="U72" s="2"/>
      <c r="V72" s="7">
        <f t="shared" si="53"/>
        <v>0</v>
      </c>
      <c r="W72" s="2"/>
      <c r="X72" s="6">
        <f t="shared" si="54"/>
        <v>332.21</v>
      </c>
      <c r="Y72" s="2"/>
      <c r="Z72" s="7">
        <f t="shared" si="55"/>
        <v>0</v>
      </c>
    </row>
    <row r="73" spans="1:26" s="28" customFormat="1" outlineLevel="1" collapsed="1" x14ac:dyDescent="0.25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0</v>
      </c>
      <c r="E73" s="1"/>
      <c r="F73" s="5">
        <f t="shared" si="48"/>
        <v>0</v>
      </c>
      <c r="G73" s="1"/>
      <c r="H73" s="1">
        <f>SUM(OSRRefH22_13x_0)</f>
        <v>1000</v>
      </c>
      <c r="I73" s="1"/>
      <c r="J73" s="5">
        <f t="shared" si="49"/>
        <v>0</v>
      </c>
      <c r="K73" s="1"/>
      <c r="L73" s="1">
        <f t="shared" si="50"/>
        <v>-1000</v>
      </c>
      <c r="M73" s="1"/>
      <c r="N73" s="5">
        <f t="shared" si="51"/>
        <v>-1</v>
      </c>
      <c r="O73" s="14"/>
      <c r="P73" s="1">
        <f>SUM(OSRRefP22_13x_0)</f>
        <v>0</v>
      </c>
      <c r="Q73" s="1"/>
      <c r="R73" s="5">
        <f t="shared" si="52"/>
        <v>0</v>
      </c>
      <c r="S73" s="1"/>
      <c r="T73" s="1">
        <f>SUM(OSRRefT22_13x_0)</f>
        <v>3000</v>
      </c>
      <c r="U73" s="1"/>
      <c r="V73" s="5">
        <f t="shared" si="53"/>
        <v>0</v>
      </c>
      <c r="W73" s="1"/>
      <c r="X73" s="1">
        <f t="shared" si="54"/>
        <v>-3000</v>
      </c>
      <c r="Y73" s="1"/>
      <c r="Z73" s="5">
        <f t="shared" si="55"/>
        <v>-1</v>
      </c>
    </row>
    <row r="74" spans="1:26" s="24" customFormat="1" hidden="1" outlineLevel="2" x14ac:dyDescent="0.25">
      <c r="A74" s="29"/>
      <c r="B74" s="11" t="str">
        <f>CONCATENATE("          ", "6274", " - ", "UTILITIES")</f>
        <v xml:space="preserve">          6274 - UTILITIES</v>
      </c>
      <c r="C74" s="11"/>
      <c r="D74" s="6"/>
      <c r="E74" s="2"/>
      <c r="F74" s="7">
        <f t="shared" si="48"/>
        <v>0</v>
      </c>
      <c r="G74" s="2"/>
      <c r="H74" s="6">
        <v>1000</v>
      </c>
      <c r="I74" s="2"/>
      <c r="J74" s="7">
        <f t="shared" si="49"/>
        <v>0</v>
      </c>
      <c r="K74" s="2"/>
      <c r="L74" s="6">
        <f t="shared" si="50"/>
        <v>-1000</v>
      </c>
      <c r="M74" s="2"/>
      <c r="N74" s="7">
        <f t="shared" si="51"/>
        <v>-1</v>
      </c>
      <c r="O74" s="11"/>
      <c r="P74" s="6"/>
      <c r="Q74" s="2"/>
      <c r="R74" s="7">
        <f t="shared" si="52"/>
        <v>0</v>
      </c>
      <c r="S74" s="2"/>
      <c r="T74" s="6">
        <v>3000</v>
      </c>
      <c r="U74" s="2"/>
      <c r="V74" s="7">
        <f t="shared" si="53"/>
        <v>0</v>
      </c>
      <c r="W74" s="2"/>
      <c r="X74" s="6">
        <f t="shared" si="54"/>
        <v>-3000</v>
      </c>
      <c r="Y74" s="2"/>
      <c r="Z74" s="7">
        <f t="shared" si="55"/>
        <v>-1</v>
      </c>
    </row>
    <row r="75" spans="1:26" s="61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25">
      <c r="A76" s="10"/>
      <c r="B76" s="25" t="s">
        <v>0</v>
      </c>
      <c r="C76" s="10"/>
      <c r="D76" s="4">
        <f>SUM(OSRRefD25x_0)</f>
        <v>180.85</v>
      </c>
      <c r="E76" s="4"/>
      <c r="F76" s="12">
        <f t="shared" ref="F76:F78" si="56">IF(D$12=0,0,D76/D$12)</f>
        <v>0</v>
      </c>
      <c r="G76" s="4"/>
      <c r="H76" s="4">
        <f>SUM(OSRRefH25x_0)</f>
        <v>0</v>
      </c>
      <c r="I76" s="4"/>
      <c r="J76" s="12">
        <f t="shared" ref="J76:J78" si="57">IF(H$12=0,0,H76/H$12)</f>
        <v>0</v>
      </c>
      <c r="K76" s="4"/>
      <c r="L76" s="4">
        <f t="shared" ref="L76:L78" si="58">+D76-H76</f>
        <v>180.85</v>
      </c>
      <c r="M76" s="4"/>
      <c r="N76" s="12">
        <f t="shared" ref="N76:N78" si="59">IF(H76=0,0,L76/H76)</f>
        <v>0</v>
      </c>
      <c r="O76" s="10"/>
      <c r="P76" s="4">
        <f>SUM(OSRRefP25x_0)</f>
        <v>1319.69</v>
      </c>
      <c r="Q76" s="4"/>
      <c r="R76" s="12">
        <f t="shared" ref="R76:R78" si="60">IF(P$12=0,0,P76/P$12)</f>
        <v>0</v>
      </c>
      <c r="S76" s="4"/>
      <c r="T76" s="4">
        <f>SUM(OSRRefT25x_0)</f>
        <v>0</v>
      </c>
      <c r="U76" s="4"/>
      <c r="V76" s="12">
        <f t="shared" ref="V76:V78" si="61">IF(T$12=0,0,T76/T$12)</f>
        <v>0</v>
      </c>
      <c r="W76" s="4"/>
      <c r="X76" s="4">
        <f t="shared" ref="X76:X78" si="62">+P76-T76</f>
        <v>1319.69</v>
      </c>
      <c r="Y76" s="4"/>
      <c r="Z76" s="12">
        <f t="shared" ref="Z76:Z78" si="63">IF(T76=0,0,X76/T76)</f>
        <v>0</v>
      </c>
    </row>
    <row r="77" spans="1:26" s="24" customFormat="1" hidden="1" outlineLevel="1" x14ac:dyDescent="0.25">
      <c r="A77" s="51"/>
      <c r="B77" s="11" t="str">
        <f>CONCATENATE("          ", "9150", " - ", "MISC. INCOME")</f>
        <v xml:space="preserve">          9150 - MISC. INCOME</v>
      </c>
      <c r="C77" s="11"/>
      <c r="D77" s="2">
        <f>--180.85</f>
        <v>180.85</v>
      </c>
      <c r="E77" s="2"/>
      <c r="F77" s="22">
        <f t="shared" si="56"/>
        <v>0</v>
      </c>
      <c r="G77" s="2"/>
      <c r="H77" s="2">
        <v>0</v>
      </c>
      <c r="I77" s="2"/>
      <c r="J77" s="22">
        <f t="shared" si="57"/>
        <v>0</v>
      </c>
      <c r="K77" s="2"/>
      <c r="L77" s="2">
        <f t="shared" si="58"/>
        <v>180.85</v>
      </c>
      <c r="M77" s="2"/>
      <c r="N77" s="22">
        <f t="shared" si="59"/>
        <v>0</v>
      </c>
      <c r="O77" s="11"/>
      <c r="P77" s="2">
        <f>--693.26</f>
        <v>693.26</v>
      </c>
      <c r="Q77" s="2"/>
      <c r="R77" s="22">
        <f t="shared" si="60"/>
        <v>0</v>
      </c>
      <c r="S77" s="2"/>
      <c r="T77" s="2">
        <v>0</v>
      </c>
      <c r="U77" s="2"/>
      <c r="V77" s="22">
        <f t="shared" si="61"/>
        <v>0</v>
      </c>
      <c r="W77" s="2"/>
      <c r="X77" s="2">
        <f t="shared" si="62"/>
        <v>693.26</v>
      </c>
      <c r="Y77" s="2"/>
      <c r="Z77" s="22">
        <f t="shared" si="63"/>
        <v>0</v>
      </c>
    </row>
    <row r="78" spans="1:26" s="24" customFormat="1" hidden="1" outlineLevel="1" x14ac:dyDescent="0.25">
      <c r="A78" s="51"/>
      <c r="B78" s="11" t="str">
        <f>CONCATENATE("          ", "9160", " - ", "MISC. INCOME")</f>
        <v xml:space="preserve">          9160 - MISC. INCOME</v>
      </c>
      <c r="C78" s="11"/>
      <c r="D78" s="2">
        <f>0</f>
        <v>0</v>
      </c>
      <c r="E78" s="2"/>
      <c r="F78" s="22">
        <f t="shared" si="56"/>
        <v>0</v>
      </c>
      <c r="G78" s="2"/>
      <c r="H78" s="2"/>
      <c r="I78" s="2"/>
      <c r="J78" s="22">
        <f t="shared" si="57"/>
        <v>0</v>
      </c>
      <c r="K78" s="2"/>
      <c r="L78" s="2">
        <f t="shared" si="58"/>
        <v>0</v>
      </c>
      <c r="M78" s="2"/>
      <c r="N78" s="22">
        <f t="shared" si="59"/>
        <v>0</v>
      </c>
      <c r="O78" s="11"/>
      <c r="P78" s="2">
        <f>--626.43</f>
        <v>626.42999999999995</v>
      </c>
      <c r="Q78" s="2"/>
      <c r="R78" s="22">
        <f t="shared" si="60"/>
        <v>0</v>
      </c>
      <c r="S78" s="2"/>
      <c r="T78" s="2"/>
      <c r="U78" s="2"/>
      <c r="V78" s="22">
        <f t="shared" si="61"/>
        <v>0</v>
      </c>
      <c r="W78" s="2"/>
      <c r="X78" s="2">
        <f t="shared" si="62"/>
        <v>626.42999999999995</v>
      </c>
      <c r="Y78" s="2"/>
      <c r="Z78" s="22">
        <f t="shared" si="63"/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6" t="s">
        <v>3</v>
      </c>
      <c r="C80" s="26"/>
      <c r="D80" s="20">
        <f>+D16-D18+D76</f>
        <v>-28249.09</v>
      </c>
      <c r="E80" s="13"/>
      <c r="F80" s="21">
        <f>IF(D$12=0,0,D80/D$12)</f>
        <v>0</v>
      </c>
      <c r="G80" s="13"/>
      <c r="H80" s="20">
        <f>+H16-H18+H76</f>
        <v>-18055.461538461539</v>
      </c>
      <c r="I80" s="13"/>
      <c r="J80" s="21">
        <f>IF(H$12=0,0,H80/H$12)</f>
        <v>0</v>
      </c>
      <c r="K80" s="16"/>
      <c r="L80" s="20">
        <f>+D80-H80</f>
        <v>-10193.628461538461</v>
      </c>
      <c r="M80" s="16"/>
      <c r="N80" s="21">
        <f>IF(H80=0,0,L80/H80)</f>
        <v>0.56457313150506339</v>
      </c>
      <c r="O80" s="25"/>
      <c r="P80" s="20">
        <f>+P16-P18+P76</f>
        <v>-57432.460000000006</v>
      </c>
      <c r="Q80" s="13"/>
      <c r="R80" s="21">
        <f>IF(P$12=0,0,P80/P$12)</f>
        <v>0</v>
      </c>
      <c r="S80" s="13"/>
      <c r="T80" s="20">
        <f>+T16-T18+T76</f>
        <v>-52286</v>
      </c>
      <c r="U80" s="13"/>
      <c r="V80" s="21">
        <f>IF(T$12=0,0,T80/T$12)</f>
        <v>0</v>
      </c>
      <c r="W80" s="16"/>
      <c r="X80" s="20">
        <f>+P80-T80</f>
        <v>-5146.4600000000064</v>
      </c>
      <c r="Y80" s="16"/>
      <c r="Z80" s="21">
        <f>IF(T80=0,0,X80/T80)</f>
        <v>9.8429024978005708E-2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2"/>
      <c r="B82" s="10" t="s">
        <v>14</v>
      </c>
      <c r="C82" s="10"/>
      <c r="D82" s="4"/>
      <c r="E82" s="4"/>
      <c r="F82" s="12">
        <f>IF(D$12=0,0,D82/D$12)</f>
        <v>0</v>
      </c>
      <c r="G82" s="4"/>
      <c r="H82" s="4"/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/>
      <c r="Q82" s="4"/>
      <c r="R82" s="12">
        <f>IF(P$12=0,0,P82/P$12)</f>
        <v>0</v>
      </c>
      <c r="S82" s="4"/>
      <c r="T82" s="4"/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4</v>
      </c>
      <c r="C84" s="26"/>
      <c r="D84" s="33">
        <f>+D80-D82</f>
        <v>-28249.09</v>
      </c>
      <c r="E84" s="13"/>
      <c r="F84" s="34">
        <f>IF(D$12=0,0,D84/D$12)</f>
        <v>0</v>
      </c>
      <c r="G84" s="13"/>
      <c r="H84" s="33">
        <f>+H80-H82</f>
        <v>-18055.461538461539</v>
      </c>
      <c r="I84" s="13"/>
      <c r="J84" s="34">
        <f>IF(H$12=0,0,H84/H$12)</f>
        <v>0</v>
      </c>
      <c r="K84" s="16"/>
      <c r="L84" s="33">
        <f>D84-H84</f>
        <v>-10193.628461538461</v>
      </c>
      <c r="M84" s="16"/>
      <c r="N84" s="34">
        <f>IF(H84=0,0,L84/H84)</f>
        <v>0.56457313150506339</v>
      </c>
      <c r="O84" s="25"/>
      <c r="P84" s="33">
        <f>+P80-P82</f>
        <v>-57432.460000000006</v>
      </c>
      <c r="Q84" s="13"/>
      <c r="R84" s="34">
        <f>IF(P$12=0,0,P84/P$12)</f>
        <v>0</v>
      </c>
      <c r="S84" s="13"/>
      <c r="T84" s="33">
        <f>+T80-T82</f>
        <v>-52286</v>
      </c>
      <c r="U84" s="13"/>
      <c r="V84" s="34">
        <f>IF(T$12=0,0,T84/T$12)</f>
        <v>0</v>
      </c>
      <c r="W84" s="16"/>
      <c r="X84" s="33">
        <f>P84-T84</f>
        <v>-5146.4600000000064</v>
      </c>
      <c r="Y84" s="16"/>
      <c r="Z84" s="34">
        <f>IF(T84=0,0,X84/T84)</f>
        <v>9.8429024978005708E-2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5</v>
      </c>
      <c r="C87" s="26"/>
      <c r="D87" s="31">
        <f>SUM(D84:D86)</f>
        <v>-28249.09</v>
      </c>
      <c r="E87" s="13"/>
      <c r="F87" s="32">
        <f>IF(D$12=0,0,D87/D$12)</f>
        <v>0</v>
      </c>
      <c r="G87" s="13"/>
      <c r="H87" s="31">
        <f>SUM(H84:H86)</f>
        <v>-18055.461538461539</v>
      </c>
      <c r="I87" s="13"/>
      <c r="J87" s="32">
        <f>IF(H$12=0,0,H87/H$12)</f>
        <v>0</v>
      </c>
      <c r="K87" s="16"/>
      <c r="L87" s="31">
        <f>+D87-H87</f>
        <v>-10193.628461538461</v>
      </c>
      <c r="M87" s="16"/>
      <c r="N87" s="32">
        <f>IF(H87=0,0,L87/H87)</f>
        <v>0.56457313150506339</v>
      </c>
      <c r="O87" s="25"/>
      <c r="P87" s="31">
        <f>SUM(P84:P86)</f>
        <v>-57432.460000000006</v>
      </c>
      <c r="Q87" s="13"/>
      <c r="R87" s="32">
        <f>IF(P$12=0,0,P87/P$12)</f>
        <v>0</v>
      </c>
      <c r="S87" s="13"/>
      <c r="T87" s="31">
        <f>SUM(T84:T86)</f>
        <v>-52286</v>
      </c>
      <c r="U87" s="13"/>
      <c r="V87" s="32">
        <f>IF(T$12=0,0,T87/T$12)</f>
        <v>0</v>
      </c>
      <c r="W87" s="16"/>
      <c r="X87" s="31">
        <f>+P87-T87</f>
        <v>-5146.4600000000064</v>
      </c>
      <c r="Y87" s="16"/>
      <c r="Z87" s="32">
        <f>IF(T87=0,0,X87/T87)</f>
        <v>9.8429024978005708E-2</v>
      </c>
    </row>
    <row r="88" spans="1:26" ht="15.75" thickTop="1" x14ac:dyDescent="0.25">
      <c r="A88" s="9"/>
      <c r="C88" s="9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55">
        <v>44123.572308946757</v>
      </c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A90" s="9"/>
      <c r="B90" s="53" t="s">
        <v>314</v>
      </c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  <row r="91" spans="1:26" x14ac:dyDescent="0.25">
      <c r="A91" s="9"/>
      <c r="B91" s="62"/>
      <c r="D91" s="17"/>
      <c r="E91" s="17"/>
      <c r="G91" s="17"/>
      <c r="H91" s="17"/>
      <c r="I91" s="17"/>
      <c r="J91" s="43"/>
      <c r="K91" s="17"/>
      <c r="L91" s="17"/>
      <c r="M91" s="17"/>
      <c r="P91" s="17"/>
      <c r="Q91" s="17"/>
      <c r="R91" s="43"/>
      <c r="S91" s="17"/>
      <c r="T91" s="17"/>
      <c r="U91" s="17"/>
      <c r="V91" s="43"/>
      <c r="W91" s="17"/>
      <c r="X91" s="17"/>
    </row>
    <row r="92" spans="1:26" x14ac:dyDescent="0.25"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","412", " - ", "Chartroom")</f>
        <v>Department 412 - Chartroom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0</v>
      </c>
      <c r="Y12" s="4"/>
      <c r="Z12" s="12">
        <f t="shared" ref="Z12:Z13" si="3">IF(T12=0,0,X12/T12)</f>
        <v>0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6" si="4">IF(D$12=0,0,D15/D$12)</f>
        <v>0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0</v>
      </c>
      <c r="M15" s="4"/>
      <c r="N15" s="12">
        <f t="shared" ref="N15:N16" si="7">IF(H15=0,0,L15/H15)</f>
        <v>0</v>
      </c>
      <c r="O15" s="10"/>
      <c r="P15" s="4">
        <f>SUM(OSRRefP16x_0)</f>
        <v>0</v>
      </c>
      <c r="Q15" s="4"/>
      <c r="R15" s="12">
        <f t="shared" ref="R15:R16" si="8">IF(P$12=0,0,P15/P$12)</f>
        <v>0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0</v>
      </c>
      <c r="Y15" s="4"/>
      <c r="Z15" s="12">
        <f t="shared" ref="Z15:Z16" si="11">IF(T15=0,0,X15/T15)</f>
        <v>0</v>
      </c>
    </row>
    <row r="16" spans="1:26" s="24" customFormat="1" hidden="1" outlineLevel="1" x14ac:dyDescent="0.25">
      <c r="A16" s="51"/>
      <c r="B16" s="11" t="str">
        <f>CONCATENATE("          ", "5000", " - ", "PURCHASES @ COST")</f>
        <v xml:space="preserve">          5000 - PURCHASES @ COST</v>
      </c>
      <c r="C16" s="11"/>
      <c r="D16" s="2"/>
      <c r="E16" s="2"/>
      <c r="F16" s="22">
        <f t="shared" si="4"/>
        <v>0</v>
      </c>
      <c r="G16" s="2"/>
      <c r="H16" s="2">
        <v>0</v>
      </c>
      <c r="I16" s="2"/>
      <c r="J16" s="22">
        <f t="shared" si="5"/>
        <v>0</v>
      </c>
      <c r="K16" s="2"/>
      <c r="L16" s="2">
        <f t="shared" si="6"/>
        <v>0</v>
      </c>
      <c r="M16" s="2"/>
      <c r="N16" s="22">
        <f t="shared" si="7"/>
        <v>0</v>
      </c>
      <c r="O16" s="11"/>
      <c r="P16" s="2"/>
      <c r="Q16" s="2"/>
      <c r="R16" s="22">
        <f t="shared" si="8"/>
        <v>0</v>
      </c>
      <c r="S16" s="2"/>
      <c r="T16" s="2">
        <v>0</v>
      </c>
      <c r="U16" s="2"/>
      <c r="V16" s="22">
        <f t="shared" si="9"/>
        <v>0</v>
      </c>
      <c r="W16" s="2"/>
      <c r="X16" s="2">
        <f t="shared" si="10"/>
        <v>0</v>
      </c>
      <c r="Y16" s="2"/>
      <c r="Z16" s="22">
        <f t="shared" si="11"/>
        <v>0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>
        <f>D12-D15</f>
        <v>0</v>
      </c>
      <c r="E18" s="13"/>
      <c r="F18" s="21">
        <f>IF(D$12=0,0,D18/D$12)</f>
        <v>0</v>
      </c>
      <c r="G18" s="13"/>
      <c r="H18" s="20">
        <f>H12-H15</f>
        <v>0</v>
      </c>
      <c r="I18" s="13"/>
      <c r="J18" s="21">
        <f>IF(H$12=0,0,H18/H$12)</f>
        <v>0</v>
      </c>
      <c r="K18" s="16"/>
      <c r="L18" s="20">
        <f>+D18-H18</f>
        <v>0</v>
      </c>
      <c r="M18" s="16"/>
      <c r="N18" s="21">
        <f>IF(H18=0,0,L18/H18)</f>
        <v>0</v>
      </c>
      <c r="O18" s="25"/>
      <c r="P18" s="20">
        <f>P12-P15</f>
        <v>0</v>
      </c>
      <c r="Q18" s="13"/>
      <c r="R18" s="21">
        <f>IF(P$12=0,0,P18/P$12)</f>
        <v>0</v>
      </c>
      <c r="S18" s="13"/>
      <c r="T18" s="20">
        <f>T12-T15</f>
        <v>0</v>
      </c>
      <c r="U18" s="13"/>
      <c r="V18" s="21">
        <f>IF(T$12=0,0,T18/T$12)</f>
        <v>0</v>
      </c>
      <c r="W18" s="16"/>
      <c r="X18" s="20">
        <f>+P18-T18</f>
        <v>0</v>
      </c>
      <c r="Y18" s="16"/>
      <c r="Z18" s="21">
        <f>IF(T18=0,0,X18/T18)</f>
        <v>0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>
        <f>SUM(OSRRefD22x_0)</f>
        <v>739.58</v>
      </c>
      <c r="E20" s="19"/>
      <c r="F20" s="35">
        <f t="shared" ref="F20:F29" si="12">IF(D$12=0,0,D20/D$12)</f>
        <v>0</v>
      </c>
      <c r="G20" s="19"/>
      <c r="H20" s="19">
        <f>SUM(OSRRefH22x_0)</f>
        <v>848</v>
      </c>
      <c r="I20" s="19"/>
      <c r="J20" s="35">
        <f t="shared" ref="J20:J29" si="13">IF(H$12=0,0,H20/H$12)</f>
        <v>0</v>
      </c>
      <c r="K20" s="4"/>
      <c r="L20" s="19">
        <f t="shared" ref="L20:L29" si="14">+D20-H20</f>
        <v>-108.41999999999996</v>
      </c>
      <c r="M20" s="4"/>
      <c r="N20" s="35">
        <f t="shared" ref="N20:N29" si="15">IF(H20=0,0,L20/H20)</f>
        <v>-0.1278537735849056</v>
      </c>
      <c r="O20" s="10"/>
      <c r="P20" s="19">
        <f>SUM(OSRRefP22x_0)</f>
        <v>2796.79</v>
      </c>
      <c r="Q20" s="19"/>
      <c r="R20" s="35">
        <f t="shared" ref="R20:R29" si="16">IF(P$12=0,0,P20/P$12)</f>
        <v>0</v>
      </c>
      <c r="S20" s="19"/>
      <c r="T20" s="19">
        <f>SUM(OSRRefT22x_0)</f>
        <v>2544</v>
      </c>
      <c r="U20" s="19"/>
      <c r="V20" s="35">
        <f t="shared" ref="V20:V29" si="17">IF(T$12=0,0,T20/T$12)</f>
        <v>0</v>
      </c>
      <c r="W20" s="4"/>
      <c r="X20" s="19">
        <f t="shared" ref="X20:X29" si="18">+P20-T20</f>
        <v>252.78999999999996</v>
      </c>
      <c r="Y20" s="4"/>
      <c r="Z20" s="35">
        <f t="shared" ref="Z20:Z29" si="19">IF(T20=0,0,X20/T20)</f>
        <v>9.9367138364779867E-2</v>
      </c>
    </row>
    <row r="21" spans="1:26" s="28" customFormat="1" outlineLevel="1" collapsed="1" x14ac:dyDescent="0.25">
      <c r="A21" s="27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</v>
      </c>
      <c r="I21" s="1"/>
      <c r="J21" s="5">
        <f t="shared" si="13"/>
        <v>0</v>
      </c>
      <c r="K21" s="1"/>
      <c r="L21" s="1">
        <f t="shared" si="14"/>
        <v>0</v>
      </c>
      <c r="M21" s="1"/>
      <c r="N21" s="5">
        <f t="shared" si="15"/>
        <v>0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0</v>
      </c>
      <c r="U21" s="1"/>
      <c r="V21" s="5">
        <f t="shared" si="17"/>
        <v>0</v>
      </c>
      <c r="W21" s="1"/>
      <c r="X21" s="1">
        <f t="shared" si="18"/>
        <v>0</v>
      </c>
      <c r="Y21" s="1"/>
      <c r="Z21" s="5">
        <f t="shared" si="19"/>
        <v>0</v>
      </c>
    </row>
    <row r="22" spans="1:26" s="24" customFormat="1" hidden="1" outlineLevel="2" x14ac:dyDescent="0.25">
      <c r="A22" s="29"/>
      <c r="B22" s="11" t="str">
        <f>CONCATENATE("          ", "6111", " - ", "F.I.C.A.")</f>
        <v xml:space="preserve">          6111 - F.I.C.A.</v>
      </c>
      <c r="C22" s="11"/>
      <c r="D22" s="6"/>
      <c r="E22" s="2"/>
      <c r="F22" s="7">
        <f t="shared" si="12"/>
        <v>0</v>
      </c>
      <c r="G22" s="2"/>
      <c r="H22" s="6">
        <v>0</v>
      </c>
      <c r="I22" s="2"/>
      <c r="J22" s="7">
        <f t="shared" si="13"/>
        <v>0</v>
      </c>
      <c r="K22" s="2"/>
      <c r="L22" s="6">
        <f t="shared" si="14"/>
        <v>0</v>
      </c>
      <c r="M22" s="2"/>
      <c r="N22" s="7">
        <f t="shared" si="15"/>
        <v>0</v>
      </c>
      <c r="O22" s="11"/>
      <c r="P22" s="6"/>
      <c r="Q22" s="2"/>
      <c r="R22" s="7">
        <f t="shared" si="16"/>
        <v>0</v>
      </c>
      <c r="S22" s="2"/>
      <c r="T22" s="6">
        <v>0</v>
      </c>
      <c r="U22" s="2"/>
      <c r="V22" s="7">
        <f t="shared" si="17"/>
        <v>0</v>
      </c>
      <c r="W22" s="2"/>
      <c r="X22" s="6">
        <f t="shared" si="18"/>
        <v>0</v>
      </c>
      <c r="Y22" s="2"/>
      <c r="Z22" s="7">
        <f t="shared" si="19"/>
        <v>0</v>
      </c>
    </row>
    <row r="23" spans="1:26" s="24" customFormat="1" hidden="1" outlineLevel="2" x14ac:dyDescent="0.25">
      <c r="A23" s="29"/>
      <c r="B23" s="11" t="str">
        <f>CONCATENATE("          ", "6112", " - ", "COMPENSATION INSURANCE")</f>
        <v xml:space="preserve">          6112 - COMPENSATION INSURANCE</v>
      </c>
      <c r="C23" s="11"/>
      <c r="D23" s="6"/>
      <c r="E23" s="2"/>
      <c r="F23" s="7">
        <f t="shared" si="12"/>
        <v>0</v>
      </c>
      <c r="G23" s="2"/>
      <c r="H23" s="6">
        <v>0</v>
      </c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/>
      <c r="Q23" s="2"/>
      <c r="R23" s="7">
        <f t="shared" si="16"/>
        <v>0</v>
      </c>
      <c r="S23" s="2"/>
      <c r="T23" s="6">
        <v>0</v>
      </c>
      <c r="U23" s="2"/>
      <c r="V23" s="7">
        <f t="shared" si="17"/>
        <v>0</v>
      </c>
      <c r="W23" s="2"/>
      <c r="X23" s="6">
        <f t="shared" si="18"/>
        <v>0</v>
      </c>
      <c r="Y23" s="2"/>
      <c r="Z23" s="7">
        <f t="shared" si="19"/>
        <v>0</v>
      </c>
    </row>
    <row r="24" spans="1:26" s="24" customFormat="1" hidden="1" outlineLevel="2" x14ac:dyDescent="0.25">
      <c r="A24" s="29"/>
      <c r="B24" s="11" t="str">
        <f>CONCATENATE("          ", "6113", " - ", "GROUP INSURANCE")</f>
        <v xml:space="preserve">          6113 - GROUP INSURANCE</v>
      </c>
      <c r="C24" s="11"/>
      <c r="D24" s="6"/>
      <c r="E24" s="2"/>
      <c r="F24" s="7">
        <f t="shared" si="12"/>
        <v>0</v>
      </c>
      <c r="G24" s="2"/>
      <c r="H24" s="6">
        <v>0</v>
      </c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0</v>
      </c>
      <c r="U24" s="2"/>
      <c r="V24" s="7">
        <f t="shared" si="17"/>
        <v>0</v>
      </c>
      <c r="W24" s="2"/>
      <c r="X24" s="6">
        <f t="shared" si="18"/>
        <v>0</v>
      </c>
      <c r="Y24" s="2"/>
      <c r="Z24" s="7">
        <f t="shared" si="19"/>
        <v>0</v>
      </c>
    </row>
    <row r="25" spans="1:26" s="24" customFormat="1" hidden="1" outlineLevel="2" x14ac:dyDescent="0.25">
      <c r="A25" s="29"/>
      <c r="B25" s="11" t="str">
        <f>CONCATENATE("          ", "6114", " - ", "STATE UNEMPLOYMENT INSURANCE")</f>
        <v xml:space="preserve">          6114 - STATE UNEMPLOYMENT INSURANCE</v>
      </c>
      <c r="C25" s="11"/>
      <c r="D25" s="6"/>
      <c r="E25" s="2"/>
      <c r="F25" s="7">
        <f t="shared" si="12"/>
        <v>0</v>
      </c>
      <c r="G25" s="2"/>
      <c r="H25" s="6">
        <v>0</v>
      </c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0</v>
      </c>
      <c r="U25" s="2"/>
      <c r="V25" s="7">
        <f t="shared" si="17"/>
        <v>0</v>
      </c>
      <c r="W25" s="2"/>
      <c r="X25" s="6">
        <f t="shared" si="18"/>
        <v>0</v>
      </c>
      <c r="Y25" s="2"/>
      <c r="Z25" s="7">
        <f t="shared" si="19"/>
        <v>0</v>
      </c>
    </row>
    <row r="26" spans="1:26" s="24" customFormat="1" hidden="1" outlineLevel="2" x14ac:dyDescent="0.25">
      <c r="A26" s="29"/>
      <c r="B26" s="11" t="str">
        <f>CONCATENATE("          ", "6115", " - ", "P.E.R.S.")</f>
        <v xml:space="preserve">          6115 - P.E.R.S.</v>
      </c>
      <c r="C26" s="11"/>
      <c r="D26" s="6"/>
      <c r="E26" s="2"/>
      <c r="F26" s="7">
        <f t="shared" si="12"/>
        <v>0</v>
      </c>
      <c r="G26" s="2"/>
      <c r="H26" s="6">
        <v>0</v>
      </c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0</v>
      </c>
      <c r="U26" s="2"/>
      <c r="V26" s="7">
        <f t="shared" si="17"/>
        <v>0</v>
      </c>
      <c r="W26" s="2"/>
      <c r="X26" s="6">
        <f t="shared" si="18"/>
        <v>0</v>
      </c>
      <c r="Y26" s="2"/>
      <c r="Z26" s="7">
        <f t="shared" si="19"/>
        <v>0</v>
      </c>
    </row>
    <row r="27" spans="1:26" s="24" customFormat="1" hidden="1" outlineLevel="2" x14ac:dyDescent="0.25">
      <c r="A27" s="29"/>
      <c r="B27" s="11" t="str">
        <f>CONCATENATE("          ", "6116", " - ", "EDUCATIONAL BENEFITS")</f>
        <v xml:space="preserve">          6116 - EDUCATIONAL BENEFITS</v>
      </c>
      <c r="C27" s="11"/>
      <c r="D27" s="6"/>
      <c r="E27" s="2"/>
      <c r="F27" s="7">
        <f t="shared" si="12"/>
        <v>0</v>
      </c>
      <c r="G27" s="2"/>
      <c r="H27" s="6">
        <v>0</v>
      </c>
      <c r="I27" s="2"/>
      <c r="J27" s="7">
        <f t="shared" si="13"/>
        <v>0</v>
      </c>
      <c r="K27" s="2"/>
      <c r="L27" s="6">
        <f t="shared" si="14"/>
        <v>0</v>
      </c>
      <c r="M27" s="2"/>
      <c r="N27" s="7">
        <f t="shared" si="15"/>
        <v>0</v>
      </c>
      <c r="O27" s="11"/>
      <c r="P27" s="6"/>
      <c r="Q27" s="2"/>
      <c r="R27" s="7">
        <f t="shared" si="16"/>
        <v>0</v>
      </c>
      <c r="S27" s="2"/>
      <c r="T27" s="6">
        <v>0</v>
      </c>
      <c r="U27" s="2"/>
      <c r="V27" s="7">
        <f t="shared" si="17"/>
        <v>0</v>
      </c>
      <c r="W27" s="2"/>
      <c r="X27" s="6">
        <f t="shared" si="18"/>
        <v>0</v>
      </c>
      <c r="Y27" s="2"/>
      <c r="Z27" s="7">
        <f t="shared" si="19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6"/>
      <c r="E29" s="2"/>
      <c r="F29" s="7">
        <f t="shared" si="12"/>
        <v>0</v>
      </c>
      <c r="G29" s="2"/>
      <c r="H29" s="6">
        <v>0</v>
      </c>
      <c r="I29" s="2"/>
      <c r="J29" s="7">
        <f t="shared" si="13"/>
        <v>0</v>
      </c>
      <c r="K29" s="2"/>
      <c r="L29" s="6">
        <f t="shared" si="14"/>
        <v>0</v>
      </c>
      <c r="M29" s="2"/>
      <c r="N29" s="7">
        <f t="shared" si="15"/>
        <v>0</v>
      </c>
      <c r="O29" s="11"/>
      <c r="P29" s="6"/>
      <c r="Q29" s="2"/>
      <c r="R29" s="7">
        <f t="shared" si="16"/>
        <v>0</v>
      </c>
      <c r="S29" s="2"/>
      <c r="T29" s="6">
        <v>0</v>
      </c>
      <c r="U29" s="2"/>
      <c r="V29" s="7">
        <f t="shared" si="17"/>
        <v>0</v>
      </c>
      <c r="W29" s="2"/>
      <c r="X29" s="6">
        <f t="shared" si="18"/>
        <v>0</v>
      </c>
      <c r="Y29" s="2"/>
      <c r="Z29" s="7">
        <f t="shared" si="19"/>
        <v>0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0</v>
      </c>
      <c r="E30" s="1"/>
      <c r="F30" s="5">
        <f t="shared" ref="F30:F40" si="20">IF(D$12=0,0,D30/D$12)</f>
        <v>0</v>
      </c>
      <c r="G30" s="1"/>
      <c r="H30" s="1">
        <f>SUM(OSRRefH22_1x_0)</f>
        <v>0</v>
      </c>
      <c r="I30" s="1"/>
      <c r="J30" s="5">
        <f t="shared" ref="J30:J40" si="21">IF(H$12=0,0,H30/H$12)</f>
        <v>0</v>
      </c>
      <c r="K30" s="1"/>
      <c r="L30" s="1">
        <f t="shared" ref="L30:L40" si="22">+D30-H30</f>
        <v>0</v>
      </c>
      <c r="M30" s="1"/>
      <c r="N30" s="5">
        <f t="shared" ref="N30:N40" si="23">IF(H30=0,0,L30/H30)</f>
        <v>0</v>
      </c>
      <c r="O30" s="14"/>
      <c r="P30" s="1">
        <f>SUM(OSRRefP22_1x_0)</f>
        <v>0</v>
      </c>
      <c r="Q30" s="1"/>
      <c r="R30" s="5">
        <f t="shared" ref="R30:R40" si="24">IF(P$12=0,0,P30/P$12)</f>
        <v>0</v>
      </c>
      <c r="S30" s="1"/>
      <c r="T30" s="1">
        <f>SUM(OSRRefT22_1x_0)</f>
        <v>0</v>
      </c>
      <c r="U30" s="1"/>
      <c r="V30" s="5">
        <f t="shared" ref="V30:V40" si="25">IF(T$12=0,0,T30/T$12)</f>
        <v>0</v>
      </c>
      <c r="W30" s="1"/>
      <c r="X30" s="1">
        <f t="shared" ref="X30:X40" si="26">+P30-T30</f>
        <v>0</v>
      </c>
      <c r="Y30" s="1"/>
      <c r="Z30" s="5">
        <f t="shared" ref="Z30:Z40" si="27">IF(T30=0,0,X30/T30)</f>
        <v>0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6"/>
      <c r="E31" s="2"/>
      <c r="F31" s="7">
        <f t="shared" si="20"/>
        <v>0</v>
      </c>
      <c r="G31" s="2"/>
      <c r="H31" s="6">
        <v>0</v>
      </c>
      <c r="I31" s="2"/>
      <c r="J31" s="7">
        <f t="shared" si="21"/>
        <v>0</v>
      </c>
      <c r="K31" s="2"/>
      <c r="L31" s="6">
        <f t="shared" si="22"/>
        <v>0</v>
      </c>
      <c r="M31" s="2"/>
      <c r="N31" s="7">
        <f t="shared" si="23"/>
        <v>0</v>
      </c>
      <c r="O31" s="11"/>
      <c r="P31" s="6"/>
      <c r="Q31" s="2"/>
      <c r="R31" s="7">
        <f t="shared" si="24"/>
        <v>0</v>
      </c>
      <c r="S31" s="2"/>
      <c r="T31" s="6">
        <v>0</v>
      </c>
      <c r="U31" s="2"/>
      <c r="V31" s="7">
        <f t="shared" si="25"/>
        <v>0</v>
      </c>
      <c r="W31" s="2"/>
      <c r="X31" s="6">
        <f t="shared" si="26"/>
        <v>0</v>
      </c>
      <c r="Y31" s="2"/>
      <c r="Z31" s="7">
        <f t="shared" si="27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6"/>
      <c r="E32" s="2"/>
      <c r="F32" s="7">
        <f t="shared" si="20"/>
        <v>0</v>
      </c>
      <c r="G32" s="2"/>
      <c r="H32" s="6">
        <v>0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/>
      <c r="Q32" s="2"/>
      <c r="R32" s="7">
        <f t="shared" si="24"/>
        <v>0</v>
      </c>
      <c r="S32" s="2"/>
      <c r="T32" s="6">
        <v>0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4" customFormat="1" hidden="1" outlineLevel="2" x14ac:dyDescent="0.25">
      <c r="A33" s="29"/>
      <c r="B33" s="11" t="str">
        <f>CONCATENATE("          ", "6003", " - ", "STAFF HOURLY-9 MONTH")</f>
        <v xml:space="preserve">          6003 - STAFF HOURLY-9 MONTH</v>
      </c>
      <c r="C33" s="11"/>
      <c r="D33" s="6"/>
      <c r="E33" s="2"/>
      <c r="F33" s="7">
        <f t="shared" si="20"/>
        <v>0</v>
      </c>
      <c r="G33" s="2"/>
      <c r="H33" s="6">
        <v>0</v>
      </c>
      <c r="I33" s="2"/>
      <c r="J33" s="7">
        <f t="shared" si="21"/>
        <v>0</v>
      </c>
      <c r="K33" s="2"/>
      <c r="L33" s="6">
        <f t="shared" si="22"/>
        <v>0</v>
      </c>
      <c r="M33" s="2"/>
      <c r="N33" s="7">
        <f t="shared" si="23"/>
        <v>0</v>
      </c>
      <c r="O33" s="11"/>
      <c r="P33" s="6"/>
      <c r="Q33" s="2"/>
      <c r="R33" s="7">
        <f t="shared" si="24"/>
        <v>0</v>
      </c>
      <c r="S33" s="2"/>
      <c r="T33" s="6">
        <v>0</v>
      </c>
      <c r="U33" s="2"/>
      <c r="V33" s="7">
        <f t="shared" si="25"/>
        <v>0</v>
      </c>
      <c r="W33" s="2"/>
      <c r="X33" s="6">
        <f t="shared" si="26"/>
        <v>0</v>
      </c>
      <c r="Y33" s="2"/>
      <c r="Z33" s="7">
        <f t="shared" si="27"/>
        <v>0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0"/>
        <v>0</v>
      </c>
      <c r="G35" s="2"/>
      <c r="H35" s="6">
        <v>0</v>
      </c>
      <c r="I35" s="2"/>
      <c r="J35" s="7">
        <f t="shared" si="21"/>
        <v>0</v>
      </c>
      <c r="K35" s="2"/>
      <c r="L35" s="6">
        <f t="shared" si="22"/>
        <v>0</v>
      </c>
      <c r="M35" s="2"/>
      <c r="N35" s="7">
        <f t="shared" si="23"/>
        <v>0</v>
      </c>
      <c r="O35" s="11"/>
      <c r="P35" s="6"/>
      <c r="Q35" s="2"/>
      <c r="R35" s="7">
        <f t="shared" si="24"/>
        <v>0</v>
      </c>
      <c r="S35" s="2"/>
      <c r="T35" s="6">
        <v>0</v>
      </c>
      <c r="U35" s="2"/>
      <c r="V35" s="7">
        <f t="shared" si="25"/>
        <v>0</v>
      </c>
      <c r="W35" s="2"/>
      <c r="X35" s="6">
        <f t="shared" si="26"/>
        <v>0</v>
      </c>
      <c r="Y35" s="2"/>
      <c r="Z35" s="7">
        <f t="shared" si="27"/>
        <v>0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9"/>
      <c r="B38" s="11" t="str">
        <f>CONCATENATE("          ", "6008", " - ", "STUDENT HOURLY-FICA EXEMPT")</f>
        <v xml:space="preserve">          6008 - STUDENT HOURLY-FICA EXEMPT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9"/>
      <c r="B39" s="11" t="str">
        <f>CONCATENATE("          ", "6009", " - ", "TEMPORARY-SEASONAL")</f>
        <v xml:space="preserve">          6009 - TEMPORARY-SEASONAL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9"/>
      <c r="B40" s="11" t="str">
        <f>CONCATENATE("          ", "6010", " - ", "GRATUITY")</f>
        <v xml:space="preserve">          6010 - GRATUITY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47" si="28">IF(D$12=0,0,D41/D$12)</f>
        <v>0</v>
      </c>
      <c r="G41" s="1"/>
      <c r="H41" s="1">
        <f>SUM(OSRRefH22_2x_0)</f>
        <v>0</v>
      </c>
      <c r="I41" s="1"/>
      <c r="J41" s="5">
        <f t="shared" ref="J41:J47" si="29">IF(H$12=0,0,H41/H$12)</f>
        <v>0</v>
      </c>
      <c r="K41" s="1"/>
      <c r="L41" s="1">
        <f t="shared" ref="L41:L47" si="30">+D41-H41</f>
        <v>0</v>
      </c>
      <c r="M41" s="1"/>
      <c r="N41" s="5">
        <f t="shared" ref="N41:N47" si="31">IF(H41=0,0,L41/H41)</f>
        <v>0</v>
      </c>
      <c r="O41" s="14"/>
      <c r="P41" s="1">
        <f>SUM(OSRRefP22_2x_0)</f>
        <v>0</v>
      </c>
      <c r="Q41" s="1"/>
      <c r="R41" s="5">
        <f t="shared" ref="R41:R47" si="32">IF(P$12=0,0,P41/P$12)</f>
        <v>0</v>
      </c>
      <c r="S41" s="1"/>
      <c r="T41" s="1">
        <f>SUM(OSRRefT22_2x_0)</f>
        <v>0</v>
      </c>
      <c r="U41" s="1"/>
      <c r="V41" s="5">
        <f t="shared" ref="V41:V47" si="33">IF(T$12=0,0,T41/T$12)</f>
        <v>0</v>
      </c>
      <c r="W41" s="1"/>
      <c r="X41" s="1">
        <f t="shared" ref="X41:X47" si="34">+P41-T41</f>
        <v>0</v>
      </c>
      <c r="Y41" s="1"/>
      <c r="Z41" s="5">
        <f t="shared" ref="Z41:Z47" si="35">IF(T41=0,0,X41/T41)</f>
        <v>0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6"/>
      <c r="E42" s="2"/>
      <c r="F42" s="7">
        <f t="shared" si="28"/>
        <v>0</v>
      </c>
      <c r="G42" s="2"/>
      <c r="H42" s="6">
        <v>0</v>
      </c>
      <c r="I42" s="2"/>
      <c r="J42" s="7">
        <f t="shared" si="29"/>
        <v>0</v>
      </c>
      <c r="K42" s="2"/>
      <c r="L42" s="6">
        <f t="shared" si="30"/>
        <v>0</v>
      </c>
      <c r="M42" s="2"/>
      <c r="N42" s="7">
        <f t="shared" si="31"/>
        <v>0</v>
      </c>
      <c r="O42" s="11"/>
      <c r="P42" s="6"/>
      <c r="Q42" s="2"/>
      <c r="R42" s="7">
        <f t="shared" si="32"/>
        <v>0</v>
      </c>
      <c r="S42" s="2"/>
      <c r="T42" s="6">
        <v>0</v>
      </c>
      <c r="U42" s="2"/>
      <c r="V42" s="7">
        <f t="shared" si="33"/>
        <v>0</v>
      </c>
      <c r="W42" s="2"/>
      <c r="X42" s="6">
        <f t="shared" si="34"/>
        <v>0</v>
      </c>
      <c r="Y42" s="2"/>
      <c r="Z42" s="7">
        <f t="shared" si="35"/>
        <v>0</v>
      </c>
    </row>
    <row r="43" spans="1:26" s="28" customFormat="1" outlineLevel="1" collapsed="1" x14ac:dyDescent="0.25">
      <c r="A43" s="27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0</v>
      </c>
      <c r="U43" s="1"/>
      <c r="V43" s="5">
        <f t="shared" si="33"/>
        <v>0</v>
      </c>
      <c r="W43" s="1"/>
      <c r="X43" s="1">
        <f t="shared" si="34"/>
        <v>0</v>
      </c>
      <c r="Y43" s="1"/>
      <c r="Z43" s="5">
        <f t="shared" si="35"/>
        <v>0</v>
      </c>
    </row>
    <row r="44" spans="1:26" s="24" customFormat="1" hidden="1" outlineLevel="2" x14ac:dyDescent="0.25">
      <c r="A44" s="29"/>
      <c r="B44" s="11" t="str">
        <f>CONCATENATE("          ", "6381", " - ", "BANK/CREDIT CARD FEES")</f>
        <v xml:space="preserve">          6381 - BANK/CREDIT CARD FEES</v>
      </c>
      <c r="C44" s="11"/>
      <c r="D44" s="6"/>
      <c r="E44" s="2"/>
      <c r="F44" s="7">
        <f t="shared" si="28"/>
        <v>0</v>
      </c>
      <c r="G44" s="2"/>
      <c r="H44" s="6">
        <v>0</v>
      </c>
      <c r="I44" s="2"/>
      <c r="J44" s="7">
        <f t="shared" si="29"/>
        <v>0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/>
      <c r="Q44" s="2"/>
      <c r="R44" s="7">
        <f t="shared" si="32"/>
        <v>0</v>
      </c>
      <c r="S44" s="2"/>
      <c r="T44" s="6">
        <v>0</v>
      </c>
      <c r="U44" s="2"/>
      <c r="V44" s="7">
        <f t="shared" si="33"/>
        <v>0</v>
      </c>
      <c r="W44" s="2"/>
      <c r="X44" s="6">
        <f t="shared" si="34"/>
        <v>0</v>
      </c>
      <c r="Y44" s="2"/>
      <c r="Z44" s="7">
        <f t="shared" si="35"/>
        <v>0</v>
      </c>
    </row>
    <row r="45" spans="1:26" s="28" customFormat="1" outlineLevel="1" collapsed="1" x14ac:dyDescent="0.25">
      <c r="A45" s="27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SUM(OSRRefD22_4x_0)</f>
        <v>690.35</v>
      </c>
      <c r="E45" s="1"/>
      <c r="F45" s="5">
        <f t="shared" si="28"/>
        <v>0</v>
      </c>
      <c r="G45" s="1"/>
      <c r="H45" s="1">
        <f>SUM(OSRRefH22_4x_0)</f>
        <v>848</v>
      </c>
      <c r="I45" s="1"/>
      <c r="J45" s="5">
        <f t="shared" si="29"/>
        <v>0</v>
      </c>
      <c r="K45" s="1"/>
      <c r="L45" s="1">
        <f t="shared" si="30"/>
        <v>-157.64999999999998</v>
      </c>
      <c r="M45" s="1"/>
      <c r="N45" s="5">
        <f t="shared" si="31"/>
        <v>-0.18590801886792449</v>
      </c>
      <c r="O45" s="14"/>
      <c r="P45" s="1">
        <f>SUM(OSRRefP22_4x_0)</f>
        <v>2071.0700000000002</v>
      </c>
      <c r="Q45" s="1"/>
      <c r="R45" s="5">
        <f t="shared" si="32"/>
        <v>0</v>
      </c>
      <c r="S45" s="1"/>
      <c r="T45" s="1">
        <f>SUM(OSRRefT22_4x_0)</f>
        <v>2544</v>
      </c>
      <c r="U45" s="1"/>
      <c r="V45" s="5">
        <f t="shared" si="33"/>
        <v>0</v>
      </c>
      <c r="W45" s="1"/>
      <c r="X45" s="1">
        <f t="shared" si="34"/>
        <v>-472.92999999999984</v>
      </c>
      <c r="Y45" s="1"/>
      <c r="Z45" s="5">
        <f t="shared" si="35"/>
        <v>-0.18590015723270434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6">
        <v>690.35</v>
      </c>
      <c r="E46" s="2"/>
      <c r="F46" s="7">
        <f t="shared" si="28"/>
        <v>0</v>
      </c>
      <c r="G46" s="2"/>
      <c r="H46" s="6">
        <v>298</v>
      </c>
      <c r="I46" s="2"/>
      <c r="J46" s="7">
        <f t="shared" si="29"/>
        <v>0</v>
      </c>
      <c r="K46" s="2"/>
      <c r="L46" s="6">
        <f t="shared" si="30"/>
        <v>392.35</v>
      </c>
      <c r="M46" s="2"/>
      <c r="N46" s="7">
        <f t="shared" si="31"/>
        <v>1.3166107382550336</v>
      </c>
      <c r="O46" s="11"/>
      <c r="P46" s="6">
        <v>2071.0700000000002</v>
      </c>
      <c r="Q46" s="2"/>
      <c r="R46" s="7">
        <f t="shared" si="32"/>
        <v>0</v>
      </c>
      <c r="S46" s="2"/>
      <c r="T46" s="6">
        <v>894</v>
      </c>
      <c r="U46" s="2"/>
      <c r="V46" s="7">
        <f t="shared" si="33"/>
        <v>0</v>
      </c>
      <c r="W46" s="2"/>
      <c r="X46" s="6">
        <f t="shared" si="34"/>
        <v>1177.0700000000002</v>
      </c>
      <c r="Y46" s="2"/>
      <c r="Z46" s="7">
        <f t="shared" si="35"/>
        <v>1.316633109619687</v>
      </c>
    </row>
    <row r="47" spans="1:26" s="24" customFormat="1" hidden="1" outlineLevel="2" x14ac:dyDescent="0.25">
      <c r="A47" s="29"/>
      <c r="B47" s="11" t="str">
        <f>CONCATENATE("          ", "6326", " - ", "VEHICLES DEPRECIATION EXPENSE")</f>
        <v xml:space="preserve">          6326 - VEHICLES DEPRECIATION EXPENSE</v>
      </c>
      <c r="C47" s="11"/>
      <c r="D47" s="6"/>
      <c r="E47" s="2"/>
      <c r="F47" s="7">
        <f t="shared" si="28"/>
        <v>0</v>
      </c>
      <c r="G47" s="2"/>
      <c r="H47" s="6">
        <v>550</v>
      </c>
      <c r="I47" s="2"/>
      <c r="J47" s="7">
        <f t="shared" si="29"/>
        <v>0</v>
      </c>
      <c r="K47" s="2"/>
      <c r="L47" s="6">
        <f t="shared" si="30"/>
        <v>-550</v>
      </c>
      <c r="M47" s="2"/>
      <c r="N47" s="7">
        <f t="shared" si="31"/>
        <v>-1</v>
      </c>
      <c r="O47" s="11"/>
      <c r="P47" s="6"/>
      <c r="Q47" s="2"/>
      <c r="R47" s="7">
        <f t="shared" si="32"/>
        <v>0</v>
      </c>
      <c r="S47" s="2"/>
      <c r="T47" s="6">
        <v>1650</v>
      </c>
      <c r="U47" s="2"/>
      <c r="V47" s="7">
        <f t="shared" si="33"/>
        <v>0</v>
      </c>
      <c r="W47" s="2"/>
      <c r="X47" s="6">
        <f t="shared" si="34"/>
        <v>-1650</v>
      </c>
      <c r="Y47" s="2"/>
      <c r="Z47" s="7">
        <f t="shared" si="35"/>
        <v>-1</v>
      </c>
    </row>
    <row r="48" spans="1:26" s="28" customFormat="1" outlineLevel="1" collapsed="1" x14ac:dyDescent="0.25">
      <c r="A48" s="27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SUM(OSRRefD22_5x_0)</f>
        <v>0</v>
      </c>
      <c r="E48" s="1"/>
      <c r="F48" s="5">
        <f t="shared" ref="F48:F56" si="36">IF(D$12=0,0,D48/D$12)</f>
        <v>0</v>
      </c>
      <c r="G48" s="1"/>
      <c r="H48" s="1">
        <f>SUM(OSRRefH22_5x_0)</f>
        <v>0</v>
      </c>
      <c r="I48" s="1"/>
      <c r="J48" s="5">
        <f t="shared" ref="J48:J56" si="37">IF(H$12=0,0,H48/H$12)</f>
        <v>0</v>
      </c>
      <c r="K48" s="1"/>
      <c r="L48" s="1">
        <f t="shared" ref="L48:L56" si="38">+D48-H48</f>
        <v>0</v>
      </c>
      <c r="M48" s="1"/>
      <c r="N48" s="5">
        <f t="shared" ref="N48:N56" si="39">IF(H48=0,0,L48/H48)</f>
        <v>0</v>
      </c>
      <c r="O48" s="14"/>
      <c r="P48" s="1">
        <f>SUM(OSRRefP22_5x_0)</f>
        <v>0</v>
      </c>
      <c r="Q48" s="1"/>
      <c r="R48" s="5">
        <f t="shared" ref="R48:R56" si="40">IF(P$12=0,0,P48/P$12)</f>
        <v>0</v>
      </c>
      <c r="S48" s="1"/>
      <c r="T48" s="1">
        <f>SUM(OSRRefT22_5x_0)</f>
        <v>0</v>
      </c>
      <c r="U48" s="1"/>
      <c r="V48" s="5">
        <f t="shared" ref="V48:V56" si="41">IF(T$12=0,0,T48/T$12)</f>
        <v>0</v>
      </c>
      <c r="W48" s="1"/>
      <c r="X48" s="1">
        <f t="shared" ref="X48:X56" si="42">+P48-T48</f>
        <v>0</v>
      </c>
      <c r="Y48" s="1"/>
      <c r="Z48" s="5">
        <f t="shared" ref="Z48:Z56" si="43">IF(T48=0,0,X48/T48)</f>
        <v>0</v>
      </c>
    </row>
    <row r="49" spans="1:26" s="24" customFormat="1" hidden="1" outlineLevel="2" x14ac:dyDescent="0.25">
      <c r="A49" s="29"/>
      <c r="B49" s="11" t="str">
        <f>CONCATENATE("          ", "6277", " - ", "EMPLOYEE APPRECIATION")</f>
        <v xml:space="preserve">          6277 - EMPLOYEE APPRECIATION</v>
      </c>
      <c r="C49" s="11"/>
      <c r="D49" s="6"/>
      <c r="E49" s="2"/>
      <c r="F49" s="7">
        <f t="shared" si="36"/>
        <v>0</v>
      </c>
      <c r="G49" s="2"/>
      <c r="H49" s="6">
        <v>0</v>
      </c>
      <c r="I49" s="2"/>
      <c r="J49" s="7">
        <f t="shared" si="37"/>
        <v>0</v>
      </c>
      <c r="K49" s="2"/>
      <c r="L49" s="6">
        <f t="shared" si="38"/>
        <v>0</v>
      </c>
      <c r="M49" s="2"/>
      <c r="N49" s="7">
        <f t="shared" si="39"/>
        <v>0</v>
      </c>
      <c r="O49" s="11"/>
      <c r="P49" s="6"/>
      <c r="Q49" s="2"/>
      <c r="R49" s="7">
        <f t="shared" si="40"/>
        <v>0</v>
      </c>
      <c r="S49" s="2"/>
      <c r="T49" s="6">
        <v>0</v>
      </c>
      <c r="U49" s="2"/>
      <c r="V49" s="7">
        <f t="shared" si="41"/>
        <v>0</v>
      </c>
      <c r="W49" s="2"/>
      <c r="X49" s="6">
        <f t="shared" si="42"/>
        <v>0</v>
      </c>
      <c r="Y49" s="2"/>
      <c r="Z49" s="7">
        <f t="shared" si="43"/>
        <v>0</v>
      </c>
    </row>
    <row r="50" spans="1:26" s="28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SUM(OSRRefD22_6x_0)</f>
        <v>0</v>
      </c>
      <c r="E50" s="1"/>
      <c r="F50" s="5">
        <f t="shared" si="36"/>
        <v>0</v>
      </c>
      <c r="G50" s="1"/>
      <c r="H50" s="1">
        <f>SUM(OSRRefH22_6x_0)</f>
        <v>0</v>
      </c>
      <c r="I50" s="1"/>
      <c r="J50" s="5">
        <f t="shared" si="37"/>
        <v>0</v>
      </c>
      <c r="K50" s="1"/>
      <c r="L50" s="1">
        <f t="shared" si="38"/>
        <v>0</v>
      </c>
      <c r="M50" s="1"/>
      <c r="N50" s="5">
        <f t="shared" si="39"/>
        <v>0</v>
      </c>
      <c r="O50" s="14"/>
      <c r="P50" s="1">
        <f>SUM(OSRRefP22_6x_0)</f>
        <v>16.239999999999998</v>
      </c>
      <c r="Q50" s="1"/>
      <c r="R50" s="5">
        <f t="shared" si="40"/>
        <v>0</v>
      </c>
      <c r="S50" s="1"/>
      <c r="T50" s="1">
        <f>SUM(OSRRefT22_6x_0)</f>
        <v>0</v>
      </c>
      <c r="U50" s="1"/>
      <c r="V50" s="5">
        <f t="shared" si="41"/>
        <v>0</v>
      </c>
      <c r="W50" s="1"/>
      <c r="X50" s="1">
        <f t="shared" si="42"/>
        <v>16.239999999999998</v>
      </c>
      <c r="Y50" s="1"/>
      <c r="Z50" s="5">
        <f t="shared" si="43"/>
        <v>0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6"/>
      <c r="E51" s="2"/>
      <c r="F51" s="7">
        <f t="shared" si="36"/>
        <v>0</v>
      </c>
      <c r="G51" s="2"/>
      <c r="H51" s="6">
        <v>0</v>
      </c>
      <c r="I51" s="2"/>
      <c r="J51" s="7">
        <f t="shared" si="37"/>
        <v>0</v>
      </c>
      <c r="K51" s="2"/>
      <c r="L51" s="6">
        <f t="shared" si="38"/>
        <v>0</v>
      </c>
      <c r="M51" s="2"/>
      <c r="N51" s="7">
        <f t="shared" si="39"/>
        <v>0</v>
      </c>
      <c r="O51" s="11"/>
      <c r="P51" s="6">
        <v>16.239999999999998</v>
      </c>
      <c r="Q51" s="2"/>
      <c r="R51" s="7">
        <f t="shared" si="40"/>
        <v>0</v>
      </c>
      <c r="S51" s="2"/>
      <c r="T51" s="6">
        <v>0</v>
      </c>
      <c r="U51" s="2"/>
      <c r="V51" s="7">
        <f t="shared" si="41"/>
        <v>0</v>
      </c>
      <c r="W51" s="2"/>
      <c r="X51" s="6">
        <f t="shared" si="42"/>
        <v>16.239999999999998</v>
      </c>
      <c r="Y51" s="2"/>
      <c r="Z51" s="7">
        <f t="shared" si="43"/>
        <v>0</v>
      </c>
    </row>
    <row r="52" spans="1:26" s="28" customFormat="1" outlineLevel="1" collapsed="1" x14ac:dyDescent="0.25">
      <c r="A52" s="27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SUM(OSRRefD22_7x_0)</f>
        <v>0</v>
      </c>
      <c r="E52" s="1"/>
      <c r="F52" s="5">
        <f t="shared" si="36"/>
        <v>0</v>
      </c>
      <c r="G52" s="1"/>
      <c r="H52" s="1">
        <f>SUM(OSRRefH22_7x_0)</f>
        <v>0</v>
      </c>
      <c r="I52" s="1"/>
      <c r="J52" s="5">
        <f t="shared" si="37"/>
        <v>0</v>
      </c>
      <c r="K52" s="1"/>
      <c r="L52" s="1">
        <f t="shared" si="38"/>
        <v>0</v>
      </c>
      <c r="M52" s="1"/>
      <c r="N52" s="5">
        <f t="shared" si="39"/>
        <v>0</v>
      </c>
      <c r="O52" s="14"/>
      <c r="P52" s="1">
        <f>SUM(OSRRefP22_7x_0)</f>
        <v>0</v>
      </c>
      <c r="Q52" s="1"/>
      <c r="R52" s="5">
        <f t="shared" si="40"/>
        <v>0</v>
      </c>
      <c r="S52" s="1"/>
      <c r="T52" s="1">
        <f>SUM(OSRRefT22_7x_0)</f>
        <v>0</v>
      </c>
      <c r="U52" s="1"/>
      <c r="V52" s="5">
        <f t="shared" si="41"/>
        <v>0</v>
      </c>
      <c r="W52" s="1"/>
      <c r="X52" s="1">
        <f t="shared" si="42"/>
        <v>0</v>
      </c>
      <c r="Y52" s="1"/>
      <c r="Z52" s="5">
        <f t="shared" si="43"/>
        <v>0</v>
      </c>
    </row>
    <row r="53" spans="1:26" s="24" customFormat="1" hidden="1" outlineLevel="2" x14ac:dyDescent="0.25">
      <c r="A53" s="29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36"/>
        <v>0</v>
      </c>
      <c r="G53" s="2"/>
      <c r="H53" s="6">
        <v>0</v>
      </c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/>
      <c r="Q53" s="2"/>
      <c r="R53" s="7">
        <f t="shared" si="40"/>
        <v>0</v>
      </c>
      <c r="S53" s="2"/>
      <c r="T53" s="6">
        <v>0</v>
      </c>
      <c r="U53" s="2"/>
      <c r="V53" s="7">
        <f t="shared" si="41"/>
        <v>0</v>
      </c>
      <c r="W53" s="2"/>
      <c r="X53" s="6">
        <f t="shared" si="42"/>
        <v>0</v>
      </c>
      <c r="Y53" s="2"/>
      <c r="Z53" s="7">
        <f t="shared" si="43"/>
        <v>0</v>
      </c>
    </row>
    <row r="54" spans="1:26" s="28" customFormat="1" outlineLevel="1" collapsed="1" x14ac:dyDescent="0.25">
      <c r="A54" s="27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SUM(OSRRefD22_8x_0)</f>
        <v>60.6</v>
      </c>
      <c r="E54" s="1"/>
      <c r="F54" s="5">
        <f t="shared" si="36"/>
        <v>0</v>
      </c>
      <c r="G54" s="1"/>
      <c r="H54" s="1">
        <f>SUM(OSRRefH22_8x_0)</f>
        <v>0</v>
      </c>
      <c r="I54" s="1"/>
      <c r="J54" s="5">
        <f t="shared" si="37"/>
        <v>0</v>
      </c>
      <c r="K54" s="1"/>
      <c r="L54" s="1">
        <f t="shared" si="38"/>
        <v>60.6</v>
      </c>
      <c r="M54" s="1"/>
      <c r="N54" s="5">
        <f t="shared" si="39"/>
        <v>0</v>
      </c>
      <c r="O54" s="14"/>
      <c r="P54" s="1">
        <f>SUM(OSRRefP22_8x_0)</f>
        <v>217.8</v>
      </c>
      <c r="Q54" s="1"/>
      <c r="R54" s="5">
        <f t="shared" si="40"/>
        <v>0</v>
      </c>
      <c r="S54" s="1"/>
      <c r="T54" s="1">
        <f>SUM(OSRRefT22_8x_0)</f>
        <v>0</v>
      </c>
      <c r="U54" s="1"/>
      <c r="V54" s="5">
        <f t="shared" si="41"/>
        <v>0</v>
      </c>
      <c r="W54" s="1"/>
      <c r="X54" s="1">
        <f t="shared" si="42"/>
        <v>217.8</v>
      </c>
      <c r="Y54" s="1"/>
      <c r="Z54" s="5">
        <f t="shared" si="43"/>
        <v>0</v>
      </c>
    </row>
    <row r="55" spans="1:26" s="24" customFormat="1" hidden="1" outlineLevel="2" x14ac:dyDescent="0.25">
      <c r="A55" s="29"/>
      <c r="B55" s="11" t="str">
        <f>CONCATENATE("          ", "6373", " - ", "MAINTENANCE CONTRACTS")</f>
        <v xml:space="preserve">          6373 - MAINTENANCE CONTRACTS</v>
      </c>
      <c r="C55" s="11"/>
      <c r="D55" s="6">
        <v>60.6</v>
      </c>
      <c r="E55" s="2"/>
      <c r="F55" s="7">
        <f t="shared" si="36"/>
        <v>0</v>
      </c>
      <c r="G55" s="2"/>
      <c r="H55" s="6"/>
      <c r="I55" s="2"/>
      <c r="J55" s="7">
        <f t="shared" si="37"/>
        <v>0</v>
      </c>
      <c r="K55" s="2"/>
      <c r="L55" s="6">
        <f t="shared" si="38"/>
        <v>60.6</v>
      </c>
      <c r="M55" s="2"/>
      <c r="N55" s="7">
        <f t="shared" si="39"/>
        <v>0</v>
      </c>
      <c r="O55" s="11"/>
      <c r="P55" s="6">
        <v>217.8</v>
      </c>
      <c r="Q55" s="2"/>
      <c r="R55" s="7">
        <f t="shared" si="40"/>
        <v>0</v>
      </c>
      <c r="S55" s="2"/>
      <c r="T55" s="6"/>
      <c r="U55" s="2"/>
      <c r="V55" s="7">
        <f t="shared" si="41"/>
        <v>0</v>
      </c>
      <c r="W55" s="2"/>
      <c r="X55" s="6">
        <f t="shared" si="42"/>
        <v>217.8</v>
      </c>
      <c r="Y55" s="2"/>
      <c r="Z55" s="7">
        <f t="shared" si="43"/>
        <v>0</v>
      </c>
    </row>
    <row r="56" spans="1:26" s="24" customFormat="1" hidden="1" outlineLevel="2" x14ac:dyDescent="0.25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36"/>
        <v>0</v>
      </c>
      <c r="G56" s="2"/>
      <c r="H56" s="6">
        <v>0</v>
      </c>
      <c r="I56" s="2"/>
      <c r="J56" s="7">
        <f t="shared" si="37"/>
        <v>0</v>
      </c>
      <c r="K56" s="2"/>
      <c r="L56" s="6">
        <f t="shared" si="38"/>
        <v>0</v>
      </c>
      <c r="M56" s="2"/>
      <c r="N56" s="7">
        <f t="shared" si="39"/>
        <v>0</v>
      </c>
      <c r="O56" s="11"/>
      <c r="P56" s="6"/>
      <c r="Q56" s="2"/>
      <c r="R56" s="7">
        <f t="shared" si="40"/>
        <v>0</v>
      </c>
      <c r="S56" s="2"/>
      <c r="T56" s="6">
        <v>0</v>
      </c>
      <c r="U56" s="2"/>
      <c r="V56" s="7">
        <f t="shared" si="41"/>
        <v>0</v>
      </c>
      <c r="W56" s="2"/>
      <c r="X56" s="6">
        <f t="shared" si="42"/>
        <v>0</v>
      </c>
      <c r="Y56" s="2"/>
      <c r="Z56" s="7">
        <f t="shared" si="43"/>
        <v>0</v>
      </c>
    </row>
    <row r="57" spans="1:26" s="28" customFormat="1" outlineLevel="1" collapsed="1" x14ac:dyDescent="0.25">
      <c r="A57" s="27"/>
      <c r="B57" s="14" t="str">
        <f>CONCATENATE("     ","Royalty &amp; Commissions                             ")</f>
        <v xml:space="preserve">     Royalty &amp; Commissions                             </v>
      </c>
      <c r="C57" s="14"/>
      <c r="D57" s="1">
        <f>SUM(OSRRefD22_9x_0)</f>
        <v>0</v>
      </c>
      <c r="E57" s="1"/>
      <c r="F57" s="5">
        <f t="shared" ref="F57:F63" si="44">IF(D$12=0,0,D57/D$12)</f>
        <v>0</v>
      </c>
      <c r="G57" s="1"/>
      <c r="H57" s="1">
        <f>SUM(OSRRefH22_9x_0)</f>
        <v>0</v>
      </c>
      <c r="I57" s="1"/>
      <c r="J57" s="5">
        <f t="shared" ref="J57:J63" si="45">IF(H$12=0,0,H57/H$12)</f>
        <v>0</v>
      </c>
      <c r="K57" s="1"/>
      <c r="L57" s="1">
        <f t="shared" ref="L57:L63" si="46">+D57-H57</f>
        <v>0</v>
      </c>
      <c r="M57" s="1"/>
      <c r="N57" s="5">
        <f t="shared" ref="N57:N63" si="47">IF(H57=0,0,L57/H57)</f>
        <v>0</v>
      </c>
      <c r="O57" s="14"/>
      <c r="P57" s="1">
        <f>SUM(OSRRefP22_9x_0)</f>
        <v>0</v>
      </c>
      <c r="Q57" s="1"/>
      <c r="R57" s="5">
        <f t="shared" ref="R57:R63" si="48">IF(P$12=0,0,P57/P$12)</f>
        <v>0</v>
      </c>
      <c r="S57" s="1"/>
      <c r="T57" s="1">
        <f>SUM(OSRRefT22_9x_0)</f>
        <v>0</v>
      </c>
      <c r="U57" s="1"/>
      <c r="V57" s="5">
        <f t="shared" ref="V57:V63" si="49">IF(T$12=0,0,T57/T$12)</f>
        <v>0</v>
      </c>
      <c r="W57" s="1"/>
      <c r="X57" s="1">
        <f t="shared" ref="X57:X63" si="50">+P57-T57</f>
        <v>0</v>
      </c>
      <c r="Y57" s="1"/>
      <c r="Z57" s="5">
        <f t="shared" ref="Z57:Z63" si="51">IF(T57=0,0,X57/T57)</f>
        <v>0</v>
      </c>
    </row>
    <row r="58" spans="1:26" s="24" customFormat="1" hidden="1" outlineLevel="2" x14ac:dyDescent="0.25">
      <c r="A58" s="29"/>
      <c r="B58" s="11" t="str">
        <f>CONCATENATE("          ", "6254", " - ", "ROYALTY &amp; COMMISSIONS")</f>
        <v xml:space="preserve">          6254 - ROYALTY &amp; COMMISSIONS</v>
      </c>
      <c r="C58" s="11"/>
      <c r="D58" s="6"/>
      <c r="E58" s="2"/>
      <c r="F58" s="7">
        <f t="shared" si="44"/>
        <v>0</v>
      </c>
      <c r="G58" s="2"/>
      <c r="H58" s="6">
        <v>0</v>
      </c>
      <c r="I58" s="2"/>
      <c r="J58" s="7">
        <f t="shared" si="45"/>
        <v>0</v>
      </c>
      <c r="K58" s="2"/>
      <c r="L58" s="6">
        <f t="shared" si="46"/>
        <v>0</v>
      </c>
      <c r="M58" s="2"/>
      <c r="N58" s="7">
        <f t="shared" si="47"/>
        <v>0</v>
      </c>
      <c r="O58" s="11"/>
      <c r="P58" s="6"/>
      <c r="Q58" s="2"/>
      <c r="R58" s="7">
        <f t="shared" si="48"/>
        <v>0</v>
      </c>
      <c r="S58" s="2"/>
      <c r="T58" s="6">
        <v>0</v>
      </c>
      <c r="U58" s="2"/>
      <c r="V58" s="7">
        <f t="shared" si="49"/>
        <v>0</v>
      </c>
      <c r="W58" s="2"/>
      <c r="X58" s="6">
        <f t="shared" si="50"/>
        <v>0</v>
      </c>
      <c r="Y58" s="2"/>
      <c r="Z58" s="7">
        <f t="shared" si="51"/>
        <v>0</v>
      </c>
    </row>
    <row r="59" spans="1:26" s="28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SUM(OSRRefD22_10x_0)</f>
        <v>0</v>
      </c>
      <c r="E59" s="1"/>
      <c r="F59" s="5">
        <f t="shared" si="44"/>
        <v>0</v>
      </c>
      <c r="G59" s="1"/>
      <c r="H59" s="1">
        <f>SUM(OSRRefH22_10x_0)</f>
        <v>0</v>
      </c>
      <c r="I59" s="1"/>
      <c r="J59" s="5">
        <f t="shared" si="45"/>
        <v>0</v>
      </c>
      <c r="K59" s="1"/>
      <c r="L59" s="1">
        <f t="shared" si="46"/>
        <v>0</v>
      </c>
      <c r="M59" s="1"/>
      <c r="N59" s="5">
        <f t="shared" si="47"/>
        <v>0</v>
      </c>
      <c r="O59" s="14"/>
      <c r="P59" s="1">
        <f>SUM(OSRRefP22_10x_0)</f>
        <v>320.58</v>
      </c>
      <c r="Q59" s="1"/>
      <c r="R59" s="5">
        <f t="shared" si="48"/>
        <v>0</v>
      </c>
      <c r="S59" s="1"/>
      <c r="T59" s="1">
        <f>SUM(OSRRefT22_10x_0)</f>
        <v>0</v>
      </c>
      <c r="U59" s="1"/>
      <c r="V59" s="5">
        <f t="shared" si="49"/>
        <v>0</v>
      </c>
      <c r="W59" s="1"/>
      <c r="X59" s="1">
        <f t="shared" si="50"/>
        <v>320.58</v>
      </c>
      <c r="Y59" s="1"/>
      <c r="Z59" s="5">
        <f t="shared" si="51"/>
        <v>0</v>
      </c>
    </row>
    <row r="60" spans="1:26" s="24" customFormat="1" hidden="1" outlineLevel="2" x14ac:dyDescent="0.25">
      <c r="A60" s="29"/>
      <c r="B60" s="11" t="str">
        <f>CONCATENATE("          ", "6282", " - ", "JANITORIAL/EXTERMINATOR EXPENS")</f>
        <v xml:space="preserve">          6282 - JANITORIAL/EXTERMINATOR EXPENS</v>
      </c>
      <c r="C60" s="11"/>
      <c r="D60" s="6"/>
      <c r="E60" s="2"/>
      <c r="F60" s="7">
        <f t="shared" si="44"/>
        <v>0</v>
      </c>
      <c r="G60" s="2"/>
      <c r="H60" s="6">
        <v>0</v>
      </c>
      <c r="I60" s="2"/>
      <c r="J60" s="7">
        <f t="shared" si="45"/>
        <v>0</v>
      </c>
      <c r="K60" s="2"/>
      <c r="L60" s="6">
        <f t="shared" si="46"/>
        <v>0</v>
      </c>
      <c r="M60" s="2"/>
      <c r="N60" s="7">
        <f t="shared" si="47"/>
        <v>0</v>
      </c>
      <c r="O60" s="11"/>
      <c r="P60" s="6"/>
      <c r="Q60" s="2"/>
      <c r="R60" s="7">
        <f t="shared" si="48"/>
        <v>0</v>
      </c>
      <c r="S60" s="2"/>
      <c r="T60" s="6">
        <v>0</v>
      </c>
      <c r="U60" s="2"/>
      <c r="V60" s="7">
        <f t="shared" si="49"/>
        <v>0</v>
      </c>
      <c r="W60" s="2"/>
      <c r="X60" s="6">
        <f t="shared" si="50"/>
        <v>0</v>
      </c>
      <c r="Y60" s="2"/>
      <c r="Z60" s="7">
        <f t="shared" si="51"/>
        <v>0</v>
      </c>
    </row>
    <row r="61" spans="1:26" s="24" customFormat="1" hidden="1" outlineLevel="2" x14ac:dyDescent="0.25">
      <c r="A61" s="29"/>
      <c r="B61" s="11" t="str">
        <f>CONCATENATE("          ", "6283", " - ", "PLANT SERVICE")</f>
        <v xml:space="preserve">          6283 - PLANT SERVICE</v>
      </c>
      <c r="C61" s="11"/>
      <c r="D61" s="6"/>
      <c r="E61" s="2"/>
      <c r="F61" s="7">
        <f t="shared" si="44"/>
        <v>0</v>
      </c>
      <c r="G61" s="2"/>
      <c r="H61" s="6">
        <v>0</v>
      </c>
      <c r="I61" s="2"/>
      <c r="J61" s="7">
        <f t="shared" si="45"/>
        <v>0</v>
      </c>
      <c r="K61" s="2"/>
      <c r="L61" s="6">
        <f t="shared" si="46"/>
        <v>0</v>
      </c>
      <c r="M61" s="2"/>
      <c r="N61" s="7">
        <f t="shared" si="47"/>
        <v>0</v>
      </c>
      <c r="O61" s="11"/>
      <c r="P61" s="6"/>
      <c r="Q61" s="2"/>
      <c r="R61" s="7">
        <f t="shared" si="48"/>
        <v>0</v>
      </c>
      <c r="S61" s="2"/>
      <c r="T61" s="6">
        <v>0</v>
      </c>
      <c r="U61" s="2"/>
      <c r="V61" s="7">
        <f t="shared" si="49"/>
        <v>0</v>
      </c>
      <c r="W61" s="2"/>
      <c r="X61" s="6">
        <f t="shared" si="50"/>
        <v>0</v>
      </c>
      <c r="Y61" s="2"/>
      <c r="Z61" s="7">
        <f t="shared" si="51"/>
        <v>0</v>
      </c>
    </row>
    <row r="62" spans="1:26" s="24" customFormat="1" hidden="1" outlineLevel="2" x14ac:dyDescent="0.25">
      <c r="A62" s="29"/>
      <c r="B62" s="11" t="str">
        <f>CONCATENATE("          ", "6285", " - ", "JANITORIAL SERVICES")</f>
        <v xml:space="preserve">          6285 - JANITORIAL SERVICES</v>
      </c>
      <c r="C62" s="11"/>
      <c r="D62" s="6"/>
      <c r="E62" s="2"/>
      <c r="F62" s="7">
        <f t="shared" si="44"/>
        <v>0</v>
      </c>
      <c r="G62" s="2"/>
      <c r="H62" s="6">
        <v>0</v>
      </c>
      <c r="I62" s="2"/>
      <c r="J62" s="7">
        <f t="shared" si="45"/>
        <v>0</v>
      </c>
      <c r="K62" s="2"/>
      <c r="L62" s="6">
        <f t="shared" si="46"/>
        <v>0</v>
      </c>
      <c r="M62" s="2"/>
      <c r="N62" s="7">
        <f t="shared" si="47"/>
        <v>0</v>
      </c>
      <c r="O62" s="11"/>
      <c r="P62" s="6"/>
      <c r="Q62" s="2"/>
      <c r="R62" s="7">
        <f t="shared" si="48"/>
        <v>0</v>
      </c>
      <c r="S62" s="2"/>
      <c r="T62" s="6">
        <v>0</v>
      </c>
      <c r="U62" s="2"/>
      <c r="V62" s="7">
        <f t="shared" si="49"/>
        <v>0</v>
      </c>
      <c r="W62" s="2"/>
      <c r="X62" s="6">
        <f t="shared" si="50"/>
        <v>0</v>
      </c>
      <c r="Y62" s="2"/>
      <c r="Z62" s="7">
        <f t="shared" si="51"/>
        <v>0</v>
      </c>
    </row>
    <row r="63" spans="1:26" s="24" customFormat="1" hidden="1" outlineLevel="2" x14ac:dyDescent="0.25">
      <c r="A63" s="29"/>
      <c r="B63" s="11" t="str">
        <f>CONCATENATE("          ", "6286", " - ", "LAUNDRY EXPENSE")</f>
        <v xml:space="preserve">          6286 - LAUNDRY EXPENSE</v>
      </c>
      <c r="C63" s="11"/>
      <c r="D63" s="6"/>
      <c r="E63" s="2"/>
      <c r="F63" s="7">
        <f t="shared" si="44"/>
        <v>0</v>
      </c>
      <c r="G63" s="2"/>
      <c r="H63" s="6">
        <v>0</v>
      </c>
      <c r="I63" s="2"/>
      <c r="J63" s="7">
        <f t="shared" si="45"/>
        <v>0</v>
      </c>
      <c r="K63" s="2"/>
      <c r="L63" s="6">
        <f t="shared" si="46"/>
        <v>0</v>
      </c>
      <c r="M63" s="2"/>
      <c r="N63" s="7">
        <f t="shared" si="47"/>
        <v>0</v>
      </c>
      <c r="O63" s="11"/>
      <c r="P63" s="6">
        <v>320.58</v>
      </c>
      <c r="Q63" s="2"/>
      <c r="R63" s="7">
        <f t="shared" si="48"/>
        <v>0</v>
      </c>
      <c r="S63" s="2"/>
      <c r="T63" s="6">
        <v>0</v>
      </c>
      <c r="U63" s="2"/>
      <c r="V63" s="7">
        <f t="shared" si="49"/>
        <v>0</v>
      </c>
      <c r="W63" s="2"/>
      <c r="X63" s="6">
        <f t="shared" si="50"/>
        <v>320.58</v>
      </c>
      <c r="Y63" s="2"/>
      <c r="Z63" s="7">
        <f t="shared" si="51"/>
        <v>0</v>
      </c>
    </row>
    <row r="64" spans="1:26" s="28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SUM(OSRRefD22_11x_0)</f>
        <v>0</v>
      </c>
      <c r="E64" s="1"/>
      <c r="F64" s="5">
        <f t="shared" ref="F64:F69" si="52">IF(D$12=0,0,D64/D$12)</f>
        <v>0</v>
      </c>
      <c r="G64" s="1"/>
      <c r="H64" s="1">
        <f>SUM(OSRRefH22_11x_0)</f>
        <v>0</v>
      </c>
      <c r="I64" s="1"/>
      <c r="J64" s="5">
        <f t="shared" ref="J64:J69" si="53">IF(H$12=0,0,H64/H$12)</f>
        <v>0</v>
      </c>
      <c r="K64" s="1"/>
      <c r="L64" s="1">
        <f t="shared" ref="L64:L69" si="54">+D64-H64</f>
        <v>0</v>
      </c>
      <c r="M64" s="1"/>
      <c r="N64" s="5">
        <f t="shared" ref="N64:N69" si="55">IF(H64=0,0,L64/H64)</f>
        <v>0</v>
      </c>
      <c r="O64" s="14"/>
      <c r="P64" s="1">
        <f>SUM(OSRRefP22_11x_0)</f>
        <v>0</v>
      </c>
      <c r="Q64" s="1"/>
      <c r="R64" s="5">
        <f t="shared" ref="R64:R69" si="56">IF(P$12=0,0,P64/P$12)</f>
        <v>0</v>
      </c>
      <c r="S64" s="1"/>
      <c r="T64" s="1">
        <f>SUM(OSRRefT22_11x_0)</f>
        <v>0</v>
      </c>
      <c r="U64" s="1"/>
      <c r="V64" s="5">
        <f t="shared" ref="V64:V69" si="57">IF(T$12=0,0,T64/T$12)</f>
        <v>0</v>
      </c>
      <c r="W64" s="1"/>
      <c r="X64" s="1">
        <f t="shared" ref="X64:X69" si="58">+P64-T64</f>
        <v>0</v>
      </c>
      <c r="Y64" s="1"/>
      <c r="Z64" s="5">
        <f t="shared" ref="Z64:Z69" si="59">IF(T64=0,0,X64/T64)</f>
        <v>0</v>
      </c>
    </row>
    <row r="65" spans="1:26" s="24" customFormat="1" hidden="1" outlineLevel="2" x14ac:dyDescent="0.25">
      <c r="A65" s="29"/>
      <c r="B65" s="11" t="str">
        <f>CONCATENATE("          ", "6235", " - ", "COVID-19 EXPENSES")</f>
        <v xml:space="preserve">          6235 - COVID-19 EXPENSES</v>
      </c>
      <c r="C65" s="11"/>
      <c r="D65" s="6"/>
      <c r="E65" s="2"/>
      <c r="F65" s="7">
        <f t="shared" si="52"/>
        <v>0</v>
      </c>
      <c r="G65" s="2"/>
      <c r="H65" s="6">
        <v>0</v>
      </c>
      <c r="I65" s="2"/>
      <c r="J65" s="7">
        <f t="shared" si="53"/>
        <v>0</v>
      </c>
      <c r="K65" s="2"/>
      <c r="L65" s="6">
        <f t="shared" si="54"/>
        <v>0</v>
      </c>
      <c r="M65" s="2"/>
      <c r="N65" s="7">
        <f t="shared" si="55"/>
        <v>0</v>
      </c>
      <c r="O65" s="11"/>
      <c r="P65" s="6"/>
      <c r="Q65" s="2"/>
      <c r="R65" s="7">
        <f t="shared" si="56"/>
        <v>0</v>
      </c>
      <c r="S65" s="2"/>
      <c r="T65" s="6">
        <v>0</v>
      </c>
      <c r="U65" s="2"/>
      <c r="V65" s="7">
        <f t="shared" si="57"/>
        <v>0</v>
      </c>
      <c r="W65" s="2"/>
      <c r="X65" s="6">
        <f t="shared" si="58"/>
        <v>0</v>
      </c>
      <c r="Y65" s="2"/>
      <c r="Z65" s="7">
        <f t="shared" si="59"/>
        <v>0</v>
      </c>
    </row>
    <row r="66" spans="1:26" s="24" customFormat="1" hidden="1" outlineLevel="2" x14ac:dyDescent="0.25">
      <c r="A66" s="29"/>
      <c r="B66" s="11" t="str">
        <f>CONCATENATE("          ", "6241", " - ", "OFFICE EXPENSE")</f>
        <v xml:space="preserve">          6241 - OFFICE EXPENSE</v>
      </c>
      <c r="C66" s="11"/>
      <c r="D66" s="6"/>
      <c r="E66" s="2"/>
      <c r="F66" s="7">
        <f t="shared" si="52"/>
        <v>0</v>
      </c>
      <c r="G66" s="2"/>
      <c r="H66" s="6"/>
      <c r="I66" s="2"/>
      <c r="J66" s="7">
        <f t="shared" si="53"/>
        <v>0</v>
      </c>
      <c r="K66" s="2"/>
      <c r="L66" s="6">
        <f t="shared" si="54"/>
        <v>0</v>
      </c>
      <c r="M66" s="2"/>
      <c r="N66" s="7">
        <f t="shared" si="55"/>
        <v>0</v>
      </c>
      <c r="O66" s="11"/>
      <c r="P66" s="6"/>
      <c r="Q66" s="2"/>
      <c r="R66" s="7">
        <f t="shared" si="56"/>
        <v>0</v>
      </c>
      <c r="S66" s="2"/>
      <c r="T66" s="6">
        <v>0</v>
      </c>
      <c r="U66" s="2"/>
      <c r="V66" s="7">
        <f t="shared" si="57"/>
        <v>0</v>
      </c>
      <c r="W66" s="2"/>
      <c r="X66" s="6">
        <f t="shared" si="58"/>
        <v>0</v>
      </c>
      <c r="Y66" s="2"/>
      <c r="Z66" s="7">
        <f t="shared" si="59"/>
        <v>0</v>
      </c>
    </row>
    <row r="67" spans="1:26" s="24" customFormat="1" hidden="1" outlineLevel="2" x14ac:dyDescent="0.25">
      <c r="A67" s="29"/>
      <c r="B67" s="11" t="str">
        <f>CONCATENATE("          ", "6243", " - ", "PAPER SUPPLIES")</f>
        <v xml:space="preserve">          6243 - PAPER SUPPLIES</v>
      </c>
      <c r="C67" s="11"/>
      <c r="D67" s="6"/>
      <c r="E67" s="2"/>
      <c r="F67" s="7">
        <f t="shared" si="52"/>
        <v>0</v>
      </c>
      <c r="G67" s="2"/>
      <c r="H67" s="6"/>
      <c r="I67" s="2"/>
      <c r="J67" s="7">
        <f t="shared" si="53"/>
        <v>0</v>
      </c>
      <c r="K67" s="2"/>
      <c r="L67" s="6">
        <f t="shared" si="54"/>
        <v>0</v>
      </c>
      <c r="M67" s="2"/>
      <c r="N67" s="7">
        <f t="shared" si="55"/>
        <v>0</v>
      </c>
      <c r="O67" s="11"/>
      <c r="P67" s="6"/>
      <c r="Q67" s="2"/>
      <c r="R67" s="7">
        <f t="shared" si="56"/>
        <v>0</v>
      </c>
      <c r="S67" s="2"/>
      <c r="T67" s="6">
        <v>0</v>
      </c>
      <c r="U67" s="2"/>
      <c r="V67" s="7">
        <f t="shared" si="57"/>
        <v>0</v>
      </c>
      <c r="W67" s="2"/>
      <c r="X67" s="6">
        <f t="shared" si="58"/>
        <v>0</v>
      </c>
      <c r="Y67" s="2"/>
      <c r="Z67" s="7">
        <f t="shared" si="59"/>
        <v>0</v>
      </c>
    </row>
    <row r="68" spans="1:26" s="24" customFormat="1" hidden="1" outlineLevel="2" x14ac:dyDescent="0.25">
      <c r="A68" s="29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52"/>
        <v>0</v>
      </c>
      <c r="G68" s="2"/>
      <c r="H68" s="6">
        <v>0</v>
      </c>
      <c r="I68" s="2"/>
      <c r="J68" s="7">
        <f t="shared" si="53"/>
        <v>0</v>
      </c>
      <c r="K68" s="2"/>
      <c r="L68" s="6">
        <f t="shared" si="54"/>
        <v>0</v>
      </c>
      <c r="M68" s="2"/>
      <c r="N68" s="7">
        <f t="shared" si="55"/>
        <v>0</v>
      </c>
      <c r="O68" s="11"/>
      <c r="P68" s="6"/>
      <c r="Q68" s="2"/>
      <c r="R68" s="7">
        <f t="shared" si="56"/>
        <v>0</v>
      </c>
      <c r="S68" s="2"/>
      <c r="T68" s="6">
        <v>0</v>
      </c>
      <c r="U68" s="2"/>
      <c r="V68" s="7">
        <f t="shared" si="57"/>
        <v>0</v>
      </c>
      <c r="W68" s="2"/>
      <c r="X68" s="6">
        <f t="shared" si="58"/>
        <v>0</v>
      </c>
      <c r="Y68" s="2"/>
      <c r="Z68" s="7">
        <f t="shared" si="59"/>
        <v>0</v>
      </c>
    </row>
    <row r="69" spans="1:26" s="24" customFormat="1" hidden="1" outlineLevel="2" x14ac:dyDescent="0.25">
      <c r="A69" s="29"/>
      <c r="B69" s="11" t="str">
        <f>CONCATENATE("          ", "6248", " - ", "UNIFORMS")</f>
        <v xml:space="preserve">          6248 - UNIFORMS</v>
      </c>
      <c r="C69" s="11"/>
      <c r="D69" s="6"/>
      <c r="E69" s="2"/>
      <c r="F69" s="7">
        <f t="shared" si="52"/>
        <v>0</v>
      </c>
      <c r="G69" s="2"/>
      <c r="H69" s="6"/>
      <c r="I69" s="2"/>
      <c r="J69" s="7">
        <f t="shared" si="53"/>
        <v>0</v>
      </c>
      <c r="K69" s="2"/>
      <c r="L69" s="6">
        <f t="shared" si="54"/>
        <v>0</v>
      </c>
      <c r="M69" s="2"/>
      <c r="N69" s="7">
        <f t="shared" si="55"/>
        <v>0</v>
      </c>
      <c r="O69" s="11"/>
      <c r="P69" s="6"/>
      <c r="Q69" s="2"/>
      <c r="R69" s="7">
        <f t="shared" si="56"/>
        <v>0</v>
      </c>
      <c r="S69" s="2"/>
      <c r="T69" s="6">
        <v>0</v>
      </c>
      <c r="U69" s="2"/>
      <c r="V69" s="7">
        <f t="shared" si="57"/>
        <v>0</v>
      </c>
      <c r="W69" s="2"/>
      <c r="X69" s="6">
        <f t="shared" si="58"/>
        <v>0</v>
      </c>
      <c r="Y69" s="2"/>
      <c r="Z69" s="7">
        <f t="shared" si="59"/>
        <v>0</v>
      </c>
    </row>
    <row r="70" spans="1:26" s="28" customFormat="1" outlineLevel="1" collapsed="1" x14ac:dyDescent="0.25">
      <c r="A70" s="27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SUM(OSRRefD22_12x_0)</f>
        <v>-11.37</v>
      </c>
      <c r="E70" s="1"/>
      <c r="F70" s="5">
        <f t="shared" ref="F70:F72" si="60">IF(D$12=0,0,D70/D$12)</f>
        <v>0</v>
      </c>
      <c r="G70" s="1"/>
      <c r="H70" s="1">
        <f>SUM(OSRRefH22_12x_0)</f>
        <v>0</v>
      </c>
      <c r="I70" s="1"/>
      <c r="J70" s="5">
        <f t="shared" ref="J70:J72" si="61">IF(H$12=0,0,H70/H$12)</f>
        <v>0</v>
      </c>
      <c r="K70" s="1"/>
      <c r="L70" s="1">
        <f t="shared" ref="L70:L72" si="62">+D70-H70</f>
        <v>-11.37</v>
      </c>
      <c r="M70" s="1"/>
      <c r="N70" s="5">
        <f t="shared" ref="N70:N72" si="63">IF(H70=0,0,L70/H70)</f>
        <v>0</v>
      </c>
      <c r="O70" s="14"/>
      <c r="P70" s="1">
        <f>SUM(OSRRefP22_12x_0)</f>
        <v>171.1</v>
      </c>
      <c r="Q70" s="1"/>
      <c r="R70" s="5">
        <f t="shared" ref="R70:R72" si="64">IF(P$12=0,0,P70/P$12)</f>
        <v>0</v>
      </c>
      <c r="S70" s="1"/>
      <c r="T70" s="1">
        <f>SUM(OSRRefT22_12x_0)</f>
        <v>0</v>
      </c>
      <c r="U70" s="1"/>
      <c r="V70" s="5">
        <f t="shared" ref="V70:V72" si="65">IF(T$12=0,0,T70/T$12)</f>
        <v>0</v>
      </c>
      <c r="W70" s="1"/>
      <c r="X70" s="1">
        <f t="shared" ref="X70:X72" si="66">+P70-T70</f>
        <v>171.1</v>
      </c>
      <c r="Y70" s="1"/>
      <c r="Z70" s="5">
        <f t="shared" ref="Z70:Z72" si="67">IF(T70=0,0,X70/T70)</f>
        <v>0</v>
      </c>
    </row>
    <row r="71" spans="1:26" s="24" customFormat="1" hidden="1" outlineLevel="2" x14ac:dyDescent="0.25">
      <c r="A71" s="29"/>
      <c r="B71" s="11" t="str">
        <f>CONCATENATE("          ", "6303", " - ", "DATA PHONE LINES")</f>
        <v xml:space="preserve">          6303 - DATA PHONE LINES</v>
      </c>
      <c r="C71" s="11"/>
      <c r="D71" s="6"/>
      <c r="E71" s="2"/>
      <c r="F71" s="7">
        <f t="shared" si="60"/>
        <v>0</v>
      </c>
      <c r="G71" s="2"/>
      <c r="H71" s="6">
        <v>0</v>
      </c>
      <c r="I71" s="2"/>
      <c r="J71" s="7">
        <f t="shared" si="61"/>
        <v>0</v>
      </c>
      <c r="K71" s="2"/>
      <c r="L71" s="6">
        <f t="shared" si="62"/>
        <v>0</v>
      </c>
      <c r="M71" s="2"/>
      <c r="N71" s="7">
        <f t="shared" si="63"/>
        <v>0</v>
      </c>
      <c r="O71" s="11"/>
      <c r="P71" s="6"/>
      <c r="Q71" s="2"/>
      <c r="R71" s="7">
        <f t="shared" si="64"/>
        <v>0</v>
      </c>
      <c r="S71" s="2"/>
      <c r="T71" s="6">
        <v>0</v>
      </c>
      <c r="U71" s="2"/>
      <c r="V71" s="7">
        <f t="shared" si="65"/>
        <v>0</v>
      </c>
      <c r="W71" s="2"/>
      <c r="X71" s="6">
        <f t="shared" si="66"/>
        <v>0</v>
      </c>
      <c r="Y71" s="2"/>
      <c r="Z71" s="7">
        <f t="shared" si="67"/>
        <v>0</v>
      </c>
    </row>
    <row r="72" spans="1:26" s="24" customFormat="1" hidden="1" outlineLevel="2" x14ac:dyDescent="0.25">
      <c r="A72" s="29"/>
      <c r="B72" s="11" t="str">
        <f>CONCATENATE("          ", "6309", " - ", "TELEPHONE")</f>
        <v xml:space="preserve">          6309 - TELEPHONE</v>
      </c>
      <c r="C72" s="11"/>
      <c r="D72" s="6">
        <v>-11.37</v>
      </c>
      <c r="E72" s="2"/>
      <c r="F72" s="7">
        <f t="shared" si="60"/>
        <v>0</v>
      </c>
      <c r="G72" s="2"/>
      <c r="H72" s="6"/>
      <c r="I72" s="2"/>
      <c r="J72" s="7">
        <f t="shared" si="61"/>
        <v>0</v>
      </c>
      <c r="K72" s="2"/>
      <c r="L72" s="6">
        <f t="shared" si="62"/>
        <v>-11.37</v>
      </c>
      <c r="M72" s="2"/>
      <c r="N72" s="7">
        <f t="shared" si="63"/>
        <v>0</v>
      </c>
      <c r="O72" s="11"/>
      <c r="P72" s="6">
        <v>171.1</v>
      </c>
      <c r="Q72" s="2"/>
      <c r="R72" s="7">
        <f t="shared" si="64"/>
        <v>0</v>
      </c>
      <c r="S72" s="2"/>
      <c r="T72" s="6"/>
      <c r="U72" s="2"/>
      <c r="V72" s="7">
        <f t="shared" si="65"/>
        <v>0</v>
      </c>
      <c r="W72" s="2"/>
      <c r="X72" s="6">
        <f t="shared" si="66"/>
        <v>171.1</v>
      </c>
      <c r="Y72" s="2"/>
      <c r="Z72" s="7">
        <f t="shared" si="67"/>
        <v>0</v>
      </c>
    </row>
    <row r="73" spans="1:26" s="28" customFormat="1" outlineLevel="1" collapsed="1" x14ac:dyDescent="0.25">
      <c r="A73" s="27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SUM(OSRRefD22_13x_0)</f>
        <v>0</v>
      </c>
      <c r="E73" s="1"/>
      <c r="F73" s="5">
        <f t="shared" ref="F73:F74" si="68">IF(D$12=0,0,D73/D$12)</f>
        <v>0</v>
      </c>
      <c r="G73" s="1"/>
      <c r="H73" s="1">
        <f>SUM(OSRRefH22_13x_0)</f>
        <v>0</v>
      </c>
      <c r="I73" s="1"/>
      <c r="J73" s="5">
        <f t="shared" ref="J73:J74" si="69">IF(H$12=0,0,H73/H$12)</f>
        <v>0</v>
      </c>
      <c r="K73" s="1"/>
      <c r="L73" s="1">
        <f t="shared" ref="L73:L74" si="70">+D73-H73</f>
        <v>0</v>
      </c>
      <c r="M73" s="1"/>
      <c r="N73" s="5">
        <f t="shared" ref="N73:N74" si="71">IF(H73=0,0,L73/H73)</f>
        <v>0</v>
      </c>
      <c r="O73" s="14"/>
      <c r="P73" s="1">
        <f>SUM(OSRRefP22_13x_0)</f>
        <v>0</v>
      </c>
      <c r="Q73" s="1"/>
      <c r="R73" s="5">
        <f t="shared" ref="R73:R74" si="72">IF(P$12=0,0,P73/P$12)</f>
        <v>0</v>
      </c>
      <c r="S73" s="1"/>
      <c r="T73" s="1">
        <f>SUM(OSRRefT22_13x_0)</f>
        <v>0</v>
      </c>
      <c r="U73" s="1"/>
      <c r="V73" s="5">
        <f t="shared" ref="V73:V74" si="73">IF(T$12=0,0,T73/T$12)</f>
        <v>0</v>
      </c>
      <c r="W73" s="1"/>
      <c r="X73" s="1">
        <f t="shared" ref="X73:X74" si="74">+P73-T73</f>
        <v>0</v>
      </c>
      <c r="Y73" s="1"/>
      <c r="Z73" s="5">
        <f t="shared" ref="Z73:Z74" si="75">IF(T73=0,0,X73/T73)</f>
        <v>0</v>
      </c>
    </row>
    <row r="74" spans="1:26" s="24" customFormat="1" hidden="1" outlineLevel="2" x14ac:dyDescent="0.25">
      <c r="A74" s="29"/>
      <c r="B74" s="11" t="str">
        <f>CONCATENATE("          ", "6274", " - ", "UTILITIES")</f>
        <v xml:space="preserve">          6274 - UTILITIES</v>
      </c>
      <c r="C74" s="11"/>
      <c r="D74" s="6"/>
      <c r="E74" s="2"/>
      <c r="F74" s="7">
        <f t="shared" si="68"/>
        <v>0</v>
      </c>
      <c r="G74" s="2"/>
      <c r="H74" s="6">
        <v>0</v>
      </c>
      <c r="I74" s="2"/>
      <c r="J74" s="7">
        <f t="shared" si="69"/>
        <v>0</v>
      </c>
      <c r="K74" s="2"/>
      <c r="L74" s="6">
        <f t="shared" si="70"/>
        <v>0</v>
      </c>
      <c r="M74" s="2"/>
      <c r="N74" s="7">
        <f t="shared" si="71"/>
        <v>0</v>
      </c>
      <c r="O74" s="11"/>
      <c r="P74" s="6"/>
      <c r="Q74" s="2"/>
      <c r="R74" s="7">
        <f t="shared" si="72"/>
        <v>0</v>
      </c>
      <c r="S74" s="2"/>
      <c r="T74" s="6">
        <v>0</v>
      </c>
      <c r="U74" s="2"/>
      <c r="V74" s="7">
        <f t="shared" si="73"/>
        <v>0</v>
      </c>
      <c r="W74" s="2"/>
      <c r="X74" s="6">
        <f t="shared" si="74"/>
        <v>0</v>
      </c>
      <c r="Y74" s="2"/>
      <c r="Z74" s="7">
        <f t="shared" si="75"/>
        <v>0</v>
      </c>
    </row>
    <row r="75" spans="1:26" s="61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5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6" t="s">
        <v>3</v>
      </c>
      <c r="C78" s="26"/>
      <c r="D78" s="20">
        <f>+D18-D20+D76</f>
        <v>-739.58</v>
      </c>
      <c r="E78" s="13"/>
      <c r="F78" s="21">
        <f>IF(D$12=0,0,D78/D$12)</f>
        <v>0</v>
      </c>
      <c r="G78" s="13"/>
      <c r="H78" s="20">
        <f>+H18-H20+H76</f>
        <v>-848</v>
      </c>
      <c r="I78" s="13"/>
      <c r="J78" s="21">
        <f>IF(H$12=0,0,H78/H$12)</f>
        <v>0</v>
      </c>
      <c r="K78" s="16"/>
      <c r="L78" s="20">
        <f>+D78-H78</f>
        <v>108.41999999999996</v>
      </c>
      <c r="M78" s="16"/>
      <c r="N78" s="21">
        <f>IF(H78=0,0,L78/H78)</f>
        <v>-0.1278537735849056</v>
      </c>
      <c r="O78" s="25"/>
      <c r="P78" s="20">
        <f>+P18-P20+P76</f>
        <v>-2796.79</v>
      </c>
      <c r="Q78" s="13"/>
      <c r="R78" s="21">
        <f>IF(P$12=0,0,P78/P$12)</f>
        <v>0</v>
      </c>
      <c r="S78" s="13"/>
      <c r="T78" s="20">
        <f>+T18-T20+T76</f>
        <v>-2544</v>
      </c>
      <c r="U78" s="13"/>
      <c r="V78" s="21">
        <f>IF(T$12=0,0,T78/T$12)</f>
        <v>0</v>
      </c>
      <c r="W78" s="16"/>
      <c r="X78" s="20">
        <f>+P78-T78</f>
        <v>-252.78999999999996</v>
      </c>
      <c r="Y78" s="16"/>
      <c r="Z78" s="21">
        <f>IF(T78=0,0,X78/T78)</f>
        <v>9.9367138364779867E-2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/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0</v>
      </c>
      <c r="M80" s="4"/>
      <c r="N80" s="12">
        <f>IF(H80=0,0,L80/H80)</f>
        <v>0</v>
      </c>
      <c r="O80" s="10"/>
      <c r="P80" s="4"/>
      <c r="Q80" s="4"/>
      <c r="R80" s="12">
        <f>IF(P$12=0,0,P80/P$12)</f>
        <v>0</v>
      </c>
      <c r="S80" s="4"/>
      <c r="T80" s="4"/>
      <c r="U80" s="4"/>
      <c r="V80" s="12">
        <f>IF(T$12=0,0,T80/T$12)</f>
        <v>0</v>
      </c>
      <c r="W80" s="4"/>
      <c r="X80" s="4">
        <f>+P80-T80</f>
        <v>0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6" t="s">
        <v>4</v>
      </c>
      <c r="C82" s="26"/>
      <c r="D82" s="33">
        <f>+D78-D80</f>
        <v>-739.58</v>
      </c>
      <c r="E82" s="13"/>
      <c r="F82" s="34">
        <f>IF(D$12=0,0,D82/D$12)</f>
        <v>0</v>
      </c>
      <c r="G82" s="13"/>
      <c r="H82" s="33">
        <f>+H78-H80</f>
        <v>-848</v>
      </c>
      <c r="I82" s="13"/>
      <c r="J82" s="34">
        <f>IF(H$12=0,0,H82/H$12)</f>
        <v>0</v>
      </c>
      <c r="K82" s="16"/>
      <c r="L82" s="33">
        <f>D82-H82</f>
        <v>108.41999999999996</v>
      </c>
      <c r="M82" s="16"/>
      <c r="N82" s="34">
        <f>IF(H82=0,0,L82/H82)</f>
        <v>-0.1278537735849056</v>
      </c>
      <c r="O82" s="25"/>
      <c r="P82" s="33">
        <f>+P78-P80</f>
        <v>-2796.79</v>
      </c>
      <c r="Q82" s="13"/>
      <c r="R82" s="34">
        <f>IF(P$12=0,0,P82/P$12)</f>
        <v>0</v>
      </c>
      <c r="S82" s="13"/>
      <c r="T82" s="33">
        <f>+T78-T80</f>
        <v>-2544</v>
      </c>
      <c r="U82" s="13"/>
      <c r="V82" s="34">
        <f>IF(T$12=0,0,T82/T$12)</f>
        <v>0</v>
      </c>
      <c r="W82" s="16"/>
      <c r="X82" s="33">
        <f>P82-T82</f>
        <v>-252.78999999999996</v>
      </c>
      <c r="Y82" s="16"/>
      <c r="Z82" s="34">
        <f>IF(T82=0,0,X82/T82)</f>
        <v>9.9367138364779867E-2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5</v>
      </c>
      <c r="C85" s="26"/>
      <c r="D85" s="31">
        <f>SUM(D82:D84)</f>
        <v>-739.58</v>
      </c>
      <c r="E85" s="13"/>
      <c r="F85" s="32">
        <f>IF(D$12=0,0,D85/D$12)</f>
        <v>0</v>
      </c>
      <c r="G85" s="13"/>
      <c r="H85" s="31">
        <f>SUM(H82:H84)</f>
        <v>-848</v>
      </c>
      <c r="I85" s="13"/>
      <c r="J85" s="32">
        <f>IF(H$12=0,0,H85/H$12)</f>
        <v>0</v>
      </c>
      <c r="K85" s="16"/>
      <c r="L85" s="31">
        <f>+D85-H85</f>
        <v>108.41999999999996</v>
      </c>
      <c r="M85" s="16"/>
      <c r="N85" s="32">
        <f>IF(H85=0,0,L85/H85)</f>
        <v>-0.1278537735849056</v>
      </c>
      <c r="O85" s="25"/>
      <c r="P85" s="31">
        <f>SUM(P82:P84)</f>
        <v>-2796.79</v>
      </c>
      <c r="Q85" s="13"/>
      <c r="R85" s="32">
        <f>IF(P$12=0,0,P85/P$12)</f>
        <v>0</v>
      </c>
      <c r="S85" s="13"/>
      <c r="T85" s="31">
        <f>SUM(T82:T84)</f>
        <v>-2544</v>
      </c>
      <c r="U85" s="13"/>
      <c r="V85" s="32">
        <f>IF(T$12=0,0,T85/T$12)</f>
        <v>0</v>
      </c>
      <c r="W85" s="16"/>
      <c r="X85" s="31">
        <f>+P85-T85</f>
        <v>-252.78999999999996</v>
      </c>
      <c r="Y85" s="16"/>
      <c r="Z85" s="32">
        <f>IF(T85=0,0,X85/T85)</f>
        <v>9.9367138364779867E-2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5">
        <v>44123.57232392361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3" t="s">
        <v>314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62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299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","420", " - ", "Catering")</f>
        <v>Department 420 - Catering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0">
        <f>+D16-D18+D20</f>
        <v>0</v>
      </c>
      <c r="E22" s="13"/>
      <c r="F22" s="21">
        <f>IF(D$12=0,0,D22/D$12)</f>
        <v>0</v>
      </c>
      <c r="G22" s="13"/>
      <c r="H22" s="20">
        <f>+H16-H18+H20</f>
        <v>0</v>
      </c>
      <c r="I22" s="13"/>
      <c r="J22" s="21">
        <f>IF(H$12=0,0,H22/H$12)</f>
        <v>0</v>
      </c>
      <c r="K22" s="16"/>
      <c r="L22" s="20">
        <f>+D22-H22</f>
        <v>0</v>
      </c>
      <c r="M22" s="16"/>
      <c r="N22" s="21">
        <f>IF(H22=0,0,L22/H22)</f>
        <v>0</v>
      </c>
      <c r="O22" s="25"/>
      <c r="P22" s="20">
        <f>+P16-P18+P20</f>
        <v>0</v>
      </c>
      <c r="Q22" s="13"/>
      <c r="R22" s="21">
        <f>IF(P$12=0,0,P22/P$12)</f>
        <v>0</v>
      </c>
      <c r="S22" s="13"/>
      <c r="T22" s="20">
        <f>+T16-T18+T20</f>
        <v>0</v>
      </c>
      <c r="U22" s="13"/>
      <c r="V22" s="21">
        <f>IF(T$12=0,0,T22/T$12)</f>
        <v>0</v>
      </c>
      <c r="W22" s="16"/>
      <c r="X22" s="20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2"/>
      <c r="B24" s="10" t="s">
        <v>14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3">
        <f>+D22-D24</f>
        <v>0</v>
      </c>
      <c r="E26" s="13"/>
      <c r="F26" s="34">
        <f>IF(D$12=0,0,D26/D$12)</f>
        <v>0</v>
      </c>
      <c r="G26" s="13"/>
      <c r="H26" s="33">
        <f>+H22-H24</f>
        <v>0</v>
      </c>
      <c r="I26" s="13"/>
      <c r="J26" s="34">
        <f>IF(H$12=0,0,H26/H$12)</f>
        <v>0</v>
      </c>
      <c r="K26" s="16"/>
      <c r="L26" s="33">
        <f>D26-H26</f>
        <v>0</v>
      </c>
      <c r="M26" s="16"/>
      <c r="N26" s="34">
        <f>IF(H26=0,0,L26/H26)</f>
        <v>0</v>
      </c>
      <c r="O26" s="25"/>
      <c r="P26" s="33">
        <f>+P22-P24</f>
        <v>0</v>
      </c>
      <c r="Q26" s="13"/>
      <c r="R26" s="34">
        <f>IF(P$12=0,0,P26/P$12)</f>
        <v>0</v>
      </c>
      <c r="S26" s="13"/>
      <c r="T26" s="33">
        <f>+T22-T24</f>
        <v>0</v>
      </c>
      <c r="U26" s="13"/>
      <c r="V26" s="34">
        <f>IF(T$12=0,0,T26/T$12)</f>
        <v>0</v>
      </c>
      <c r="W26" s="16"/>
      <c r="X26" s="33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6" t="s">
        <v>5</v>
      </c>
      <c r="C29" s="26"/>
      <c r="D29" s="31">
        <f>SUM(D26:D28)</f>
        <v>0</v>
      </c>
      <c r="E29" s="13"/>
      <c r="F29" s="32">
        <f>IF(D$12=0,0,D29/D$12)</f>
        <v>0</v>
      </c>
      <c r="G29" s="13"/>
      <c r="H29" s="31">
        <f>SUM(H26:H28)</f>
        <v>0</v>
      </c>
      <c r="I29" s="13"/>
      <c r="J29" s="32">
        <f>IF(H$12=0,0,H29/H$12)</f>
        <v>0</v>
      </c>
      <c r="K29" s="16"/>
      <c r="L29" s="31">
        <f>+D29-H29</f>
        <v>0</v>
      </c>
      <c r="M29" s="16"/>
      <c r="N29" s="32">
        <f>IF(H29=0,0,L29/H29)</f>
        <v>0</v>
      </c>
      <c r="O29" s="25"/>
      <c r="P29" s="31">
        <f>SUM(P26:P28)</f>
        <v>0</v>
      </c>
      <c r="Q29" s="13"/>
      <c r="R29" s="32">
        <f>IF(P$12=0,0,P29/P$12)</f>
        <v>0</v>
      </c>
      <c r="S29" s="13"/>
      <c r="T29" s="31">
        <f>SUM(T26:T28)</f>
        <v>0</v>
      </c>
      <c r="U29" s="13"/>
      <c r="V29" s="32">
        <f>IF(T$12=0,0,T29/T$12)</f>
        <v>0</v>
      </c>
      <c r="W29" s="16"/>
      <c r="X29" s="31">
        <f>+P29-T29</f>
        <v>0</v>
      </c>
      <c r="Y29" s="16"/>
      <c r="Z29" s="32">
        <f>IF(T29=0,0,X29/T29)</f>
        <v>0</v>
      </c>
    </row>
    <row r="30" spans="1:26" ht="15.75" thickTop="1" x14ac:dyDescent="0.25">
      <c r="A30" s="9"/>
      <c r="C30" s="9"/>
      <c r="D30" s="17"/>
      <c r="E30" s="17"/>
      <c r="G30" s="17"/>
      <c r="H30" s="17"/>
      <c r="I30" s="17"/>
      <c r="J30" s="43"/>
      <c r="K30" s="17"/>
      <c r="L30" s="17"/>
      <c r="M30" s="17"/>
      <c r="P30" s="17"/>
      <c r="Q30" s="17"/>
      <c r="R30" s="43"/>
      <c r="S30" s="17"/>
      <c r="T30" s="17"/>
      <c r="U30" s="17"/>
      <c r="V30" s="43"/>
      <c r="W30" s="17"/>
      <c r="X30" s="17"/>
    </row>
    <row r="31" spans="1:26" x14ac:dyDescent="0.25">
      <c r="A31" s="9"/>
      <c r="B31" s="55">
        <v>44123.572424768521</v>
      </c>
      <c r="D31" s="17"/>
      <c r="E31" s="17"/>
      <c r="G31" s="17"/>
      <c r="H31" s="17"/>
      <c r="I31" s="17"/>
      <c r="J31" s="43"/>
      <c r="K31" s="17"/>
      <c r="L31" s="17"/>
      <c r="M31" s="17"/>
      <c r="P31" s="17"/>
      <c r="Q31" s="17"/>
      <c r="R31" s="43"/>
      <c r="S31" s="17"/>
      <c r="T31" s="17"/>
      <c r="U31" s="17"/>
      <c r="V31" s="43"/>
      <c r="W31" s="17"/>
      <c r="X31" s="17"/>
    </row>
    <row r="32" spans="1:26" x14ac:dyDescent="0.25">
      <c r="A32" s="9"/>
      <c r="B32" s="53" t="s">
        <v>314</v>
      </c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62"/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","413", " - ", "Beach Walk")</f>
        <v>Department 413 - Beach Walk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D12-D16</f>
        <v>0</v>
      </c>
      <c r="E19" s="13"/>
      <c r="F19" s="21">
        <f>IF(D$12=0,0,D19/D$12)</f>
        <v>0</v>
      </c>
      <c r="G19" s="13"/>
      <c r="H19" s="20">
        <f>H12-H16</f>
        <v>0</v>
      </c>
      <c r="I19" s="13"/>
      <c r="J19" s="21">
        <f>IF(H$12=0,0,H19/H$12)</f>
        <v>0</v>
      </c>
      <c r="K19" s="16"/>
      <c r="L19" s="20">
        <f>+D19-H19</f>
        <v>0</v>
      </c>
      <c r="M19" s="16"/>
      <c r="N19" s="21">
        <f>IF(H19=0,0,L19/H19)</f>
        <v>0</v>
      </c>
      <c r="O19" s="25"/>
      <c r="P19" s="20">
        <f>P12-P16</f>
        <v>0</v>
      </c>
      <c r="Q19" s="13"/>
      <c r="R19" s="21">
        <f>IF(P$12=0,0,P19/P$12)</f>
        <v>0</v>
      </c>
      <c r="S19" s="13"/>
      <c r="T19" s="20">
        <f>T12-T16</f>
        <v>0</v>
      </c>
      <c r="U19" s="13"/>
      <c r="V19" s="21">
        <f>IF(T$12=0,0,T19/T$12)</f>
        <v>0</v>
      </c>
      <c r="W19" s="16"/>
      <c r="X19" s="20">
        <f>+P19-T19</f>
        <v>0</v>
      </c>
      <c r="Y19" s="16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19">
        <f>SUM(OSRRefD22x_0)</f>
        <v>223.78</v>
      </c>
      <c r="E21" s="19"/>
      <c r="F21" s="35">
        <f t="shared" ref="F21:F31" si="14">IF(D$12=0,0,D21/D$12)</f>
        <v>0</v>
      </c>
      <c r="G21" s="19"/>
      <c r="H21" s="19">
        <f>SUM(OSRRefH22x_0)</f>
        <v>630</v>
      </c>
      <c r="I21" s="19"/>
      <c r="J21" s="35">
        <f t="shared" ref="J21:J31" si="15">IF(H$12=0,0,H21/H$12)</f>
        <v>0</v>
      </c>
      <c r="K21" s="4"/>
      <c r="L21" s="19">
        <f t="shared" ref="L21:L31" si="16">+D21-H21</f>
        <v>-406.22</v>
      </c>
      <c r="M21" s="4"/>
      <c r="N21" s="35">
        <f t="shared" ref="N21:N31" si="17">IF(H21=0,0,L21/H21)</f>
        <v>-0.64479365079365081</v>
      </c>
      <c r="O21" s="10"/>
      <c r="P21" s="19">
        <f>SUM(OSRRefP22x_0)</f>
        <v>4499.97</v>
      </c>
      <c r="Q21" s="19"/>
      <c r="R21" s="35">
        <f t="shared" ref="R21:R31" si="18">IF(P$12=0,0,P21/P$12)</f>
        <v>0</v>
      </c>
      <c r="S21" s="19"/>
      <c r="T21" s="19">
        <f>SUM(OSRRefT22x_0)</f>
        <v>1890</v>
      </c>
      <c r="U21" s="19"/>
      <c r="V21" s="35">
        <f t="shared" ref="V21:V31" si="19">IF(T$12=0,0,T21/T$12)</f>
        <v>0</v>
      </c>
      <c r="W21" s="4"/>
      <c r="X21" s="19">
        <f t="shared" ref="X21:X31" si="20">+P21-T21</f>
        <v>2609.9700000000003</v>
      </c>
      <c r="Y21" s="4"/>
      <c r="Z21" s="35">
        <f t="shared" ref="Z21:Z31" si="21">IF(T21=0,0,X21/T21)</f>
        <v>1.3809365079365081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1493.43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1493.43</v>
      </c>
      <c r="Y22" s="1"/>
      <c r="Z22" s="5">
        <f t="shared" si="21"/>
        <v>0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0</v>
      </c>
      <c r="I23" s="2"/>
      <c r="J23" s="7">
        <f t="shared" si="15"/>
        <v>0</v>
      </c>
      <c r="K23" s="2"/>
      <c r="L23" s="6">
        <f t="shared" si="16"/>
        <v>0</v>
      </c>
      <c r="M23" s="2"/>
      <c r="N23" s="7">
        <f t="shared" si="17"/>
        <v>0</v>
      </c>
      <c r="O23" s="11"/>
      <c r="P23" s="6">
        <v>191.51</v>
      </c>
      <c r="Q23" s="2"/>
      <c r="R23" s="7">
        <f t="shared" si="18"/>
        <v>0</v>
      </c>
      <c r="S23" s="2"/>
      <c r="T23" s="6">
        <v>0</v>
      </c>
      <c r="U23" s="2"/>
      <c r="V23" s="7">
        <f t="shared" si="19"/>
        <v>0</v>
      </c>
      <c r="W23" s="2"/>
      <c r="X23" s="6">
        <f t="shared" si="20"/>
        <v>191.51</v>
      </c>
      <c r="Y23" s="2"/>
      <c r="Z23" s="7">
        <f t="shared" si="21"/>
        <v>0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/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0</v>
      </c>
      <c r="Y24" s="2"/>
      <c r="Z24" s="7">
        <f t="shared" si="21"/>
        <v>0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>
        <v>718.51</v>
      </c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718.51</v>
      </c>
      <c r="Y25" s="2"/>
      <c r="Z25" s="7">
        <f t="shared" si="21"/>
        <v>0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>
        <v>377.03</v>
      </c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377.03</v>
      </c>
      <c r="Y27" s="2"/>
      <c r="Z27" s="7">
        <f t="shared" si="21"/>
        <v>0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>
        <v>93.89</v>
      </c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93.89</v>
      </c>
      <c r="Y29" s="2"/>
      <c r="Z29" s="7">
        <f t="shared" si="21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>
        <v>112.49</v>
      </c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112.49</v>
      </c>
      <c r="Y30" s="2"/>
      <c r="Z30" s="7">
        <f t="shared" si="21"/>
        <v>0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4"/>
        <v>0</v>
      </c>
      <c r="G31" s="2"/>
      <c r="H31" s="6">
        <v>0</v>
      </c>
      <c r="I31" s="2"/>
      <c r="J31" s="7">
        <f t="shared" si="15"/>
        <v>0</v>
      </c>
      <c r="K31" s="2"/>
      <c r="L31" s="6">
        <f t="shared" si="16"/>
        <v>0</v>
      </c>
      <c r="M31" s="2"/>
      <c r="N31" s="7">
        <f t="shared" si="17"/>
        <v>0</v>
      </c>
      <c r="O31" s="11"/>
      <c r="P31" s="6"/>
      <c r="Q31" s="2"/>
      <c r="R31" s="7">
        <f t="shared" si="18"/>
        <v>0</v>
      </c>
      <c r="S31" s="2"/>
      <c r="T31" s="6">
        <v>0</v>
      </c>
      <c r="U31" s="2"/>
      <c r="V31" s="7">
        <f t="shared" si="19"/>
        <v>0</v>
      </c>
      <c r="W31" s="2"/>
      <c r="X31" s="6">
        <f t="shared" si="20"/>
        <v>0</v>
      </c>
      <c r="Y31" s="2"/>
      <c r="Z31" s="7">
        <f t="shared" si="21"/>
        <v>0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42" si="22">IF(D$12=0,0,D32/D$12)</f>
        <v>0</v>
      </c>
      <c r="G32" s="1"/>
      <c r="H32" s="1">
        <f>SUM(OSRRefH22_1x_0)</f>
        <v>0</v>
      </c>
      <c r="I32" s="1"/>
      <c r="J32" s="5">
        <f t="shared" ref="J32:J42" si="23">IF(H$12=0,0,H32/H$12)</f>
        <v>0</v>
      </c>
      <c r="K32" s="1"/>
      <c r="L32" s="1">
        <f t="shared" ref="L32:L42" si="24">+D32-H32</f>
        <v>0</v>
      </c>
      <c r="M32" s="1"/>
      <c r="N32" s="5">
        <f t="shared" ref="N32:N42" si="25">IF(H32=0,0,L32/H32)</f>
        <v>0</v>
      </c>
      <c r="O32" s="14"/>
      <c r="P32" s="1">
        <f>SUM(OSRRefP22_1x_0)</f>
        <v>2259.48</v>
      </c>
      <c r="Q32" s="1"/>
      <c r="R32" s="5">
        <f t="shared" ref="R32:R42" si="26">IF(P$12=0,0,P32/P$12)</f>
        <v>0</v>
      </c>
      <c r="S32" s="1"/>
      <c r="T32" s="1">
        <f>SUM(OSRRefT22_1x_0)</f>
        <v>0</v>
      </c>
      <c r="U32" s="1"/>
      <c r="V32" s="5">
        <f t="shared" ref="V32:V42" si="27">IF(T$12=0,0,T32/T$12)</f>
        <v>0</v>
      </c>
      <c r="W32" s="1"/>
      <c r="X32" s="1">
        <f t="shared" ref="X32:X42" si="28">+P32-T32</f>
        <v>2259.48</v>
      </c>
      <c r="Y32" s="1"/>
      <c r="Z32" s="5">
        <f t="shared" ref="Z32:Z42" si="29">IF(T32=0,0,X32/T32)</f>
        <v>0</v>
      </c>
    </row>
    <row r="33" spans="1:26" s="24" customFormat="1" hidden="1" outlineLevel="2" x14ac:dyDescent="0.25">
      <c r="A33" s="29"/>
      <c r="B33" s="11" t="str">
        <f>CONCATENATE("          ", "6001", " - ", "ADMINISTRATIVE SALARIES")</f>
        <v xml:space="preserve">          6001 - ADMINISTRATIVE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0</v>
      </c>
      <c r="Y33" s="2"/>
      <c r="Z33" s="7">
        <f t="shared" si="29"/>
        <v>0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>
        <v>2259.48</v>
      </c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2259.48</v>
      </c>
      <c r="Y34" s="2"/>
      <c r="Z34" s="7">
        <f t="shared" si="29"/>
        <v>0</v>
      </c>
    </row>
    <row r="35" spans="1:26" s="24" customFormat="1" hidden="1" outlineLevel="2" x14ac:dyDescent="0.25">
      <c r="A35" s="29"/>
      <c r="B35" s="11" t="str">
        <f>CONCATENATE("          ", "6003", " - ", "STAFF HOURLY-9 MONTH")</f>
        <v xml:space="preserve">          6003 - STAFF HOURLY-9 MONTH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9"/>
      <c r="B41" s="11" t="str">
        <f>CONCATENATE("          ", "6009", " - ", "TEMPORARY-SEASONAL")</f>
        <v xml:space="preserve">          6009 - TEMPORARY-SEASONAL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4" customFormat="1" hidden="1" outlineLevel="2" x14ac:dyDescent="0.25">
      <c r="A42" s="29"/>
      <c r="B42" s="11" t="str">
        <f>CONCATENATE("          ", "6010", " - ", "GRATUITY")</f>
        <v xml:space="preserve">          6010 - GRATUITY</v>
      </c>
      <c r="C42" s="11"/>
      <c r="D42" s="6"/>
      <c r="E42" s="2"/>
      <c r="F42" s="7">
        <f t="shared" si="22"/>
        <v>0</v>
      </c>
      <c r="G42" s="2"/>
      <c r="H42" s="6">
        <v>0</v>
      </c>
      <c r="I42" s="2"/>
      <c r="J42" s="7">
        <f t="shared" si="23"/>
        <v>0</v>
      </c>
      <c r="K42" s="2"/>
      <c r="L42" s="6">
        <f t="shared" si="24"/>
        <v>0</v>
      </c>
      <c r="M42" s="2"/>
      <c r="N42" s="7">
        <f t="shared" si="25"/>
        <v>0</v>
      </c>
      <c r="O42" s="11"/>
      <c r="P42" s="6"/>
      <c r="Q42" s="2"/>
      <c r="R42" s="7">
        <f t="shared" si="26"/>
        <v>0</v>
      </c>
      <c r="S42" s="2"/>
      <c r="T42" s="6">
        <v>0</v>
      </c>
      <c r="U42" s="2"/>
      <c r="V42" s="7">
        <f t="shared" si="27"/>
        <v>0</v>
      </c>
      <c r="W42" s="2"/>
      <c r="X42" s="6">
        <f t="shared" si="28"/>
        <v>0</v>
      </c>
      <c r="Y42" s="2"/>
      <c r="Z42" s="7">
        <f t="shared" si="29"/>
        <v>0</v>
      </c>
    </row>
    <row r="43" spans="1:26" s="28" customFormat="1" outlineLevel="1" collapsed="1" x14ac:dyDescent="0.25">
      <c r="A43" s="27"/>
      <c r="B43" s="14" t="str">
        <f>CONCATENATE("     ","Advertising/Promo                                 ")</f>
        <v xml:space="preserve">     Advertising/Promo                                 </v>
      </c>
      <c r="C43" s="14"/>
      <c r="D43" s="1">
        <f>SUM(OSRRefD22_2x_0)</f>
        <v>0</v>
      </c>
      <c r="E43" s="1"/>
      <c r="F43" s="5">
        <f t="shared" ref="F43:F56" si="30">IF(D$12=0,0,D43/D$12)</f>
        <v>0</v>
      </c>
      <c r="G43" s="1"/>
      <c r="H43" s="1">
        <f>SUM(OSRRefH22_2x_0)</f>
        <v>0</v>
      </c>
      <c r="I43" s="1"/>
      <c r="J43" s="5">
        <f t="shared" ref="J43:J56" si="31">IF(H$12=0,0,H43/H$12)</f>
        <v>0</v>
      </c>
      <c r="K43" s="1"/>
      <c r="L43" s="1">
        <f t="shared" ref="L43:L56" si="32">+D43-H43</f>
        <v>0</v>
      </c>
      <c r="M43" s="1"/>
      <c r="N43" s="5">
        <f t="shared" ref="N43:N56" si="33">IF(H43=0,0,L43/H43)</f>
        <v>0</v>
      </c>
      <c r="O43" s="14"/>
      <c r="P43" s="1">
        <f>SUM(OSRRefP22_2x_0)</f>
        <v>0</v>
      </c>
      <c r="Q43" s="1"/>
      <c r="R43" s="5">
        <f t="shared" ref="R43:R56" si="34">IF(P$12=0,0,P43/P$12)</f>
        <v>0</v>
      </c>
      <c r="S43" s="1"/>
      <c r="T43" s="1">
        <f>SUM(OSRRefT22_2x_0)</f>
        <v>0</v>
      </c>
      <c r="U43" s="1"/>
      <c r="V43" s="5">
        <f t="shared" ref="V43:V56" si="35">IF(T$12=0,0,T43/T$12)</f>
        <v>0</v>
      </c>
      <c r="W43" s="1"/>
      <c r="X43" s="1">
        <f t="shared" ref="X43:X56" si="36">+P43-T43</f>
        <v>0</v>
      </c>
      <c r="Y43" s="1"/>
      <c r="Z43" s="5">
        <f t="shared" ref="Z43:Z56" si="37">IF(T43=0,0,X43/T43)</f>
        <v>0</v>
      </c>
    </row>
    <row r="44" spans="1:26" s="24" customFormat="1" hidden="1" outlineLevel="2" x14ac:dyDescent="0.25">
      <c r="A44" s="29"/>
      <c r="B44" s="11" t="str">
        <f>CONCATENATE("          ", "6362", " - ", "ADVERTISING EXPENSE")</f>
        <v xml:space="preserve">          6362 - ADVERTISING EXPENSE</v>
      </c>
      <c r="C44" s="11"/>
      <c r="D44" s="6"/>
      <c r="E44" s="2"/>
      <c r="F44" s="7">
        <f t="shared" si="30"/>
        <v>0</v>
      </c>
      <c r="G44" s="2"/>
      <c r="H44" s="6">
        <v>0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/>
      <c r="Q44" s="2"/>
      <c r="R44" s="7">
        <f t="shared" si="34"/>
        <v>0</v>
      </c>
      <c r="S44" s="2"/>
      <c r="T44" s="6">
        <v>0</v>
      </c>
      <c r="U44" s="2"/>
      <c r="V44" s="7">
        <f t="shared" si="35"/>
        <v>0</v>
      </c>
      <c r="W44" s="2"/>
      <c r="X44" s="6">
        <f t="shared" si="36"/>
        <v>0</v>
      </c>
      <c r="Y44" s="2"/>
      <c r="Z44" s="7">
        <f t="shared" si="37"/>
        <v>0</v>
      </c>
    </row>
    <row r="45" spans="1:26" s="28" customFormat="1" outlineLevel="1" collapsed="1" x14ac:dyDescent="0.25">
      <c r="A45" s="27"/>
      <c r="B45" s="14" t="str">
        <f>CONCATENATE("     ","Bad Debts/Over/Short                              ")</f>
        <v xml:space="preserve">     Bad Debts/Over/Short                              </v>
      </c>
      <c r="C45" s="14"/>
      <c r="D45" s="1">
        <f>SUM(OSRRefD22_3x_0)</f>
        <v>0</v>
      </c>
      <c r="E45" s="1"/>
      <c r="F45" s="5">
        <f t="shared" si="30"/>
        <v>0</v>
      </c>
      <c r="G45" s="1"/>
      <c r="H45" s="1">
        <f>SUM(OSRRefH22_3x_0)</f>
        <v>0</v>
      </c>
      <c r="I45" s="1"/>
      <c r="J45" s="5">
        <f t="shared" si="31"/>
        <v>0</v>
      </c>
      <c r="K45" s="1"/>
      <c r="L45" s="1">
        <f t="shared" si="32"/>
        <v>0</v>
      </c>
      <c r="M45" s="1"/>
      <c r="N45" s="5">
        <f t="shared" si="33"/>
        <v>0</v>
      </c>
      <c r="O45" s="14"/>
      <c r="P45" s="1">
        <f>SUM(OSRRefP22_3x_0)</f>
        <v>0</v>
      </c>
      <c r="Q45" s="1"/>
      <c r="R45" s="5">
        <f t="shared" si="34"/>
        <v>0</v>
      </c>
      <c r="S45" s="1"/>
      <c r="T45" s="1">
        <f>SUM(OSRRefT22_3x_0)</f>
        <v>0</v>
      </c>
      <c r="U45" s="1"/>
      <c r="V45" s="5">
        <f t="shared" si="35"/>
        <v>0</v>
      </c>
      <c r="W45" s="1"/>
      <c r="X45" s="1">
        <f t="shared" si="36"/>
        <v>0</v>
      </c>
      <c r="Y45" s="1"/>
      <c r="Z45" s="5">
        <f t="shared" si="37"/>
        <v>0</v>
      </c>
    </row>
    <row r="46" spans="1:26" s="24" customFormat="1" hidden="1" outlineLevel="2" x14ac:dyDescent="0.25">
      <c r="A46" s="29"/>
      <c r="B46" s="11" t="str">
        <f>CONCATENATE("          ", "6272", " - ", "CASH (OVER/SHORT)")</f>
        <v xml:space="preserve">          6272 - CASH (OVER/SHORT)</v>
      </c>
      <c r="C46" s="11"/>
      <c r="D46" s="6"/>
      <c r="E46" s="2"/>
      <c r="F46" s="7">
        <f t="shared" si="30"/>
        <v>0</v>
      </c>
      <c r="G46" s="2"/>
      <c r="H46" s="6">
        <v>0</v>
      </c>
      <c r="I46" s="2"/>
      <c r="J46" s="7">
        <f t="shared" si="31"/>
        <v>0</v>
      </c>
      <c r="K46" s="2"/>
      <c r="L46" s="6">
        <f t="shared" si="32"/>
        <v>0</v>
      </c>
      <c r="M46" s="2"/>
      <c r="N46" s="7">
        <f t="shared" si="33"/>
        <v>0</v>
      </c>
      <c r="O46" s="11"/>
      <c r="P46" s="6"/>
      <c r="Q46" s="2"/>
      <c r="R46" s="7">
        <f t="shared" si="34"/>
        <v>0</v>
      </c>
      <c r="S46" s="2"/>
      <c r="T46" s="6">
        <v>0</v>
      </c>
      <c r="U46" s="2"/>
      <c r="V46" s="7">
        <f t="shared" si="35"/>
        <v>0</v>
      </c>
      <c r="W46" s="2"/>
      <c r="X46" s="6">
        <f t="shared" si="36"/>
        <v>0</v>
      </c>
      <c r="Y46" s="2"/>
      <c r="Z46" s="7">
        <f t="shared" si="37"/>
        <v>0</v>
      </c>
    </row>
    <row r="47" spans="1:26" s="28" customFormat="1" outlineLevel="1" collapsed="1" x14ac:dyDescent="0.25">
      <c r="A47" s="27"/>
      <c r="B47" s="14" t="str">
        <f>CONCATENATE("     ","Bank/card Fees                                    ")</f>
        <v xml:space="preserve">     Bank/card Fees                                    </v>
      </c>
      <c r="C47" s="14"/>
      <c r="D47" s="1">
        <f>SUM(OSRRefD22_4x_0)</f>
        <v>0</v>
      </c>
      <c r="E47" s="1"/>
      <c r="F47" s="5">
        <f t="shared" si="30"/>
        <v>0</v>
      </c>
      <c r="G47" s="1"/>
      <c r="H47" s="1">
        <f>SUM(OSRRefH22_4x_0)</f>
        <v>0</v>
      </c>
      <c r="I47" s="1"/>
      <c r="J47" s="5">
        <f t="shared" si="31"/>
        <v>0</v>
      </c>
      <c r="K47" s="1"/>
      <c r="L47" s="1">
        <f t="shared" si="32"/>
        <v>0</v>
      </c>
      <c r="M47" s="1"/>
      <c r="N47" s="5">
        <f t="shared" si="33"/>
        <v>0</v>
      </c>
      <c r="O47" s="14"/>
      <c r="P47" s="1">
        <f>SUM(OSRRefP22_4x_0)</f>
        <v>0</v>
      </c>
      <c r="Q47" s="1"/>
      <c r="R47" s="5">
        <f t="shared" si="34"/>
        <v>0</v>
      </c>
      <c r="S47" s="1"/>
      <c r="T47" s="1">
        <f>SUM(OSRRefT22_4x_0)</f>
        <v>0</v>
      </c>
      <c r="U47" s="1"/>
      <c r="V47" s="5">
        <f t="shared" si="35"/>
        <v>0</v>
      </c>
      <c r="W47" s="1"/>
      <c r="X47" s="1">
        <f t="shared" si="36"/>
        <v>0</v>
      </c>
      <c r="Y47" s="1"/>
      <c r="Z47" s="5">
        <f t="shared" si="37"/>
        <v>0</v>
      </c>
    </row>
    <row r="48" spans="1:26" s="24" customFormat="1" hidden="1" outlineLevel="2" x14ac:dyDescent="0.25">
      <c r="A48" s="29"/>
      <c r="B48" s="11" t="str">
        <f>CONCATENATE("          ", "6381", " - ", "BANK/CREDIT CARD FEES")</f>
        <v xml:space="preserve">          6381 - BANK/CREDIT CARD FEES</v>
      </c>
      <c r="C48" s="11"/>
      <c r="D48" s="6"/>
      <c r="E48" s="2"/>
      <c r="F48" s="7">
        <f t="shared" si="30"/>
        <v>0</v>
      </c>
      <c r="G48" s="2"/>
      <c r="H48" s="6">
        <v>0</v>
      </c>
      <c r="I48" s="2"/>
      <c r="J48" s="7">
        <f t="shared" si="31"/>
        <v>0</v>
      </c>
      <c r="K48" s="2"/>
      <c r="L48" s="6">
        <f t="shared" si="32"/>
        <v>0</v>
      </c>
      <c r="M48" s="2"/>
      <c r="N48" s="7">
        <f t="shared" si="33"/>
        <v>0</v>
      </c>
      <c r="O48" s="11"/>
      <c r="P48" s="6"/>
      <c r="Q48" s="2"/>
      <c r="R48" s="7">
        <f t="shared" si="34"/>
        <v>0</v>
      </c>
      <c r="S48" s="2"/>
      <c r="T48" s="6">
        <v>0</v>
      </c>
      <c r="U48" s="2"/>
      <c r="V48" s="7">
        <f t="shared" si="35"/>
        <v>0</v>
      </c>
      <c r="W48" s="2"/>
      <c r="X48" s="6">
        <f t="shared" si="36"/>
        <v>0</v>
      </c>
      <c r="Y48" s="2"/>
      <c r="Z48" s="7">
        <f t="shared" si="37"/>
        <v>0</v>
      </c>
    </row>
    <row r="49" spans="1:26" s="28" customFormat="1" outlineLevel="1" collapsed="1" x14ac:dyDescent="0.25">
      <c r="A49" s="27"/>
      <c r="B49" s="14" t="str">
        <f>CONCATENATE("     ","Depreciation                                      ")</f>
        <v xml:space="preserve">     Depreciation                                      </v>
      </c>
      <c r="C49" s="14"/>
      <c r="D49" s="1">
        <f>SUM(OSRRefD22_5x_0)</f>
        <v>58.03</v>
      </c>
      <c r="E49" s="1"/>
      <c r="F49" s="5">
        <f t="shared" si="30"/>
        <v>0</v>
      </c>
      <c r="G49" s="1"/>
      <c r="H49" s="1">
        <f>SUM(OSRRefH22_5x_0)</f>
        <v>630</v>
      </c>
      <c r="I49" s="1"/>
      <c r="J49" s="5">
        <f t="shared" si="31"/>
        <v>0</v>
      </c>
      <c r="K49" s="1"/>
      <c r="L49" s="1">
        <f t="shared" si="32"/>
        <v>-571.97</v>
      </c>
      <c r="M49" s="1"/>
      <c r="N49" s="5">
        <f t="shared" si="33"/>
        <v>-0.90788888888888897</v>
      </c>
      <c r="O49" s="14"/>
      <c r="P49" s="1">
        <f>SUM(OSRRefP22_5x_0)</f>
        <v>174.09</v>
      </c>
      <c r="Q49" s="1"/>
      <c r="R49" s="5">
        <f t="shared" si="34"/>
        <v>0</v>
      </c>
      <c r="S49" s="1"/>
      <c r="T49" s="1">
        <f>SUM(OSRRefT22_5x_0)</f>
        <v>1890</v>
      </c>
      <c r="U49" s="1"/>
      <c r="V49" s="5">
        <f t="shared" si="35"/>
        <v>0</v>
      </c>
      <c r="W49" s="1"/>
      <c r="X49" s="1">
        <f t="shared" si="36"/>
        <v>-1715.91</v>
      </c>
      <c r="Y49" s="1"/>
      <c r="Z49" s="5">
        <f t="shared" si="37"/>
        <v>-0.90788888888888897</v>
      </c>
    </row>
    <row r="50" spans="1:26" s="24" customFormat="1" hidden="1" outlineLevel="2" x14ac:dyDescent="0.25">
      <c r="A50" s="29"/>
      <c r="B50" s="11" t="str">
        <f>CONCATENATE("          ", "6322", " - ", "EQUIPMENT DEPRECIATION EXPENSE")</f>
        <v xml:space="preserve">          6322 - EQUIPMENT DEPRECIATION EXPENSE</v>
      </c>
      <c r="C50" s="11"/>
      <c r="D50" s="6">
        <v>58.03</v>
      </c>
      <c r="E50" s="2"/>
      <c r="F50" s="7">
        <f t="shared" si="30"/>
        <v>0</v>
      </c>
      <c r="G50" s="2"/>
      <c r="H50" s="6">
        <v>630</v>
      </c>
      <c r="I50" s="2"/>
      <c r="J50" s="7">
        <f t="shared" si="31"/>
        <v>0</v>
      </c>
      <c r="K50" s="2"/>
      <c r="L50" s="6">
        <f t="shared" si="32"/>
        <v>-571.97</v>
      </c>
      <c r="M50" s="2"/>
      <c r="N50" s="7">
        <f t="shared" si="33"/>
        <v>-0.90788888888888897</v>
      </c>
      <c r="O50" s="11"/>
      <c r="P50" s="6">
        <v>174.09</v>
      </c>
      <c r="Q50" s="2"/>
      <c r="R50" s="7">
        <f t="shared" si="34"/>
        <v>0</v>
      </c>
      <c r="S50" s="2"/>
      <c r="T50" s="6">
        <v>1890</v>
      </c>
      <c r="U50" s="2"/>
      <c r="V50" s="7">
        <f t="shared" si="35"/>
        <v>0</v>
      </c>
      <c r="W50" s="2"/>
      <c r="X50" s="6">
        <f t="shared" si="36"/>
        <v>-1715.91</v>
      </c>
      <c r="Y50" s="2"/>
      <c r="Z50" s="7">
        <f t="shared" si="37"/>
        <v>-0.90788888888888897</v>
      </c>
    </row>
    <row r="51" spans="1:26" s="28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si="30"/>
        <v>0</v>
      </c>
      <c r="G51" s="1"/>
      <c r="H51" s="1">
        <f>SUM(OSRRefH22_6x_0)</f>
        <v>0</v>
      </c>
      <c r="I51" s="1"/>
      <c r="J51" s="5">
        <f t="shared" si="31"/>
        <v>0</v>
      </c>
      <c r="K51" s="1"/>
      <c r="L51" s="1">
        <f t="shared" si="32"/>
        <v>0</v>
      </c>
      <c r="M51" s="1"/>
      <c r="N51" s="5">
        <f t="shared" si="33"/>
        <v>0</v>
      </c>
      <c r="O51" s="14"/>
      <c r="P51" s="1">
        <f>SUM(OSRRefP22_6x_0)</f>
        <v>0</v>
      </c>
      <c r="Q51" s="1"/>
      <c r="R51" s="5">
        <f t="shared" si="34"/>
        <v>0</v>
      </c>
      <c r="S51" s="1"/>
      <c r="T51" s="1">
        <f>SUM(OSRRefT22_6x_0)</f>
        <v>0</v>
      </c>
      <c r="U51" s="1"/>
      <c r="V51" s="5">
        <f t="shared" si="35"/>
        <v>0</v>
      </c>
      <c r="W51" s="1"/>
      <c r="X51" s="1">
        <f t="shared" si="36"/>
        <v>0</v>
      </c>
      <c r="Y51" s="1"/>
      <c r="Z51" s="5">
        <f t="shared" si="37"/>
        <v>0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30"/>
        <v>0</v>
      </c>
      <c r="G52" s="2"/>
      <c r="H52" s="6"/>
      <c r="I52" s="2"/>
      <c r="J52" s="7">
        <f t="shared" si="31"/>
        <v>0</v>
      </c>
      <c r="K52" s="2"/>
      <c r="L52" s="6">
        <f t="shared" si="32"/>
        <v>0</v>
      </c>
      <c r="M52" s="2"/>
      <c r="N52" s="7">
        <f t="shared" si="33"/>
        <v>0</v>
      </c>
      <c r="O52" s="11"/>
      <c r="P52" s="6"/>
      <c r="Q52" s="2"/>
      <c r="R52" s="7">
        <f t="shared" si="34"/>
        <v>0</v>
      </c>
      <c r="S52" s="2"/>
      <c r="T52" s="6">
        <v>0</v>
      </c>
      <c r="U52" s="2"/>
      <c r="V52" s="7">
        <f t="shared" si="35"/>
        <v>0</v>
      </c>
      <c r="W52" s="2"/>
      <c r="X52" s="6">
        <f t="shared" si="36"/>
        <v>0</v>
      </c>
      <c r="Y52" s="2"/>
      <c r="Z52" s="7">
        <f t="shared" si="37"/>
        <v>0</v>
      </c>
    </row>
    <row r="53" spans="1:26" s="28" customFormat="1" outlineLevel="1" collapsed="1" x14ac:dyDescent="0.25">
      <c r="A53" s="27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SUM(OSRRefD22_7x_0)</f>
        <v>165.75</v>
      </c>
      <c r="E53" s="1"/>
      <c r="F53" s="5">
        <f t="shared" si="30"/>
        <v>0</v>
      </c>
      <c r="G53" s="1"/>
      <c r="H53" s="1">
        <f>SUM(OSRRefH22_7x_0)</f>
        <v>0</v>
      </c>
      <c r="I53" s="1"/>
      <c r="J53" s="5">
        <f t="shared" si="31"/>
        <v>0</v>
      </c>
      <c r="K53" s="1"/>
      <c r="L53" s="1">
        <f t="shared" si="32"/>
        <v>165.75</v>
      </c>
      <c r="M53" s="1"/>
      <c r="N53" s="5">
        <f t="shared" si="33"/>
        <v>0</v>
      </c>
      <c r="O53" s="14"/>
      <c r="P53" s="1">
        <f>SUM(OSRRefP22_7x_0)</f>
        <v>244.35</v>
      </c>
      <c r="Q53" s="1"/>
      <c r="R53" s="5">
        <f t="shared" si="34"/>
        <v>0</v>
      </c>
      <c r="S53" s="1"/>
      <c r="T53" s="1">
        <f>SUM(OSRRefT22_7x_0)</f>
        <v>0</v>
      </c>
      <c r="U53" s="1"/>
      <c r="V53" s="5">
        <f t="shared" si="35"/>
        <v>0</v>
      </c>
      <c r="W53" s="1"/>
      <c r="X53" s="1">
        <f t="shared" si="36"/>
        <v>244.35</v>
      </c>
      <c r="Y53" s="1"/>
      <c r="Z53" s="5">
        <f t="shared" si="37"/>
        <v>0</v>
      </c>
    </row>
    <row r="54" spans="1:26" s="24" customFormat="1" hidden="1" outlineLevel="2" x14ac:dyDescent="0.25">
      <c r="A54" s="29"/>
      <c r="B54" s="11" t="str">
        <f>CONCATENATE("          ", "6371", " - ", "COMPUTER SOFTWARE MAINTENANCE")</f>
        <v xml:space="preserve">          6371 - COMPUTER SOFTWARE MAINTENANCE</v>
      </c>
      <c r="C54" s="11"/>
      <c r="D54" s="6"/>
      <c r="E54" s="2"/>
      <c r="F54" s="7">
        <f t="shared" si="30"/>
        <v>0</v>
      </c>
      <c r="G54" s="2"/>
      <c r="H54" s="6">
        <v>0</v>
      </c>
      <c r="I54" s="2"/>
      <c r="J54" s="7">
        <f t="shared" si="31"/>
        <v>0</v>
      </c>
      <c r="K54" s="2"/>
      <c r="L54" s="6">
        <f t="shared" si="32"/>
        <v>0</v>
      </c>
      <c r="M54" s="2"/>
      <c r="N54" s="7">
        <f t="shared" si="33"/>
        <v>0</v>
      </c>
      <c r="O54" s="11"/>
      <c r="P54" s="6"/>
      <c r="Q54" s="2"/>
      <c r="R54" s="7">
        <f t="shared" si="34"/>
        <v>0</v>
      </c>
      <c r="S54" s="2"/>
      <c r="T54" s="6">
        <v>0</v>
      </c>
      <c r="U54" s="2"/>
      <c r="V54" s="7">
        <f t="shared" si="35"/>
        <v>0</v>
      </c>
      <c r="W54" s="2"/>
      <c r="X54" s="6">
        <f t="shared" si="36"/>
        <v>0</v>
      </c>
      <c r="Y54" s="2"/>
      <c r="Z54" s="7">
        <f t="shared" si="37"/>
        <v>0</v>
      </c>
    </row>
    <row r="55" spans="1:26" s="24" customFormat="1" hidden="1" outlineLevel="2" x14ac:dyDescent="0.25">
      <c r="A55" s="29"/>
      <c r="B55" s="11" t="str">
        <f>CONCATENATE("          ", "6373", " - ", "MAINTENANCE CONTRACTS")</f>
        <v xml:space="preserve">          6373 - MAINTENANCE CONTRACTS</v>
      </c>
      <c r="C55" s="11"/>
      <c r="D55" s="6">
        <v>165.75</v>
      </c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165.75</v>
      </c>
      <c r="M55" s="2"/>
      <c r="N55" s="7">
        <f t="shared" si="33"/>
        <v>0</v>
      </c>
      <c r="O55" s="11"/>
      <c r="P55" s="6">
        <v>244.35</v>
      </c>
      <c r="Q55" s="2"/>
      <c r="R55" s="7">
        <f t="shared" si="34"/>
        <v>0</v>
      </c>
      <c r="S55" s="2"/>
      <c r="T55" s="6">
        <v>0</v>
      </c>
      <c r="U55" s="2"/>
      <c r="V55" s="7">
        <f t="shared" si="35"/>
        <v>0</v>
      </c>
      <c r="W55" s="2"/>
      <c r="X55" s="6">
        <f t="shared" si="36"/>
        <v>244.35</v>
      </c>
      <c r="Y55" s="2"/>
      <c r="Z55" s="7">
        <f t="shared" si="37"/>
        <v>0</v>
      </c>
    </row>
    <row r="56" spans="1:26" s="24" customFormat="1" hidden="1" outlineLevel="2" x14ac:dyDescent="0.25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6"/>
      <c r="E56" s="2"/>
      <c r="F56" s="7">
        <f t="shared" si="30"/>
        <v>0</v>
      </c>
      <c r="G56" s="2"/>
      <c r="H56" s="6">
        <v>0</v>
      </c>
      <c r="I56" s="2"/>
      <c r="J56" s="7">
        <f t="shared" si="31"/>
        <v>0</v>
      </c>
      <c r="K56" s="2"/>
      <c r="L56" s="6">
        <f t="shared" si="32"/>
        <v>0</v>
      </c>
      <c r="M56" s="2"/>
      <c r="N56" s="7">
        <f t="shared" si="33"/>
        <v>0</v>
      </c>
      <c r="O56" s="11"/>
      <c r="P56" s="6"/>
      <c r="Q56" s="2"/>
      <c r="R56" s="7">
        <f t="shared" si="34"/>
        <v>0</v>
      </c>
      <c r="S56" s="2"/>
      <c r="T56" s="6">
        <v>0</v>
      </c>
      <c r="U56" s="2"/>
      <c r="V56" s="7">
        <f t="shared" si="35"/>
        <v>0</v>
      </c>
      <c r="W56" s="2"/>
      <c r="X56" s="6">
        <f t="shared" si="36"/>
        <v>0</v>
      </c>
      <c r="Y56" s="2"/>
      <c r="Z56" s="7">
        <f t="shared" si="37"/>
        <v>0</v>
      </c>
    </row>
    <row r="57" spans="1:26" s="28" customFormat="1" outlineLevel="1" collapsed="1" x14ac:dyDescent="0.25">
      <c r="A57" s="27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SUM(OSRRefD22_8x_0)</f>
        <v>0</v>
      </c>
      <c r="E57" s="1"/>
      <c r="F57" s="5">
        <f t="shared" ref="F57:F59" si="38">IF(D$12=0,0,D57/D$12)</f>
        <v>0</v>
      </c>
      <c r="G57" s="1"/>
      <c r="H57" s="1">
        <f>SUM(OSRRefH22_8x_0)</f>
        <v>0</v>
      </c>
      <c r="I57" s="1"/>
      <c r="J57" s="5">
        <f t="shared" ref="J57:J59" si="39">IF(H$12=0,0,H57/H$12)</f>
        <v>0</v>
      </c>
      <c r="K57" s="1"/>
      <c r="L57" s="1">
        <f t="shared" ref="L57:L59" si="40">+D57-H57</f>
        <v>0</v>
      </c>
      <c r="M57" s="1"/>
      <c r="N57" s="5">
        <f t="shared" ref="N57:N59" si="41">IF(H57=0,0,L57/H57)</f>
        <v>0</v>
      </c>
      <c r="O57" s="14"/>
      <c r="P57" s="1">
        <f>SUM(OSRRefP22_8x_0)</f>
        <v>286.62</v>
      </c>
      <c r="Q57" s="1"/>
      <c r="R57" s="5">
        <f t="shared" ref="R57:R59" si="42">IF(P$12=0,0,P57/P$12)</f>
        <v>0</v>
      </c>
      <c r="S57" s="1"/>
      <c r="T57" s="1">
        <f>SUM(OSRRefT22_8x_0)</f>
        <v>0</v>
      </c>
      <c r="U57" s="1"/>
      <c r="V57" s="5">
        <f t="shared" ref="V57:V59" si="43">IF(T$12=0,0,T57/T$12)</f>
        <v>0</v>
      </c>
      <c r="W57" s="1"/>
      <c r="X57" s="1">
        <f t="shared" ref="X57:X59" si="44">+P57-T57</f>
        <v>286.62</v>
      </c>
      <c r="Y57" s="1"/>
      <c r="Z57" s="5">
        <f t="shared" ref="Z57:Z59" si="45">IF(T57=0,0,X57/T57)</f>
        <v>0</v>
      </c>
    </row>
    <row r="58" spans="1:26" s="24" customFormat="1" hidden="1" outlineLevel="2" x14ac:dyDescent="0.25">
      <c r="A58" s="29"/>
      <c r="B58" s="11" t="str">
        <f>CONCATENATE("          ", "6282", " - ", "JANITORIAL/EXTERMINATOR EXPENS")</f>
        <v xml:space="preserve">          6282 - JANITORIAL/EXTERMINATOR EXPENS</v>
      </c>
      <c r="C58" s="11"/>
      <c r="D58" s="6"/>
      <c r="E58" s="2"/>
      <c r="F58" s="7">
        <f t="shared" si="38"/>
        <v>0</v>
      </c>
      <c r="G58" s="2"/>
      <c r="H58" s="6"/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>
        <v>286.62</v>
      </c>
      <c r="Q58" s="2"/>
      <c r="R58" s="7">
        <f t="shared" si="42"/>
        <v>0</v>
      </c>
      <c r="S58" s="2"/>
      <c r="T58" s="6"/>
      <c r="U58" s="2"/>
      <c r="V58" s="7">
        <f t="shared" si="43"/>
        <v>0</v>
      </c>
      <c r="W58" s="2"/>
      <c r="X58" s="6">
        <f t="shared" si="44"/>
        <v>286.62</v>
      </c>
      <c r="Y58" s="2"/>
      <c r="Z58" s="7">
        <f t="shared" si="45"/>
        <v>0</v>
      </c>
    </row>
    <row r="59" spans="1:26" s="24" customFormat="1" hidden="1" outlineLevel="2" x14ac:dyDescent="0.25">
      <c r="A59" s="29"/>
      <c r="B59" s="11" t="str">
        <f>CONCATENATE("          ", "6286", " - ", "LAUNDRY EXPENSE")</f>
        <v xml:space="preserve">          6286 - LAUNDRY EXPENSE</v>
      </c>
      <c r="C59" s="11"/>
      <c r="D59" s="6"/>
      <c r="E59" s="2"/>
      <c r="F59" s="7">
        <f t="shared" si="38"/>
        <v>0</v>
      </c>
      <c r="G59" s="2"/>
      <c r="H59" s="6">
        <v>0</v>
      </c>
      <c r="I59" s="2"/>
      <c r="J59" s="7">
        <f t="shared" si="39"/>
        <v>0</v>
      </c>
      <c r="K59" s="2"/>
      <c r="L59" s="6">
        <f t="shared" si="40"/>
        <v>0</v>
      </c>
      <c r="M59" s="2"/>
      <c r="N59" s="7">
        <f t="shared" si="41"/>
        <v>0</v>
      </c>
      <c r="O59" s="11"/>
      <c r="P59" s="6"/>
      <c r="Q59" s="2"/>
      <c r="R59" s="7">
        <f t="shared" si="42"/>
        <v>0</v>
      </c>
      <c r="S59" s="2"/>
      <c r="T59" s="6">
        <v>0</v>
      </c>
      <c r="U59" s="2"/>
      <c r="V59" s="7">
        <f t="shared" si="43"/>
        <v>0</v>
      </c>
      <c r="W59" s="2"/>
      <c r="X59" s="6">
        <f t="shared" si="44"/>
        <v>0</v>
      </c>
      <c r="Y59" s="2"/>
      <c r="Z59" s="7">
        <f t="shared" si="45"/>
        <v>0</v>
      </c>
    </row>
    <row r="60" spans="1:26" s="28" customFormat="1" outlineLevel="1" collapsed="1" x14ac:dyDescent="0.25">
      <c r="A60" s="27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SUM(OSRRefD22_9x_0)</f>
        <v>0</v>
      </c>
      <c r="E60" s="1"/>
      <c r="F60" s="5">
        <f t="shared" ref="F60:F68" si="46">IF(D$12=0,0,D60/D$12)</f>
        <v>0</v>
      </c>
      <c r="G60" s="1"/>
      <c r="H60" s="1">
        <f>SUM(OSRRefH22_9x_0)</f>
        <v>0</v>
      </c>
      <c r="I60" s="1"/>
      <c r="J60" s="5">
        <f t="shared" ref="J60:J68" si="47">IF(H$12=0,0,H60/H$12)</f>
        <v>0</v>
      </c>
      <c r="K60" s="1"/>
      <c r="L60" s="1">
        <f t="shared" ref="L60:L68" si="48">+D60-H60</f>
        <v>0</v>
      </c>
      <c r="M60" s="1"/>
      <c r="N60" s="5">
        <f t="shared" ref="N60:N68" si="49">IF(H60=0,0,L60/H60)</f>
        <v>0</v>
      </c>
      <c r="O60" s="14"/>
      <c r="P60" s="1">
        <f>SUM(OSRRefP22_9x_0)</f>
        <v>0</v>
      </c>
      <c r="Q60" s="1"/>
      <c r="R60" s="5">
        <f t="shared" ref="R60:R68" si="50">IF(P$12=0,0,P60/P$12)</f>
        <v>0</v>
      </c>
      <c r="S60" s="1"/>
      <c r="T60" s="1">
        <f>SUM(OSRRefT22_9x_0)</f>
        <v>0</v>
      </c>
      <c r="U60" s="1"/>
      <c r="V60" s="5">
        <f t="shared" ref="V60:V68" si="51">IF(T$12=0,0,T60/T$12)</f>
        <v>0</v>
      </c>
      <c r="W60" s="1"/>
      <c r="X60" s="1">
        <f t="shared" ref="X60:X68" si="52">+P60-T60</f>
        <v>0</v>
      </c>
      <c r="Y60" s="1"/>
      <c r="Z60" s="5">
        <f t="shared" ref="Z60:Z68" si="53">IF(T60=0,0,X60/T60)</f>
        <v>0</v>
      </c>
    </row>
    <row r="61" spans="1:26" s="24" customFormat="1" hidden="1" outlineLevel="2" x14ac:dyDescent="0.25">
      <c r="A61" s="29"/>
      <c r="B61" s="11" t="str">
        <f>CONCATENATE("          ", "6235", " - ", "COVID-19 EXPENSES")</f>
        <v xml:space="preserve">          6235 - COVID-19 EXPENSES</v>
      </c>
      <c r="C61" s="11"/>
      <c r="D61" s="6"/>
      <c r="E61" s="2"/>
      <c r="F61" s="7">
        <f t="shared" si="46"/>
        <v>0</v>
      </c>
      <c r="G61" s="2"/>
      <c r="H61" s="6">
        <v>0</v>
      </c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0</v>
      </c>
      <c r="U61" s="2"/>
      <c r="V61" s="7">
        <f t="shared" si="51"/>
        <v>0</v>
      </c>
      <c r="W61" s="2"/>
      <c r="X61" s="6">
        <f t="shared" si="52"/>
        <v>0</v>
      </c>
      <c r="Y61" s="2"/>
      <c r="Z61" s="7">
        <f t="shared" si="53"/>
        <v>0</v>
      </c>
    </row>
    <row r="62" spans="1:26" s="24" customFormat="1" hidden="1" outlineLevel="2" x14ac:dyDescent="0.25">
      <c r="A62" s="29"/>
      <c r="B62" s="11" t="str">
        <f>CONCATENATE("          ", "6239", " - ", "KITCHEN SUPPLIES")</f>
        <v xml:space="preserve">          6239 - KITCHEN SUPPLIES</v>
      </c>
      <c r="C62" s="11"/>
      <c r="D62" s="6"/>
      <c r="E62" s="2"/>
      <c r="F62" s="7">
        <f t="shared" si="46"/>
        <v>0</v>
      </c>
      <c r="G62" s="2"/>
      <c r="H62" s="6"/>
      <c r="I62" s="2"/>
      <c r="J62" s="7">
        <f t="shared" si="47"/>
        <v>0</v>
      </c>
      <c r="K62" s="2"/>
      <c r="L62" s="6">
        <f t="shared" si="48"/>
        <v>0</v>
      </c>
      <c r="M62" s="2"/>
      <c r="N62" s="7">
        <f t="shared" si="49"/>
        <v>0</v>
      </c>
      <c r="O62" s="11"/>
      <c r="P62" s="6"/>
      <c r="Q62" s="2"/>
      <c r="R62" s="7">
        <f t="shared" si="50"/>
        <v>0</v>
      </c>
      <c r="S62" s="2"/>
      <c r="T62" s="6">
        <v>0</v>
      </c>
      <c r="U62" s="2"/>
      <c r="V62" s="7">
        <f t="shared" si="51"/>
        <v>0</v>
      </c>
      <c r="W62" s="2"/>
      <c r="X62" s="6">
        <f t="shared" si="52"/>
        <v>0</v>
      </c>
      <c r="Y62" s="2"/>
      <c r="Z62" s="7">
        <f t="shared" si="53"/>
        <v>0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6"/>
      <c r="E63" s="2"/>
      <c r="F63" s="7">
        <f t="shared" si="46"/>
        <v>0</v>
      </c>
      <c r="G63" s="2"/>
      <c r="H63" s="6"/>
      <c r="I63" s="2"/>
      <c r="J63" s="7">
        <f t="shared" si="47"/>
        <v>0</v>
      </c>
      <c r="K63" s="2"/>
      <c r="L63" s="6">
        <f t="shared" si="48"/>
        <v>0</v>
      </c>
      <c r="M63" s="2"/>
      <c r="N63" s="7">
        <f t="shared" si="49"/>
        <v>0</v>
      </c>
      <c r="O63" s="11"/>
      <c r="P63" s="6"/>
      <c r="Q63" s="2"/>
      <c r="R63" s="7">
        <f t="shared" si="50"/>
        <v>0</v>
      </c>
      <c r="S63" s="2"/>
      <c r="T63" s="6">
        <v>0</v>
      </c>
      <c r="U63" s="2"/>
      <c r="V63" s="7">
        <f t="shared" si="51"/>
        <v>0</v>
      </c>
      <c r="W63" s="2"/>
      <c r="X63" s="6">
        <f t="shared" si="52"/>
        <v>0</v>
      </c>
      <c r="Y63" s="2"/>
      <c r="Z63" s="7">
        <f t="shared" si="53"/>
        <v>0</v>
      </c>
    </row>
    <row r="64" spans="1:26" s="24" customFormat="1" hidden="1" outlineLevel="2" x14ac:dyDescent="0.25">
      <c r="A64" s="29"/>
      <c r="B64" s="11" t="str">
        <f>CONCATENATE("          ", "6243", " - ", "PAPER SUPPLIES")</f>
        <v xml:space="preserve">          6243 - PAPER SUPPLIES</v>
      </c>
      <c r="C64" s="11"/>
      <c r="D64" s="6"/>
      <c r="E64" s="2"/>
      <c r="F64" s="7">
        <f t="shared" si="46"/>
        <v>0</v>
      </c>
      <c r="G64" s="2"/>
      <c r="H64" s="6">
        <v>0</v>
      </c>
      <c r="I64" s="2"/>
      <c r="J64" s="7">
        <f t="shared" si="47"/>
        <v>0</v>
      </c>
      <c r="K64" s="2"/>
      <c r="L64" s="6">
        <f t="shared" si="48"/>
        <v>0</v>
      </c>
      <c r="M64" s="2"/>
      <c r="N64" s="7">
        <f t="shared" si="49"/>
        <v>0</v>
      </c>
      <c r="O64" s="11"/>
      <c r="P64" s="6"/>
      <c r="Q64" s="2"/>
      <c r="R64" s="7">
        <f t="shared" si="50"/>
        <v>0</v>
      </c>
      <c r="S64" s="2"/>
      <c r="T64" s="6">
        <v>0</v>
      </c>
      <c r="U64" s="2"/>
      <c r="V64" s="7">
        <f t="shared" si="51"/>
        <v>0</v>
      </c>
      <c r="W64" s="2"/>
      <c r="X64" s="6">
        <f t="shared" si="52"/>
        <v>0</v>
      </c>
      <c r="Y64" s="2"/>
      <c r="Z64" s="7">
        <f t="shared" si="53"/>
        <v>0</v>
      </c>
    </row>
    <row r="65" spans="1:26" s="24" customFormat="1" hidden="1" outlineLevel="2" x14ac:dyDescent="0.25">
      <c r="A65" s="29"/>
      <c r="B65" s="11" t="str">
        <f>CONCATENATE("          ", "6244", " - ", "SAFETY SUPPLY EXPENSE")</f>
        <v xml:space="preserve">          6244 - SAFETY SUPPLY EXPENSE</v>
      </c>
      <c r="C65" s="11"/>
      <c r="D65" s="6"/>
      <c r="E65" s="2"/>
      <c r="F65" s="7">
        <f t="shared" si="46"/>
        <v>0</v>
      </c>
      <c r="G65" s="2"/>
      <c r="H65" s="6"/>
      <c r="I65" s="2"/>
      <c r="J65" s="7">
        <f t="shared" si="47"/>
        <v>0</v>
      </c>
      <c r="K65" s="2"/>
      <c r="L65" s="6">
        <f t="shared" si="48"/>
        <v>0</v>
      </c>
      <c r="M65" s="2"/>
      <c r="N65" s="7">
        <f t="shared" si="49"/>
        <v>0</v>
      </c>
      <c r="O65" s="11"/>
      <c r="P65" s="6"/>
      <c r="Q65" s="2"/>
      <c r="R65" s="7">
        <f t="shared" si="50"/>
        <v>0</v>
      </c>
      <c r="S65" s="2"/>
      <c r="T65" s="6">
        <v>0</v>
      </c>
      <c r="U65" s="2"/>
      <c r="V65" s="7">
        <f t="shared" si="51"/>
        <v>0</v>
      </c>
      <c r="W65" s="2"/>
      <c r="X65" s="6">
        <f t="shared" si="52"/>
        <v>0</v>
      </c>
      <c r="Y65" s="2"/>
      <c r="Z65" s="7">
        <f t="shared" si="53"/>
        <v>0</v>
      </c>
    </row>
    <row r="66" spans="1:26" s="24" customFormat="1" hidden="1" outlineLevel="2" x14ac:dyDescent="0.25">
      <c r="A66" s="29"/>
      <c r="B66" s="11" t="str">
        <f>CONCATENATE("          ", "6245", " - ", "PRINTING")</f>
        <v xml:space="preserve">          6245 - PRINTING</v>
      </c>
      <c r="C66" s="11"/>
      <c r="D66" s="6"/>
      <c r="E66" s="2"/>
      <c r="F66" s="7">
        <f t="shared" si="46"/>
        <v>0</v>
      </c>
      <c r="G66" s="2"/>
      <c r="H66" s="6"/>
      <c r="I66" s="2"/>
      <c r="J66" s="7">
        <f t="shared" si="47"/>
        <v>0</v>
      </c>
      <c r="K66" s="2"/>
      <c r="L66" s="6">
        <f t="shared" si="48"/>
        <v>0</v>
      </c>
      <c r="M66" s="2"/>
      <c r="N66" s="7">
        <f t="shared" si="49"/>
        <v>0</v>
      </c>
      <c r="O66" s="11"/>
      <c r="P66" s="6"/>
      <c r="Q66" s="2"/>
      <c r="R66" s="7">
        <f t="shared" si="50"/>
        <v>0</v>
      </c>
      <c r="S66" s="2"/>
      <c r="T66" s="6">
        <v>0</v>
      </c>
      <c r="U66" s="2"/>
      <c r="V66" s="7">
        <f t="shared" si="51"/>
        <v>0</v>
      </c>
      <c r="W66" s="2"/>
      <c r="X66" s="6">
        <f t="shared" si="52"/>
        <v>0</v>
      </c>
      <c r="Y66" s="2"/>
      <c r="Z66" s="7">
        <f t="shared" si="53"/>
        <v>0</v>
      </c>
    </row>
    <row r="67" spans="1:26" s="24" customFormat="1" hidden="1" outlineLevel="2" x14ac:dyDescent="0.25">
      <c r="A67" s="29"/>
      <c r="B67" s="11" t="str">
        <f>CONCATENATE("          ", "6247", " - ", "STORE SUPPLIES")</f>
        <v xml:space="preserve">          6247 - STORE SUPPLIES</v>
      </c>
      <c r="C67" s="11"/>
      <c r="D67" s="6"/>
      <c r="E67" s="2"/>
      <c r="F67" s="7">
        <f t="shared" si="46"/>
        <v>0</v>
      </c>
      <c r="G67" s="2"/>
      <c r="H67" s="6"/>
      <c r="I67" s="2"/>
      <c r="J67" s="7">
        <f t="shared" si="47"/>
        <v>0</v>
      </c>
      <c r="K67" s="2"/>
      <c r="L67" s="6">
        <f t="shared" si="48"/>
        <v>0</v>
      </c>
      <c r="M67" s="2"/>
      <c r="N67" s="7">
        <f t="shared" si="49"/>
        <v>0</v>
      </c>
      <c r="O67" s="11"/>
      <c r="P67" s="6"/>
      <c r="Q67" s="2"/>
      <c r="R67" s="7">
        <f t="shared" si="50"/>
        <v>0</v>
      </c>
      <c r="S67" s="2"/>
      <c r="T67" s="6">
        <v>0</v>
      </c>
      <c r="U67" s="2"/>
      <c r="V67" s="7">
        <f t="shared" si="51"/>
        <v>0</v>
      </c>
      <c r="W67" s="2"/>
      <c r="X67" s="6">
        <f t="shared" si="52"/>
        <v>0</v>
      </c>
      <c r="Y67" s="2"/>
      <c r="Z67" s="7">
        <f t="shared" si="53"/>
        <v>0</v>
      </c>
    </row>
    <row r="68" spans="1:26" s="24" customFormat="1" hidden="1" outlineLevel="2" x14ac:dyDescent="0.25">
      <c r="A68" s="29"/>
      <c r="B68" s="11" t="str">
        <f>CONCATENATE("          ", "6248", " - ", "UNIFORMS")</f>
        <v xml:space="preserve">          6248 - UNIFORMS</v>
      </c>
      <c r="C68" s="11"/>
      <c r="D68" s="6"/>
      <c r="E68" s="2"/>
      <c r="F68" s="7">
        <f t="shared" si="46"/>
        <v>0</v>
      </c>
      <c r="G68" s="2"/>
      <c r="H68" s="6"/>
      <c r="I68" s="2"/>
      <c r="J68" s="7">
        <f t="shared" si="47"/>
        <v>0</v>
      </c>
      <c r="K68" s="2"/>
      <c r="L68" s="6">
        <f t="shared" si="48"/>
        <v>0</v>
      </c>
      <c r="M68" s="2"/>
      <c r="N68" s="7">
        <f t="shared" si="49"/>
        <v>0</v>
      </c>
      <c r="O68" s="11"/>
      <c r="P68" s="6"/>
      <c r="Q68" s="2"/>
      <c r="R68" s="7">
        <f t="shared" si="50"/>
        <v>0</v>
      </c>
      <c r="S68" s="2"/>
      <c r="T68" s="6">
        <v>0</v>
      </c>
      <c r="U68" s="2"/>
      <c r="V68" s="7">
        <f t="shared" si="51"/>
        <v>0</v>
      </c>
      <c r="W68" s="2"/>
      <c r="X68" s="6">
        <f t="shared" si="52"/>
        <v>0</v>
      </c>
      <c r="Y68" s="2"/>
      <c r="Z68" s="7">
        <f t="shared" si="53"/>
        <v>0</v>
      </c>
    </row>
    <row r="69" spans="1:26" s="28" customFormat="1" outlineLevel="1" collapsed="1" x14ac:dyDescent="0.2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SUM(OSRRefD22_10x_0)</f>
        <v>0</v>
      </c>
      <c r="E69" s="1"/>
      <c r="F69" s="5">
        <f t="shared" ref="F69:F71" si="54">IF(D$12=0,0,D69/D$12)</f>
        <v>0</v>
      </c>
      <c r="G69" s="1"/>
      <c r="H69" s="1">
        <f>SUM(OSRRefH22_10x_0)</f>
        <v>0</v>
      </c>
      <c r="I69" s="1"/>
      <c r="J69" s="5">
        <f t="shared" ref="J69:J71" si="55">IF(H$12=0,0,H69/H$12)</f>
        <v>0</v>
      </c>
      <c r="K69" s="1"/>
      <c r="L69" s="1">
        <f t="shared" ref="L69:L71" si="56">+D69-H69</f>
        <v>0</v>
      </c>
      <c r="M69" s="1"/>
      <c r="N69" s="5">
        <f t="shared" ref="N69:N71" si="57">IF(H69=0,0,L69/H69)</f>
        <v>0</v>
      </c>
      <c r="O69" s="14"/>
      <c r="P69" s="1">
        <f>SUM(OSRRefP22_10x_0)</f>
        <v>42</v>
      </c>
      <c r="Q69" s="1"/>
      <c r="R69" s="5">
        <f t="shared" ref="R69:R71" si="58">IF(P$12=0,0,P69/P$12)</f>
        <v>0</v>
      </c>
      <c r="S69" s="1"/>
      <c r="T69" s="1">
        <f>SUM(OSRRefT22_10x_0)</f>
        <v>0</v>
      </c>
      <c r="U69" s="1"/>
      <c r="V69" s="5">
        <f t="shared" ref="V69:V71" si="59">IF(T$12=0,0,T69/T$12)</f>
        <v>0</v>
      </c>
      <c r="W69" s="1"/>
      <c r="X69" s="1">
        <f t="shared" ref="X69:X71" si="60">+P69-T69</f>
        <v>42</v>
      </c>
      <c r="Y69" s="1"/>
      <c r="Z69" s="5">
        <f t="shared" ref="Z69:Z71" si="61">IF(T69=0,0,X69/T69)</f>
        <v>0</v>
      </c>
    </row>
    <row r="70" spans="1:26" s="24" customFormat="1" hidden="1" outlineLevel="2" x14ac:dyDescent="0.25">
      <c r="A70" s="29"/>
      <c r="B70" s="11" t="str">
        <f>CONCATENATE("          ", "6303", " - ", "DATA PHONE LINES")</f>
        <v xml:space="preserve">          6303 - DATA PHONE LINES</v>
      </c>
      <c r="C70" s="11"/>
      <c r="D70" s="6"/>
      <c r="E70" s="2"/>
      <c r="F70" s="7">
        <f t="shared" si="54"/>
        <v>0</v>
      </c>
      <c r="G70" s="2"/>
      <c r="H70" s="6">
        <v>0</v>
      </c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/>
      <c r="Q70" s="2"/>
      <c r="R70" s="7">
        <f t="shared" si="58"/>
        <v>0</v>
      </c>
      <c r="S70" s="2"/>
      <c r="T70" s="6">
        <v>0</v>
      </c>
      <c r="U70" s="2"/>
      <c r="V70" s="7">
        <f t="shared" si="59"/>
        <v>0</v>
      </c>
      <c r="W70" s="2"/>
      <c r="X70" s="6">
        <f t="shared" si="60"/>
        <v>0</v>
      </c>
      <c r="Y70" s="2"/>
      <c r="Z70" s="7">
        <f t="shared" si="61"/>
        <v>0</v>
      </c>
    </row>
    <row r="71" spans="1:26" s="24" customFormat="1" hidden="1" outlineLevel="2" x14ac:dyDescent="0.25">
      <c r="A71" s="29"/>
      <c r="B71" s="11" t="str">
        <f>CONCATENATE("          ", "6309", " - ", "TELEPHONE")</f>
        <v xml:space="preserve">          6309 - TELEPHONE</v>
      </c>
      <c r="C71" s="11"/>
      <c r="D71" s="6"/>
      <c r="E71" s="2"/>
      <c r="F71" s="7">
        <f t="shared" si="54"/>
        <v>0</v>
      </c>
      <c r="G71" s="2"/>
      <c r="H71" s="6">
        <v>0</v>
      </c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1"/>
      <c r="P71" s="6">
        <v>42</v>
      </c>
      <c r="Q71" s="2"/>
      <c r="R71" s="7">
        <f t="shared" si="58"/>
        <v>0</v>
      </c>
      <c r="S71" s="2"/>
      <c r="T71" s="6">
        <v>0</v>
      </c>
      <c r="U71" s="2"/>
      <c r="V71" s="7">
        <f t="shared" si="59"/>
        <v>0</v>
      </c>
      <c r="W71" s="2"/>
      <c r="X71" s="6">
        <f t="shared" si="60"/>
        <v>42</v>
      </c>
      <c r="Y71" s="2"/>
      <c r="Z71" s="7">
        <f t="shared" si="61"/>
        <v>0</v>
      </c>
    </row>
    <row r="72" spans="1:26" s="28" customFormat="1" outlineLevel="1" collapsed="1" x14ac:dyDescent="0.25">
      <c r="A72" s="27"/>
      <c r="B72" s="14" t="str">
        <f>CONCATENATE("     ","Travel                                            ")</f>
        <v xml:space="preserve">     Travel                                            </v>
      </c>
      <c r="C72" s="14"/>
      <c r="D72" s="1">
        <f>SUM(OSRRefD22_11x_0)</f>
        <v>0</v>
      </c>
      <c r="E72" s="1"/>
      <c r="F72" s="5">
        <f t="shared" ref="F72:F73" si="62">IF(D$12=0,0,D72/D$12)</f>
        <v>0</v>
      </c>
      <c r="G72" s="1"/>
      <c r="H72" s="1">
        <f>SUM(OSRRefH22_11x_0)</f>
        <v>0</v>
      </c>
      <c r="I72" s="1"/>
      <c r="J72" s="5">
        <f t="shared" ref="J72:J73" si="63">IF(H$12=0,0,H72/H$12)</f>
        <v>0</v>
      </c>
      <c r="K72" s="1"/>
      <c r="L72" s="1">
        <f t="shared" ref="L72:L73" si="64">+D72-H72</f>
        <v>0</v>
      </c>
      <c r="M72" s="1"/>
      <c r="N72" s="5">
        <f t="shared" ref="N72:N73" si="65">IF(H72=0,0,L72/H72)</f>
        <v>0</v>
      </c>
      <c r="O72" s="14"/>
      <c r="P72" s="1">
        <f>SUM(OSRRefP22_11x_0)</f>
        <v>0</v>
      </c>
      <c r="Q72" s="1"/>
      <c r="R72" s="5">
        <f t="shared" ref="R72:R73" si="66">IF(P$12=0,0,P72/P$12)</f>
        <v>0</v>
      </c>
      <c r="S72" s="1"/>
      <c r="T72" s="1">
        <f>SUM(OSRRefT22_11x_0)</f>
        <v>0</v>
      </c>
      <c r="U72" s="1"/>
      <c r="V72" s="5">
        <f t="shared" ref="V72:V73" si="67">IF(T$12=0,0,T72/T$12)</f>
        <v>0</v>
      </c>
      <c r="W72" s="1"/>
      <c r="X72" s="1">
        <f t="shared" ref="X72:X73" si="68">+P72-T72</f>
        <v>0</v>
      </c>
      <c r="Y72" s="1"/>
      <c r="Z72" s="5">
        <f t="shared" ref="Z72:Z73" si="69">IF(T72=0,0,X72/T72)</f>
        <v>0</v>
      </c>
    </row>
    <row r="73" spans="1:26" s="24" customFormat="1" hidden="1" outlineLevel="2" x14ac:dyDescent="0.25">
      <c r="A73" s="29"/>
      <c r="B73" s="11" t="str">
        <f>CONCATENATE("          ", "6292", " - ", "TRAVEL/CONFERENCE")</f>
        <v xml:space="preserve">          6292 - TRAVEL/CONFERENCE</v>
      </c>
      <c r="C73" s="11"/>
      <c r="D73" s="6"/>
      <c r="E73" s="2"/>
      <c r="F73" s="7">
        <f t="shared" si="62"/>
        <v>0</v>
      </c>
      <c r="G73" s="2"/>
      <c r="H73" s="6">
        <v>0</v>
      </c>
      <c r="I73" s="2"/>
      <c r="J73" s="7">
        <f t="shared" si="63"/>
        <v>0</v>
      </c>
      <c r="K73" s="2"/>
      <c r="L73" s="6">
        <f t="shared" si="64"/>
        <v>0</v>
      </c>
      <c r="M73" s="2"/>
      <c r="N73" s="7">
        <f t="shared" si="65"/>
        <v>0</v>
      </c>
      <c r="O73" s="11"/>
      <c r="P73" s="6"/>
      <c r="Q73" s="2"/>
      <c r="R73" s="7">
        <f t="shared" si="66"/>
        <v>0</v>
      </c>
      <c r="S73" s="2"/>
      <c r="T73" s="6">
        <v>0</v>
      </c>
      <c r="U73" s="2"/>
      <c r="V73" s="7">
        <f t="shared" si="67"/>
        <v>0</v>
      </c>
      <c r="W73" s="2"/>
      <c r="X73" s="6">
        <f t="shared" si="68"/>
        <v>0</v>
      </c>
      <c r="Y73" s="2"/>
      <c r="Z73" s="7">
        <f t="shared" si="69"/>
        <v>0</v>
      </c>
    </row>
    <row r="74" spans="1:26" s="61" customFormat="1" x14ac:dyDescent="0.25">
      <c r="A74" s="36"/>
      <c r="B74" s="36"/>
      <c r="C74" s="36"/>
      <c r="D74" s="1"/>
      <c r="E74" s="1"/>
      <c r="F74" s="5"/>
      <c r="G74" s="1"/>
      <c r="H74" s="1"/>
      <c r="I74" s="1"/>
      <c r="J74" s="5"/>
      <c r="K74" s="1"/>
      <c r="L74" s="1"/>
      <c r="M74" s="1"/>
      <c r="N74" s="5"/>
      <c r="O74" s="36"/>
      <c r="P74" s="1"/>
      <c r="Q74" s="1"/>
      <c r="R74" s="5"/>
      <c r="S74" s="1"/>
      <c r="T74" s="1"/>
      <c r="U74" s="1"/>
      <c r="V74" s="5"/>
      <c r="W74" s="1"/>
      <c r="X74" s="1"/>
      <c r="Y74" s="1"/>
      <c r="Z74" s="5"/>
    </row>
    <row r="75" spans="1:26" s="23" customFormat="1" x14ac:dyDescent="0.25">
      <c r="A75" s="10"/>
      <c r="B75" s="25" t="s">
        <v>0</v>
      </c>
      <c r="C75" s="10"/>
      <c r="D75" s="4">
        <f>SUM(0)</f>
        <v>0</v>
      </c>
      <c r="E75" s="4"/>
      <c r="F75" s="12">
        <f>IF(D$12=0,0,D75/D$12)</f>
        <v>0</v>
      </c>
      <c r="G75" s="4"/>
      <c r="H75" s="4">
        <f>SUM(0)</f>
        <v>0</v>
      </c>
      <c r="I75" s="4"/>
      <c r="J75" s="12">
        <f>IF(H$12=0,0,H75/H$12)</f>
        <v>0</v>
      </c>
      <c r="K75" s="4"/>
      <c r="L75" s="4">
        <f>+D75-H75</f>
        <v>0</v>
      </c>
      <c r="M75" s="4"/>
      <c r="N75" s="12">
        <f>IF(H75=0,0,L75/H75)</f>
        <v>0</v>
      </c>
      <c r="O75" s="10"/>
      <c r="P75" s="4">
        <f>SUM(0)</f>
        <v>0</v>
      </c>
      <c r="Q75" s="4"/>
      <c r="R75" s="12">
        <f>IF(P$12=0,0,P75/P$12)</f>
        <v>0</v>
      </c>
      <c r="S75" s="4"/>
      <c r="T75" s="4">
        <f>SUM(0)</f>
        <v>0</v>
      </c>
      <c r="U75" s="4"/>
      <c r="V75" s="12">
        <f>IF(T$12=0,0,T75/T$12)</f>
        <v>0</v>
      </c>
      <c r="W75" s="4"/>
      <c r="X75" s="4">
        <f>+P75-T75</f>
        <v>0</v>
      </c>
      <c r="Y75" s="4"/>
      <c r="Z75" s="12">
        <f>IF(T75=0,0,X75/T75)</f>
        <v>0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25">
      <c r="A77" s="10"/>
      <c r="B77" s="26" t="s">
        <v>3</v>
      </c>
      <c r="C77" s="26"/>
      <c r="D77" s="20">
        <f>+D19-D21+D75</f>
        <v>-223.78</v>
      </c>
      <c r="E77" s="13"/>
      <c r="F77" s="21">
        <f>IF(D$12=0,0,D77/D$12)</f>
        <v>0</v>
      </c>
      <c r="G77" s="13"/>
      <c r="H77" s="20">
        <f>+H19-H21+H75</f>
        <v>-630</v>
      </c>
      <c r="I77" s="13"/>
      <c r="J77" s="21">
        <f>IF(H$12=0,0,H77/H$12)</f>
        <v>0</v>
      </c>
      <c r="K77" s="16"/>
      <c r="L77" s="20">
        <f>+D77-H77</f>
        <v>406.22</v>
      </c>
      <c r="M77" s="16"/>
      <c r="N77" s="21">
        <f>IF(H77=0,0,L77/H77)</f>
        <v>-0.64479365079365081</v>
      </c>
      <c r="O77" s="25"/>
      <c r="P77" s="20">
        <f>+P19-P21+P75</f>
        <v>-4499.97</v>
      </c>
      <c r="Q77" s="13"/>
      <c r="R77" s="21">
        <f>IF(P$12=0,0,P77/P$12)</f>
        <v>0</v>
      </c>
      <c r="S77" s="13"/>
      <c r="T77" s="20">
        <f>+T19-T21+T75</f>
        <v>-1890</v>
      </c>
      <c r="U77" s="13"/>
      <c r="V77" s="21">
        <f>IF(T$12=0,0,T77/T$12)</f>
        <v>0</v>
      </c>
      <c r="W77" s="16"/>
      <c r="X77" s="20">
        <f>+P77-T77</f>
        <v>-2609.9700000000003</v>
      </c>
      <c r="Y77" s="16"/>
      <c r="Z77" s="21">
        <f>IF(T77=0,0,X77/T77)</f>
        <v>1.3809365079365081</v>
      </c>
    </row>
    <row r="78" spans="1:26" x14ac:dyDescent="0.25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52"/>
      <c r="B79" s="10" t="s">
        <v>14</v>
      </c>
      <c r="C79" s="10"/>
      <c r="D79" s="4"/>
      <c r="E79" s="4"/>
      <c r="F79" s="12">
        <f>IF(D$12=0,0,D79/D$12)</f>
        <v>0</v>
      </c>
      <c r="G79" s="4"/>
      <c r="H79" s="4"/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/>
      <c r="Q79" s="4"/>
      <c r="R79" s="12">
        <f>IF(P$12=0,0,P79/P$12)</f>
        <v>0</v>
      </c>
      <c r="S79" s="4"/>
      <c r="T79" s="4"/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.75" thickBot="1" x14ac:dyDescent="0.3">
      <c r="A81" s="10"/>
      <c r="B81" s="26" t="s">
        <v>4</v>
      </c>
      <c r="C81" s="26"/>
      <c r="D81" s="33">
        <f>+D77-D79</f>
        <v>-223.78</v>
      </c>
      <c r="E81" s="13"/>
      <c r="F81" s="34">
        <f>IF(D$12=0,0,D81/D$12)</f>
        <v>0</v>
      </c>
      <c r="G81" s="13"/>
      <c r="H81" s="33">
        <f>+H77-H79</f>
        <v>-630</v>
      </c>
      <c r="I81" s="13"/>
      <c r="J81" s="34">
        <f>IF(H$12=0,0,H81/H$12)</f>
        <v>0</v>
      </c>
      <c r="K81" s="16"/>
      <c r="L81" s="33">
        <f>D81-H81</f>
        <v>406.22</v>
      </c>
      <c r="M81" s="16"/>
      <c r="N81" s="34">
        <f>IF(H81=0,0,L81/H81)</f>
        <v>-0.64479365079365081</v>
      </c>
      <c r="O81" s="25"/>
      <c r="P81" s="33">
        <f>+P77-P79</f>
        <v>-4499.97</v>
      </c>
      <c r="Q81" s="13"/>
      <c r="R81" s="34">
        <f>IF(P$12=0,0,P81/P$12)</f>
        <v>0</v>
      </c>
      <c r="S81" s="13"/>
      <c r="T81" s="33">
        <f>+T77-T79</f>
        <v>-1890</v>
      </c>
      <c r="U81" s="13"/>
      <c r="V81" s="34">
        <f>IF(T$12=0,0,T81/T$12)</f>
        <v>0</v>
      </c>
      <c r="W81" s="16"/>
      <c r="X81" s="33">
        <f>P81-T81</f>
        <v>-2609.9700000000003</v>
      </c>
      <c r="Y81" s="16"/>
      <c r="Z81" s="34">
        <f>IF(T81=0,0,X81/T81)</f>
        <v>1.3809365079365081</v>
      </c>
    </row>
    <row r="82" spans="1:26" ht="15.75" thickTop="1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5</v>
      </c>
      <c r="C84" s="26"/>
      <c r="D84" s="31">
        <f>SUM(D81:D83)</f>
        <v>-223.78</v>
      </c>
      <c r="E84" s="13"/>
      <c r="F84" s="32">
        <f>IF(D$12=0,0,D84/D$12)</f>
        <v>0</v>
      </c>
      <c r="G84" s="13"/>
      <c r="H84" s="31">
        <f>SUM(H81:H83)</f>
        <v>-630</v>
      </c>
      <c r="I84" s="13"/>
      <c r="J84" s="32">
        <f>IF(H$12=0,0,H84/H$12)</f>
        <v>0</v>
      </c>
      <c r="K84" s="16"/>
      <c r="L84" s="31">
        <f>+D84-H84</f>
        <v>406.22</v>
      </c>
      <c r="M84" s="16"/>
      <c r="N84" s="32">
        <f>IF(H84=0,0,L84/H84)</f>
        <v>-0.64479365079365081</v>
      </c>
      <c r="O84" s="25"/>
      <c r="P84" s="31">
        <f>SUM(P81:P83)</f>
        <v>-4499.97</v>
      </c>
      <c r="Q84" s="13"/>
      <c r="R84" s="32">
        <f>IF(P$12=0,0,P84/P$12)</f>
        <v>0</v>
      </c>
      <c r="S84" s="13"/>
      <c r="T84" s="31">
        <f>SUM(T81:T83)</f>
        <v>-1890</v>
      </c>
      <c r="U84" s="13"/>
      <c r="V84" s="32">
        <f>IF(T$12=0,0,T84/T$12)</f>
        <v>0</v>
      </c>
      <c r="W84" s="16"/>
      <c r="X84" s="31">
        <f>+P84-T84</f>
        <v>-2609.9700000000003</v>
      </c>
      <c r="Y84" s="16"/>
      <c r="Z84" s="32">
        <f>IF(T84=0,0,X84/T84)</f>
        <v>1.3809365079365081</v>
      </c>
    </row>
    <row r="85" spans="1:26" ht="15.75" thickTop="1" x14ac:dyDescent="0.25">
      <c r="A85" s="9"/>
      <c r="C85" s="9"/>
      <c r="D85" s="17"/>
      <c r="E85" s="17"/>
      <c r="G85" s="17"/>
      <c r="H85" s="17"/>
      <c r="I85" s="17"/>
      <c r="J85" s="43"/>
      <c r="K85" s="17"/>
      <c r="L85" s="17"/>
      <c r="M85" s="17"/>
      <c r="P85" s="17"/>
      <c r="Q85" s="17"/>
      <c r="R85" s="43"/>
      <c r="S85" s="17"/>
      <c r="T85" s="17"/>
      <c r="U85" s="17"/>
      <c r="V85" s="43"/>
      <c r="W85" s="17"/>
      <c r="X85" s="17"/>
    </row>
    <row r="86" spans="1:26" x14ac:dyDescent="0.25">
      <c r="A86" s="9"/>
      <c r="B86" s="55">
        <v>44123.572341817133</v>
      </c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3" t="s">
        <v>314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62"/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","414", " - ", "Starbucks UDP")</f>
        <v>Department 414 - Starbucks UDP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0</v>
      </c>
      <c r="M12" s="4"/>
      <c r="N12" s="12">
        <f t="shared" ref="N12:N15" si="1">IF(H12=0,0,L12/H12)</f>
        <v>0</v>
      </c>
      <c r="O12" s="10"/>
      <c r="P12" s="4">
        <f>SUM(OSRRefP13x_0)</f>
        <v>974.91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974.91</v>
      </c>
      <c r="Y12" s="4"/>
      <c r="Z12" s="12">
        <f t="shared" ref="Z12:Z15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5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"4058", " - ", "TAXABLE SALES-FOOD")</f>
        <v xml:space="preserve">          4058 - TAXABLE SALES-FOOD</v>
      </c>
      <c r="C14" s="11"/>
      <c r="D14" s="2">
        <f t="shared" si="4"/>
        <v>0</v>
      </c>
      <c r="E14" s="2"/>
      <c r="F14" s="22"/>
      <c r="G14" s="2"/>
      <c r="H14" s="2"/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>--974.91</f>
        <v>974.91</v>
      </c>
      <c r="Q14" s="2"/>
      <c r="R14" s="22"/>
      <c r="S14" s="2"/>
      <c r="T14" s="2"/>
      <c r="U14" s="2"/>
      <c r="V14" s="22"/>
      <c r="W14" s="2"/>
      <c r="X14" s="2">
        <f t="shared" si="2"/>
        <v>974.91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 t="shared" si="4"/>
        <v>0</v>
      </c>
      <c r="E15" s="2"/>
      <c r="F15" s="22"/>
      <c r="G15" s="2"/>
      <c r="H15" s="2">
        <v>0</v>
      </c>
      <c r="I15" s="2"/>
      <c r="J15" s="22"/>
      <c r="K15" s="2"/>
      <c r="L15" s="2">
        <f t="shared" si="0"/>
        <v>0</v>
      </c>
      <c r="M15" s="2"/>
      <c r="N15" s="22">
        <f t="shared" si="1"/>
        <v>0</v>
      </c>
      <c r="O15" s="11"/>
      <c r="P15" s="2">
        <f>0</f>
        <v>0</v>
      </c>
      <c r="Q15" s="2"/>
      <c r="R15" s="22"/>
      <c r="S15" s="2"/>
      <c r="T15" s="2">
        <v>0</v>
      </c>
      <c r="U15" s="2"/>
      <c r="V15" s="22"/>
      <c r="W15" s="2"/>
      <c r="X15" s="2">
        <f t="shared" si="2"/>
        <v>0</v>
      </c>
      <c r="Y15" s="2"/>
      <c r="Z15" s="22">
        <f t="shared" si="3"/>
        <v>0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0</v>
      </c>
      <c r="E17" s="4"/>
      <c r="F17" s="12">
        <f t="shared" ref="F17:F18" si="5">IF(D$12=0,0,D17/D$12)</f>
        <v>0</v>
      </c>
      <c r="G17" s="4"/>
      <c r="H17" s="4">
        <f>SUM(OSRRefH16x_0)</f>
        <v>0</v>
      </c>
      <c r="I17" s="4"/>
      <c r="J17" s="12">
        <f t="shared" ref="J17:J18" si="6">IF(H$12=0,0,H17/H$12)</f>
        <v>0</v>
      </c>
      <c r="K17" s="4"/>
      <c r="L17" s="4">
        <f t="shared" ref="L17:L18" si="7">+D17-H17</f>
        <v>0</v>
      </c>
      <c r="M17" s="4"/>
      <c r="N17" s="12">
        <f t="shared" ref="N17:N18" si="8">IF(H17=0,0,L17/H17)</f>
        <v>0</v>
      </c>
      <c r="O17" s="10"/>
      <c r="P17" s="4">
        <f>SUM(OSRRefP16x_0)</f>
        <v>0</v>
      </c>
      <c r="Q17" s="4"/>
      <c r="R17" s="12">
        <f t="shared" ref="R17:R18" si="9">IF(P$12=0,0,P17/P$12)</f>
        <v>0</v>
      </c>
      <c r="S17" s="4"/>
      <c r="T17" s="4">
        <f>SUM(OSRRefT16x_0)</f>
        <v>0</v>
      </c>
      <c r="U17" s="4"/>
      <c r="V17" s="12">
        <f t="shared" ref="V17:V18" si="10">IF(T$12=0,0,T17/T$12)</f>
        <v>0</v>
      </c>
      <c r="W17" s="4"/>
      <c r="X17" s="4">
        <f t="shared" ref="X17:X18" si="11">+P17-T17</f>
        <v>0</v>
      </c>
      <c r="Y17" s="4"/>
      <c r="Z17" s="12">
        <f t="shared" ref="Z17:Z18" si="12">IF(T17=0,0,X17/T17)</f>
        <v>0</v>
      </c>
    </row>
    <row r="18" spans="1:26" s="24" customFormat="1" hidden="1" outlineLevel="1" x14ac:dyDescent="0.25">
      <c r="A18" s="51"/>
      <c r="B18" s="11" t="str">
        <f>CONCATENATE("          ", "5000", " - ", "PURCHASES @ COST")</f>
        <v xml:space="preserve">          5000 - PURCHASES @ COST</v>
      </c>
      <c r="C18" s="11"/>
      <c r="D18" s="2"/>
      <c r="E18" s="2"/>
      <c r="F18" s="22">
        <f t="shared" si="5"/>
        <v>0</v>
      </c>
      <c r="G18" s="2"/>
      <c r="H18" s="2">
        <v>0</v>
      </c>
      <c r="I18" s="2"/>
      <c r="J18" s="22">
        <f t="shared" si="6"/>
        <v>0</v>
      </c>
      <c r="K18" s="2"/>
      <c r="L18" s="2">
        <f t="shared" si="7"/>
        <v>0</v>
      </c>
      <c r="M18" s="2"/>
      <c r="N18" s="22">
        <f t="shared" si="8"/>
        <v>0</v>
      </c>
      <c r="O18" s="11"/>
      <c r="P18" s="2"/>
      <c r="Q18" s="2"/>
      <c r="R18" s="22">
        <f t="shared" si="9"/>
        <v>0</v>
      </c>
      <c r="S18" s="2"/>
      <c r="T18" s="2">
        <v>0</v>
      </c>
      <c r="U18" s="2"/>
      <c r="V18" s="22">
        <f t="shared" si="10"/>
        <v>0</v>
      </c>
      <c r="W18" s="2"/>
      <c r="X18" s="2">
        <f t="shared" si="11"/>
        <v>0</v>
      </c>
      <c r="Y18" s="2"/>
      <c r="Z18" s="22">
        <f t="shared" si="12"/>
        <v>0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0">
        <f>D12-D17</f>
        <v>0</v>
      </c>
      <c r="E20" s="13"/>
      <c r="F20" s="21">
        <f>IF(D$12=0,0,D20/D$12)</f>
        <v>0</v>
      </c>
      <c r="G20" s="13"/>
      <c r="H20" s="20">
        <f>H12-H17</f>
        <v>0</v>
      </c>
      <c r="I20" s="13"/>
      <c r="J20" s="21">
        <f>IF(H$12=0,0,H20/H$12)</f>
        <v>0</v>
      </c>
      <c r="K20" s="16"/>
      <c r="L20" s="20">
        <f>+D20-H20</f>
        <v>0</v>
      </c>
      <c r="M20" s="16"/>
      <c r="N20" s="21">
        <f>IF(H20=0,0,L20/H20)</f>
        <v>0</v>
      </c>
      <c r="O20" s="25"/>
      <c r="P20" s="20">
        <f>P12-P17</f>
        <v>974.91</v>
      </c>
      <c r="Q20" s="13"/>
      <c r="R20" s="21">
        <f>IF(P$12=0,0,P20/P$12)</f>
        <v>1</v>
      </c>
      <c r="S20" s="13"/>
      <c r="T20" s="20">
        <f>T12-T17</f>
        <v>0</v>
      </c>
      <c r="U20" s="13"/>
      <c r="V20" s="21">
        <f>IF(T$12=0,0,T20/T$12)</f>
        <v>0</v>
      </c>
      <c r="W20" s="16"/>
      <c r="X20" s="20">
        <f>+P20-T20</f>
        <v>974.91</v>
      </c>
      <c r="Y20" s="16"/>
      <c r="Z20" s="21">
        <f>IF(T20=0,0,X20/T20)</f>
        <v>0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19">
        <f>SUM(OSRRefD22x_0)</f>
        <v>2251.14</v>
      </c>
      <c r="E22" s="19"/>
      <c r="F22" s="35">
        <f t="shared" ref="F22:F32" si="13">IF(D$12=0,0,D22/D$12)</f>
        <v>0</v>
      </c>
      <c r="G22" s="19"/>
      <c r="H22" s="19">
        <f>SUM(OSRRefH22x_0)</f>
        <v>1972</v>
      </c>
      <c r="I22" s="19"/>
      <c r="J22" s="35">
        <f t="shared" ref="J22:J32" si="14">IF(H$12=0,0,H22/H$12)</f>
        <v>0</v>
      </c>
      <c r="K22" s="4"/>
      <c r="L22" s="19">
        <f t="shared" ref="L22:L32" si="15">+D22-H22</f>
        <v>279.13999999999987</v>
      </c>
      <c r="M22" s="4"/>
      <c r="N22" s="35">
        <f t="shared" ref="N22:N32" si="16">IF(H22=0,0,L22/H22)</f>
        <v>0.14155172413793096</v>
      </c>
      <c r="O22" s="10"/>
      <c r="P22" s="19">
        <f>SUM(OSRRefP22x_0)</f>
        <v>6797.54</v>
      </c>
      <c r="Q22" s="19"/>
      <c r="R22" s="35">
        <f t="shared" ref="R22:R32" si="17">IF(P$12=0,0,P22/P$12)</f>
        <v>6.9724795109292144</v>
      </c>
      <c r="S22" s="19"/>
      <c r="T22" s="19">
        <f>SUM(OSRRefT22x_0)</f>
        <v>5916</v>
      </c>
      <c r="U22" s="19"/>
      <c r="V22" s="35">
        <f t="shared" ref="V22:V32" si="18">IF(T$12=0,0,T22/T$12)</f>
        <v>0</v>
      </c>
      <c r="W22" s="4"/>
      <c r="X22" s="19">
        <f t="shared" ref="X22:X32" si="19">+P22-T22</f>
        <v>881.54</v>
      </c>
      <c r="Y22" s="4"/>
      <c r="Z22" s="35">
        <f t="shared" ref="Z22:Z32" si="20">IF(T22=0,0,X22/T22)</f>
        <v>0.14900946585530764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0</v>
      </c>
      <c r="M23" s="1"/>
      <c r="N23" s="5">
        <f t="shared" si="16"/>
        <v>0</v>
      </c>
      <c r="O23" s="14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702.51</v>
      </c>
      <c r="Y23" s="1"/>
      <c r="Z23" s="5">
        <f t="shared" si="20"/>
        <v>0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6"/>
      <c r="E24" s="2"/>
      <c r="F24" s="7">
        <f t="shared" si="13"/>
        <v>0</v>
      </c>
      <c r="G24" s="2"/>
      <c r="H24" s="6">
        <v>0</v>
      </c>
      <c r="I24" s="2"/>
      <c r="J24" s="7">
        <f t="shared" si="14"/>
        <v>0</v>
      </c>
      <c r="K24" s="2"/>
      <c r="L24" s="6">
        <f t="shared" si="15"/>
        <v>0</v>
      </c>
      <c r="M24" s="2"/>
      <c r="N24" s="7">
        <f t="shared" si="16"/>
        <v>0</v>
      </c>
      <c r="O24" s="11"/>
      <c r="P24" s="6"/>
      <c r="Q24" s="2"/>
      <c r="R24" s="7">
        <f t="shared" si="17"/>
        <v>0</v>
      </c>
      <c r="S24" s="2"/>
      <c r="T24" s="6">
        <v>0</v>
      </c>
      <c r="U24" s="2"/>
      <c r="V24" s="7">
        <f t="shared" si="18"/>
        <v>0</v>
      </c>
      <c r="W24" s="2"/>
      <c r="X24" s="6">
        <f t="shared" si="19"/>
        <v>0</v>
      </c>
      <c r="Y24" s="2"/>
      <c r="Z24" s="7">
        <f t="shared" si="20"/>
        <v>0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6"/>
      <c r="E25" s="2"/>
      <c r="F25" s="7">
        <f t="shared" si="13"/>
        <v>0</v>
      </c>
      <c r="G25" s="2"/>
      <c r="H25" s="6">
        <v>0</v>
      </c>
      <c r="I25" s="2"/>
      <c r="J25" s="7">
        <f t="shared" si="14"/>
        <v>0</v>
      </c>
      <c r="K25" s="2"/>
      <c r="L25" s="6">
        <f t="shared" si="15"/>
        <v>0</v>
      </c>
      <c r="M25" s="2"/>
      <c r="N25" s="7">
        <f t="shared" si="16"/>
        <v>0</v>
      </c>
      <c r="O25" s="11"/>
      <c r="P25" s="6"/>
      <c r="Q25" s="2"/>
      <c r="R25" s="7">
        <f t="shared" si="17"/>
        <v>0</v>
      </c>
      <c r="S25" s="2"/>
      <c r="T25" s="6">
        <v>0</v>
      </c>
      <c r="U25" s="2"/>
      <c r="V25" s="7">
        <f t="shared" si="18"/>
        <v>0</v>
      </c>
      <c r="W25" s="2"/>
      <c r="X25" s="6">
        <f t="shared" si="19"/>
        <v>0</v>
      </c>
      <c r="Y25" s="2"/>
      <c r="Z25" s="7">
        <f t="shared" si="20"/>
        <v>0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3"/>
        <v>0</v>
      </c>
      <c r="G26" s="2"/>
      <c r="H26" s="6">
        <v>0</v>
      </c>
      <c r="I26" s="2"/>
      <c r="J26" s="7">
        <f t="shared" si="14"/>
        <v>0</v>
      </c>
      <c r="K26" s="2"/>
      <c r="L26" s="6">
        <f t="shared" si="15"/>
        <v>0</v>
      </c>
      <c r="M26" s="2"/>
      <c r="N26" s="7">
        <f t="shared" si="16"/>
        <v>0</v>
      </c>
      <c r="O26" s="11"/>
      <c r="P26" s="6">
        <v>702.51</v>
      </c>
      <c r="Q26" s="2"/>
      <c r="R26" s="7">
        <f t="shared" si="17"/>
        <v>0.72058959288549718</v>
      </c>
      <c r="S26" s="2"/>
      <c r="T26" s="6">
        <v>0</v>
      </c>
      <c r="U26" s="2"/>
      <c r="V26" s="7">
        <f t="shared" si="18"/>
        <v>0</v>
      </c>
      <c r="W26" s="2"/>
      <c r="X26" s="6">
        <f t="shared" si="19"/>
        <v>702.51</v>
      </c>
      <c r="Y26" s="2"/>
      <c r="Z26" s="7">
        <f t="shared" si="20"/>
        <v>0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6"/>
      <c r="E27" s="2"/>
      <c r="F27" s="7">
        <f t="shared" si="13"/>
        <v>0</v>
      </c>
      <c r="G27" s="2"/>
      <c r="H27" s="6">
        <v>0</v>
      </c>
      <c r="I27" s="2"/>
      <c r="J27" s="7">
        <f t="shared" si="14"/>
        <v>0</v>
      </c>
      <c r="K27" s="2"/>
      <c r="L27" s="6">
        <f t="shared" si="15"/>
        <v>0</v>
      </c>
      <c r="M27" s="2"/>
      <c r="N27" s="7">
        <f t="shared" si="16"/>
        <v>0</v>
      </c>
      <c r="O27" s="11"/>
      <c r="P27" s="6"/>
      <c r="Q27" s="2"/>
      <c r="R27" s="7">
        <f t="shared" si="17"/>
        <v>0</v>
      </c>
      <c r="S27" s="2"/>
      <c r="T27" s="6">
        <v>0</v>
      </c>
      <c r="U27" s="2"/>
      <c r="V27" s="7">
        <f t="shared" si="18"/>
        <v>0</v>
      </c>
      <c r="W27" s="2"/>
      <c r="X27" s="6">
        <f t="shared" si="19"/>
        <v>0</v>
      </c>
      <c r="Y27" s="2"/>
      <c r="Z27" s="7">
        <f t="shared" si="20"/>
        <v>0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3"/>
        <v>0</v>
      </c>
      <c r="G28" s="2"/>
      <c r="H28" s="6">
        <v>0</v>
      </c>
      <c r="I28" s="2"/>
      <c r="J28" s="7">
        <f t="shared" si="14"/>
        <v>0</v>
      </c>
      <c r="K28" s="2"/>
      <c r="L28" s="6">
        <f t="shared" si="15"/>
        <v>0</v>
      </c>
      <c r="M28" s="2"/>
      <c r="N28" s="7">
        <f t="shared" si="16"/>
        <v>0</v>
      </c>
      <c r="O28" s="11"/>
      <c r="P28" s="6"/>
      <c r="Q28" s="2"/>
      <c r="R28" s="7">
        <f t="shared" si="17"/>
        <v>0</v>
      </c>
      <c r="S28" s="2"/>
      <c r="T28" s="6">
        <v>0</v>
      </c>
      <c r="U28" s="2"/>
      <c r="V28" s="7">
        <f t="shared" si="18"/>
        <v>0</v>
      </c>
      <c r="W28" s="2"/>
      <c r="X28" s="6">
        <f t="shared" si="19"/>
        <v>0</v>
      </c>
      <c r="Y28" s="2"/>
      <c r="Z28" s="7">
        <f t="shared" si="20"/>
        <v>0</v>
      </c>
    </row>
    <row r="29" spans="1:26" s="24" customFormat="1" hidden="1" outlineLevel="2" x14ac:dyDescent="0.25">
      <c r="A29" s="29"/>
      <c r="B29" s="11" t="str">
        <f>CONCATENATE("          ", "6116", " - ", "EDUCATIONAL BENEFITS")</f>
        <v xml:space="preserve">          6116 - EDUCATIONAL BENEFITS</v>
      </c>
      <c r="C29" s="11"/>
      <c r="D29" s="6"/>
      <c r="E29" s="2"/>
      <c r="F29" s="7">
        <f t="shared" si="13"/>
        <v>0</v>
      </c>
      <c r="G29" s="2"/>
      <c r="H29" s="6">
        <v>0</v>
      </c>
      <c r="I29" s="2"/>
      <c r="J29" s="7">
        <f t="shared" si="14"/>
        <v>0</v>
      </c>
      <c r="K29" s="2"/>
      <c r="L29" s="6">
        <f t="shared" si="15"/>
        <v>0</v>
      </c>
      <c r="M29" s="2"/>
      <c r="N29" s="7">
        <f t="shared" si="16"/>
        <v>0</v>
      </c>
      <c r="O29" s="11"/>
      <c r="P29" s="6"/>
      <c r="Q29" s="2"/>
      <c r="R29" s="7">
        <f t="shared" si="17"/>
        <v>0</v>
      </c>
      <c r="S29" s="2"/>
      <c r="T29" s="6">
        <v>0</v>
      </c>
      <c r="U29" s="2"/>
      <c r="V29" s="7">
        <f t="shared" si="18"/>
        <v>0</v>
      </c>
      <c r="W29" s="2"/>
      <c r="X29" s="6">
        <f t="shared" si="19"/>
        <v>0</v>
      </c>
      <c r="Y29" s="2"/>
      <c r="Z29" s="7">
        <f t="shared" si="20"/>
        <v>0</v>
      </c>
    </row>
    <row r="30" spans="1:26" s="24" customFormat="1" hidden="1" outlineLevel="2" x14ac:dyDescent="0.25">
      <c r="A30" s="29"/>
      <c r="B30" s="11" t="str">
        <f>CONCATENATE("          ", "6118", " - ", "VACATION")</f>
        <v xml:space="preserve">          6118 - VACATION</v>
      </c>
      <c r="C30" s="11"/>
      <c r="D30" s="6"/>
      <c r="E30" s="2"/>
      <c r="F30" s="7">
        <f t="shared" si="13"/>
        <v>0</v>
      </c>
      <c r="G30" s="2"/>
      <c r="H30" s="6">
        <v>0</v>
      </c>
      <c r="I30" s="2"/>
      <c r="J30" s="7">
        <f t="shared" si="14"/>
        <v>0</v>
      </c>
      <c r="K30" s="2"/>
      <c r="L30" s="6">
        <f t="shared" si="15"/>
        <v>0</v>
      </c>
      <c r="M30" s="2"/>
      <c r="N30" s="7">
        <f t="shared" si="16"/>
        <v>0</v>
      </c>
      <c r="O30" s="11"/>
      <c r="P30" s="6"/>
      <c r="Q30" s="2"/>
      <c r="R30" s="7">
        <f t="shared" si="17"/>
        <v>0</v>
      </c>
      <c r="S30" s="2"/>
      <c r="T30" s="6">
        <v>0</v>
      </c>
      <c r="U30" s="2"/>
      <c r="V30" s="7">
        <f t="shared" si="18"/>
        <v>0</v>
      </c>
      <c r="W30" s="2"/>
      <c r="X30" s="6">
        <f t="shared" si="19"/>
        <v>0</v>
      </c>
      <c r="Y30" s="2"/>
      <c r="Z30" s="7">
        <f t="shared" si="20"/>
        <v>0</v>
      </c>
    </row>
    <row r="31" spans="1:26" s="24" customFormat="1" hidden="1" outlineLevel="2" x14ac:dyDescent="0.25">
      <c r="A31" s="29"/>
      <c r="B31" s="11" t="str">
        <f>CONCATENATE("          ", "6119", " - ", "SICK LEAVE")</f>
        <v xml:space="preserve">          6119 - SICK LEAVE</v>
      </c>
      <c r="C31" s="11"/>
      <c r="D31" s="6"/>
      <c r="E31" s="2"/>
      <c r="F31" s="7">
        <f t="shared" si="13"/>
        <v>0</v>
      </c>
      <c r="G31" s="2"/>
      <c r="H31" s="6">
        <v>0</v>
      </c>
      <c r="I31" s="2"/>
      <c r="J31" s="7">
        <f t="shared" si="14"/>
        <v>0</v>
      </c>
      <c r="K31" s="2"/>
      <c r="L31" s="6">
        <f t="shared" si="15"/>
        <v>0</v>
      </c>
      <c r="M31" s="2"/>
      <c r="N31" s="7">
        <f t="shared" si="16"/>
        <v>0</v>
      </c>
      <c r="O31" s="11"/>
      <c r="P31" s="6"/>
      <c r="Q31" s="2"/>
      <c r="R31" s="7">
        <f t="shared" si="17"/>
        <v>0</v>
      </c>
      <c r="S31" s="2"/>
      <c r="T31" s="6">
        <v>0</v>
      </c>
      <c r="U31" s="2"/>
      <c r="V31" s="7">
        <f t="shared" si="18"/>
        <v>0</v>
      </c>
      <c r="W31" s="2"/>
      <c r="X31" s="6">
        <f t="shared" si="19"/>
        <v>0</v>
      </c>
      <c r="Y31" s="2"/>
      <c r="Z31" s="7">
        <f t="shared" si="20"/>
        <v>0</v>
      </c>
    </row>
    <row r="32" spans="1:26" s="24" customFormat="1" hidden="1" outlineLevel="2" x14ac:dyDescent="0.25">
      <c r="A32" s="29"/>
      <c r="B32" s="11" t="str">
        <f>CONCATENATE("          ", "6156", " - ", "EMPLOYEE MEALS")</f>
        <v xml:space="preserve">          6156 - EMPLOYEE MEALS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8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3" si="21">IF(D$12=0,0,D33/D$12)</f>
        <v>0</v>
      </c>
      <c r="G33" s="1"/>
      <c r="H33" s="1">
        <f>SUM(OSRRefH22_1x_0)</f>
        <v>0</v>
      </c>
      <c r="I33" s="1"/>
      <c r="J33" s="5">
        <f t="shared" ref="J33:J43" si="22">IF(H$12=0,0,H33/H$12)</f>
        <v>0</v>
      </c>
      <c r="K33" s="1"/>
      <c r="L33" s="1">
        <f t="shared" ref="L33:L43" si="23">+D33-H33</f>
        <v>0</v>
      </c>
      <c r="M33" s="1"/>
      <c r="N33" s="5">
        <f t="shared" ref="N33:N43" si="24">IF(H33=0,0,L33/H33)</f>
        <v>0</v>
      </c>
      <c r="O33" s="14"/>
      <c r="P33" s="1">
        <f>SUM(OSRRefP22_1x_0)</f>
        <v>0</v>
      </c>
      <c r="Q33" s="1"/>
      <c r="R33" s="5">
        <f t="shared" ref="R33:R43" si="25">IF(P$12=0,0,P33/P$12)</f>
        <v>0</v>
      </c>
      <c r="S33" s="1"/>
      <c r="T33" s="1">
        <f>SUM(OSRRefT22_1x_0)</f>
        <v>0</v>
      </c>
      <c r="U33" s="1"/>
      <c r="V33" s="5">
        <f t="shared" ref="V33:V43" si="26">IF(T$12=0,0,T33/T$12)</f>
        <v>0</v>
      </c>
      <c r="W33" s="1"/>
      <c r="X33" s="1">
        <f t="shared" ref="X33:X43" si="27">+P33-T33</f>
        <v>0</v>
      </c>
      <c r="Y33" s="1"/>
      <c r="Z33" s="5">
        <f t="shared" ref="Z33:Z43" si="28">IF(T33=0,0,X33/T33)</f>
        <v>0</v>
      </c>
    </row>
    <row r="34" spans="1:26" s="24" customFormat="1" hidden="1" outlineLevel="2" x14ac:dyDescent="0.25">
      <c r="A34" s="29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1"/>
        <v>0</v>
      </c>
      <c r="G34" s="2"/>
      <c r="H34" s="6">
        <v>0</v>
      </c>
      <c r="I34" s="2"/>
      <c r="J34" s="7">
        <f t="shared" si="22"/>
        <v>0</v>
      </c>
      <c r="K34" s="2"/>
      <c r="L34" s="6">
        <f t="shared" si="23"/>
        <v>0</v>
      </c>
      <c r="M34" s="2"/>
      <c r="N34" s="7">
        <f t="shared" si="24"/>
        <v>0</v>
      </c>
      <c r="O34" s="11"/>
      <c r="P34" s="6"/>
      <c r="Q34" s="2"/>
      <c r="R34" s="7">
        <f t="shared" si="25"/>
        <v>0</v>
      </c>
      <c r="S34" s="2"/>
      <c r="T34" s="6">
        <v>0</v>
      </c>
      <c r="U34" s="2"/>
      <c r="V34" s="7">
        <f t="shared" si="26"/>
        <v>0</v>
      </c>
      <c r="W34" s="2"/>
      <c r="X34" s="6">
        <f t="shared" si="27"/>
        <v>0</v>
      </c>
      <c r="Y34" s="2"/>
      <c r="Z34" s="7">
        <f t="shared" si="28"/>
        <v>0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6"/>
      <c r="E35" s="2"/>
      <c r="F35" s="7">
        <f t="shared" si="21"/>
        <v>0</v>
      </c>
      <c r="G35" s="2"/>
      <c r="H35" s="6">
        <v>0</v>
      </c>
      <c r="I35" s="2"/>
      <c r="J35" s="7">
        <f t="shared" si="22"/>
        <v>0</v>
      </c>
      <c r="K35" s="2"/>
      <c r="L35" s="6">
        <f t="shared" si="23"/>
        <v>0</v>
      </c>
      <c r="M35" s="2"/>
      <c r="N35" s="7">
        <f t="shared" si="24"/>
        <v>0</v>
      </c>
      <c r="O35" s="11"/>
      <c r="P35" s="6"/>
      <c r="Q35" s="2"/>
      <c r="R35" s="7">
        <f t="shared" si="25"/>
        <v>0</v>
      </c>
      <c r="S35" s="2"/>
      <c r="T35" s="6">
        <v>0</v>
      </c>
      <c r="U35" s="2"/>
      <c r="V35" s="7">
        <f t="shared" si="26"/>
        <v>0</v>
      </c>
      <c r="W35" s="2"/>
      <c r="X35" s="6">
        <f t="shared" si="27"/>
        <v>0</v>
      </c>
      <c r="Y35" s="2"/>
      <c r="Z35" s="7">
        <f t="shared" si="28"/>
        <v>0</v>
      </c>
    </row>
    <row r="36" spans="1:26" s="24" customFormat="1" hidden="1" outlineLevel="2" x14ac:dyDescent="0.25">
      <c r="A36" s="29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1"/>
        <v>0</v>
      </c>
      <c r="G36" s="2"/>
      <c r="H36" s="6">
        <v>0</v>
      </c>
      <c r="I36" s="2"/>
      <c r="J36" s="7">
        <f t="shared" si="22"/>
        <v>0</v>
      </c>
      <c r="K36" s="2"/>
      <c r="L36" s="6">
        <f t="shared" si="23"/>
        <v>0</v>
      </c>
      <c r="M36" s="2"/>
      <c r="N36" s="7">
        <f t="shared" si="24"/>
        <v>0</v>
      </c>
      <c r="O36" s="11"/>
      <c r="P36" s="6"/>
      <c r="Q36" s="2"/>
      <c r="R36" s="7">
        <f t="shared" si="25"/>
        <v>0</v>
      </c>
      <c r="S36" s="2"/>
      <c r="T36" s="6">
        <v>0</v>
      </c>
      <c r="U36" s="2"/>
      <c r="V36" s="7">
        <f t="shared" si="26"/>
        <v>0</v>
      </c>
      <c r="W36" s="2"/>
      <c r="X36" s="6">
        <f t="shared" si="27"/>
        <v>0</v>
      </c>
      <c r="Y36" s="2"/>
      <c r="Z36" s="7">
        <f t="shared" si="28"/>
        <v>0</v>
      </c>
    </row>
    <row r="37" spans="1:26" s="24" customFormat="1" hidden="1" outlineLevel="2" x14ac:dyDescent="0.25">
      <c r="A37" s="29"/>
      <c r="B37" s="11" t="str">
        <f>CONCATENATE("          ", "6004", " - ", "STAFF HOURLY")</f>
        <v xml:space="preserve">          6004 - STAFF HOURLY</v>
      </c>
      <c r="C37" s="11"/>
      <c r="D37" s="6"/>
      <c r="E37" s="2"/>
      <c r="F37" s="7">
        <f t="shared" si="21"/>
        <v>0</v>
      </c>
      <c r="G37" s="2"/>
      <c r="H37" s="6">
        <v>0</v>
      </c>
      <c r="I37" s="2"/>
      <c r="J37" s="7">
        <f t="shared" si="22"/>
        <v>0</v>
      </c>
      <c r="K37" s="2"/>
      <c r="L37" s="6">
        <f t="shared" si="23"/>
        <v>0</v>
      </c>
      <c r="M37" s="2"/>
      <c r="N37" s="7">
        <f t="shared" si="24"/>
        <v>0</v>
      </c>
      <c r="O37" s="11"/>
      <c r="P37" s="6"/>
      <c r="Q37" s="2"/>
      <c r="R37" s="7">
        <f t="shared" si="25"/>
        <v>0</v>
      </c>
      <c r="S37" s="2"/>
      <c r="T37" s="6">
        <v>0</v>
      </c>
      <c r="U37" s="2"/>
      <c r="V37" s="7">
        <f t="shared" si="26"/>
        <v>0</v>
      </c>
      <c r="W37" s="2"/>
      <c r="X37" s="6">
        <f t="shared" si="27"/>
        <v>0</v>
      </c>
      <c r="Y37" s="2"/>
      <c r="Z37" s="7">
        <f t="shared" si="28"/>
        <v>0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9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1"/>
        <v>0</v>
      </c>
      <c r="G39" s="2"/>
      <c r="H39" s="6">
        <v>0</v>
      </c>
      <c r="I39" s="2"/>
      <c r="J39" s="7">
        <f t="shared" si="22"/>
        <v>0</v>
      </c>
      <c r="K39" s="2"/>
      <c r="L39" s="6">
        <f t="shared" si="23"/>
        <v>0</v>
      </c>
      <c r="M39" s="2"/>
      <c r="N39" s="7">
        <f t="shared" si="24"/>
        <v>0</v>
      </c>
      <c r="O39" s="11"/>
      <c r="P39" s="6"/>
      <c r="Q39" s="2"/>
      <c r="R39" s="7">
        <f t="shared" si="25"/>
        <v>0</v>
      </c>
      <c r="S39" s="2"/>
      <c r="T39" s="6">
        <v>0</v>
      </c>
      <c r="U39" s="2"/>
      <c r="V39" s="7">
        <f t="shared" si="26"/>
        <v>0</v>
      </c>
      <c r="W39" s="2"/>
      <c r="X39" s="6">
        <f t="shared" si="27"/>
        <v>0</v>
      </c>
      <c r="Y39" s="2"/>
      <c r="Z39" s="7">
        <f t="shared" si="28"/>
        <v>0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1"/>
        <v>0</v>
      </c>
      <c r="G41" s="2"/>
      <c r="H41" s="6">
        <v>0</v>
      </c>
      <c r="I41" s="2"/>
      <c r="J41" s="7">
        <f t="shared" si="22"/>
        <v>0</v>
      </c>
      <c r="K41" s="2"/>
      <c r="L41" s="6">
        <f t="shared" si="23"/>
        <v>0</v>
      </c>
      <c r="M41" s="2"/>
      <c r="N41" s="7">
        <f t="shared" si="24"/>
        <v>0</v>
      </c>
      <c r="O41" s="11"/>
      <c r="P41" s="6"/>
      <c r="Q41" s="2"/>
      <c r="R41" s="7">
        <f t="shared" si="25"/>
        <v>0</v>
      </c>
      <c r="S41" s="2"/>
      <c r="T41" s="6">
        <v>0</v>
      </c>
      <c r="U41" s="2"/>
      <c r="V41" s="7">
        <f t="shared" si="26"/>
        <v>0</v>
      </c>
      <c r="W41" s="2"/>
      <c r="X41" s="6">
        <f t="shared" si="27"/>
        <v>0</v>
      </c>
      <c r="Y41" s="2"/>
      <c r="Z41" s="7">
        <f t="shared" si="28"/>
        <v>0</v>
      </c>
    </row>
    <row r="42" spans="1:26" s="24" customFormat="1" hidden="1" outlineLevel="2" x14ac:dyDescent="0.25">
      <c r="A42" s="29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9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8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8" si="29">IF(D$12=0,0,D44/D$12)</f>
        <v>0</v>
      </c>
      <c r="G44" s="1"/>
      <c r="H44" s="1">
        <f>SUM(OSRRefH22_2x_0)</f>
        <v>0</v>
      </c>
      <c r="I44" s="1"/>
      <c r="J44" s="5">
        <f t="shared" ref="J44:J58" si="30">IF(H$12=0,0,H44/H$12)</f>
        <v>0</v>
      </c>
      <c r="K44" s="1"/>
      <c r="L44" s="1">
        <f t="shared" ref="L44:L58" si="31">+D44-H44</f>
        <v>0</v>
      </c>
      <c r="M44" s="1"/>
      <c r="N44" s="5">
        <f t="shared" ref="N44:N58" si="32">IF(H44=0,0,L44/H44)</f>
        <v>0</v>
      </c>
      <c r="O44" s="14"/>
      <c r="P44" s="1">
        <f>SUM(OSRRefP22_2x_0)</f>
        <v>0</v>
      </c>
      <c r="Q44" s="1"/>
      <c r="R44" s="5">
        <f t="shared" ref="R44:R58" si="33">IF(P$12=0,0,P44/P$12)</f>
        <v>0</v>
      </c>
      <c r="S44" s="1"/>
      <c r="T44" s="1">
        <f>SUM(OSRRefT22_2x_0)</f>
        <v>0</v>
      </c>
      <c r="U44" s="1"/>
      <c r="V44" s="5">
        <f t="shared" ref="V44:V58" si="34">IF(T$12=0,0,T44/T$12)</f>
        <v>0</v>
      </c>
      <c r="W44" s="1"/>
      <c r="X44" s="1">
        <f t="shared" ref="X44:X58" si="35">+P44-T44</f>
        <v>0</v>
      </c>
      <c r="Y44" s="1"/>
      <c r="Z44" s="5">
        <f t="shared" ref="Z44:Z58" si="36">IF(T44=0,0,X44/T44)</f>
        <v>0</v>
      </c>
    </row>
    <row r="45" spans="1:26" s="24" customFormat="1" hidden="1" outlineLevel="2" x14ac:dyDescent="0.25">
      <c r="A45" s="29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29"/>
        <v>0</v>
      </c>
      <c r="G45" s="2"/>
      <c r="H45" s="6">
        <v>0</v>
      </c>
      <c r="I45" s="2"/>
      <c r="J45" s="7">
        <f t="shared" si="30"/>
        <v>0</v>
      </c>
      <c r="K45" s="2"/>
      <c r="L45" s="6">
        <f t="shared" si="31"/>
        <v>0</v>
      </c>
      <c r="M45" s="2"/>
      <c r="N45" s="7">
        <f t="shared" si="32"/>
        <v>0</v>
      </c>
      <c r="O45" s="11"/>
      <c r="P45" s="6"/>
      <c r="Q45" s="2"/>
      <c r="R45" s="7">
        <f t="shared" si="33"/>
        <v>0</v>
      </c>
      <c r="S45" s="2"/>
      <c r="T45" s="6">
        <v>0</v>
      </c>
      <c r="U45" s="2"/>
      <c r="V45" s="7">
        <f t="shared" si="34"/>
        <v>0</v>
      </c>
      <c r="W45" s="2"/>
      <c r="X45" s="6">
        <f t="shared" si="35"/>
        <v>0</v>
      </c>
      <c r="Y45" s="2"/>
      <c r="Z45" s="7">
        <f t="shared" si="36"/>
        <v>0</v>
      </c>
    </row>
    <row r="46" spans="1:26" s="28" customFormat="1" outlineLevel="1" collapsed="1" x14ac:dyDescent="0.25">
      <c r="A46" s="27"/>
      <c r="B46" s="14" t="str">
        <f>CONCATENATE("     ","Bank/card Fees                                    ")</f>
        <v xml:space="preserve">     Bank/card Fees                                    </v>
      </c>
      <c r="C46" s="14"/>
      <c r="D46" s="1">
        <f>SUM(OSRRefD22_3x_0)</f>
        <v>0</v>
      </c>
      <c r="E46" s="1"/>
      <c r="F46" s="5">
        <f t="shared" si="29"/>
        <v>0</v>
      </c>
      <c r="G46" s="1"/>
      <c r="H46" s="1">
        <f>SUM(OSRRefH22_3x_0)</f>
        <v>0</v>
      </c>
      <c r="I46" s="1"/>
      <c r="J46" s="5">
        <f t="shared" si="30"/>
        <v>0</v>
      </c>
      <c r="K46" s="1"/>
      <c r="L46" s="1">
        <f t="shared" si="31"/>
        <v>0</v>
      </c>
      <c r="M46" s="1"/>
      <c r="N46" s="5">
        <f t="shared" si="32"/>
        <v>0</v>
      </c>
      <c r="O46" s="14"/>
      <c r="P46" s="1">
        <f>SUM(OSRRefP22_3x_0)</f>
        <v>0</v>
      </c>
      <c r="Q46" s="1"/>
      <c r="R46" s="5">
        <f t="shared" si="33"/>
        <v>0</v>
      </c>
      <c r="S46" s="1"/>
      <c r="T46" s="1">
        <f>SUM(OSRRefT22_3x_0)</f>
        <v>0</v>
      </c>
      <c r="U46" s="1"/>
      <c r="V46" s="5">
        <f t="shared" si="34"/>
        <v>0</v>
      </c>
      <c r="W46" s="1"/>
      <c r="X46" s="1">
        <f t="shared" si="35"/>
        <v>0</v>
      </c>
      <c r="Y46" s="1"/>
      <c r="Z46" s="5">
        <f t="shared" si="36"/>
        <v>0</v>
      </c>
    </row>
    <row r="47" spans="1:26" s="24" customFormat="1" hidden="1" outlineLevel="2" x14ac:dyDescent="0.25">
      <c r="A47" s="29"/>
      <c r="B47" s="11" t="str">
        <f>CONCATENATE("          ", "6381", " - ", "BANK/CREDIT CARD FEES")</f>
        <v xml:space="preserve">          6381 - BANK/CREDIT CARD FEES</v>
      </c>
      <c r="C47" s="11"/>
      <c r="D47" s="6"/>
      <c r="E47" s="2"/>
      <c r="F47" s="7">
        <f t="shared" si="29"/>
        <v>0</v>
      </c>
      <c r="G47" s="2"/>
      <c r="H47" s="6">
        <v>0</v>
      </c>
      <c r="I47" s="2"/>
      <c r="J47" s="7">
        <f t="shared" si="30"/>
        <v>0</v>
      </c>
      <c r="K47" s="2"/>
      <c r="L47" s="6">
        <f t="shared" si="31"/>
        <v>0</v>
      </c>
      <c r="M47" s="2"/>
      <c r="N47" s="7">
        <f t="shared" si="32"/>
        <v>0</v>
      </c>
      <c r="O47" s="11"/>
      <c r="P47" s="6"/>
      <c r="Q47" s="2"/>
      <c r="R47" s="7">
        <f t="shared" si="33"/>
        <v>0</v>
      </c>
      <c r="S47" s="2"/>
      <c r="T47" s="6">
        <v>0</v>
      </c>
      <c r="U47" s="2"/>
      <c r="V47" s="7">
        <f t="shared" si="34"/>
        <v>0</v>
      </c>
      <c r="W47" s="2"/>
      <c r="X47" s="6">
        <f t="shared" si="35"/>
        <v>0</v>
      </c>
      <c r="Y47" s="2"/>
      <c r="Z47" s="7">
        <f t="shared" si="36"/>
        <v>0</v>
      </c>
    </row>
    <row r="48" spans="1:26" s="28" customFormat="1" outlineLevel="1" collapsed="1" x14ac:dyDescent="0.25">
      <c r="A48" s="27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SUM(OSRRefD22_4x_0)</f>
        <v>1825.26</v>
      </c>
      <c r="E48" s="1"/>
      <c r="F48" s="5">
        <f t="shared" si="29"/>
        <v>0</v>
      </c>
      <c r="G48" s="1"/>
      <c r="H48" s="1">
        <f>SUM(OSRRefH22_4x_0)</f>
        <v>1972</v>
      </c>
      <c r="I48" s="1"/>
      <c r="J48" s="5">
        <f t="shared" si="30"/>
        <v>0</v>
      </c>
      <c r="K48" s="1"/>
      <c r="L48" s="1">
        <f t="shared" si="31"/>
        <v>-146.74</v>
      </c>
      <c r="M48" s="1"/>
      <c r="N48" s="5">
        <f t="shared" si="32"/>
        <v>-7.4411764705882358E-2</v>
      </c>
      <c r="O48" s="14"/>
      <c r="P48" s="1">
        <f>SUM(OSRRefP22_4x_0)</f>
        <v>5622.57</v>
      </c>
      <c r="Q48" s="1"/>
      <c r="R48" s="5">
        <f t="shared" si="33"/>
        <v>5.7672708249992306</v>
      </c>
      <c r="S48" s="1"/>
      <c r="T48" s="1">
        <f>SUM(OSRRefT22_4x_0)</f>
        <v>5916</v>
      </c>
      <c r="U48" s="1"/>
      <c r="V48" s="5">
        <f t="shared" si="34"/>
        <v>0</v>
      </c>
      <c r="W48" s="1"/>
      <c r="X48" s="1">
        <f t="shared" si="35"/>
        <v>-293.43000000000029</v>
      </c>
      <c r="Y48" s="1"/>
      <c r="Z48" s="5">
        <f t="shared" si="36"/>
        <v>-4.9599391480730275E-2</v>
      </c>
    </row>
    <row r="49" spans="1:26" s="24" customFormat="1" hidden="1" outlineLevel="2" x14ac:dyDescent="0.25">
      <c r="A49" s="29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1825.26</v>
      </c>
      <c r="E49" s="2"/>
      <c r="F49" s="7">
        <f t="shared" si="29"/>
        <v>0</v>
      </c>
      <c r="G49" s="2"/>
      <c r="H49" s="6">
        <v>1972</v>
      </c>
      <c r="I49" s="2"/>
      <c r="J49" s="7">
        <f t="shared" si="30"/>
        <v>0</v>
      </c>
      <c r="K49" s="2"/>
      <c r="L49" s="6">
        <f t="shared" si="31"/>
        <v>-146.74</v>
      </c>
      <c r="M49" s="2"/>
      <c r="N49" s="7">
        <f t="shared" si="32"/>
        <v>-7.4411764705882358E-2</v>
      </c>
      <c r="O49" s="11"/>
      <c r="P49" s="6">
        <v>5622.57</v>
      </c>
      <c r="Q49" s="2"/>
      <c r="R49" s="7">
        <f t="shared" si="33"/>
        <v>5.7672708249992306</v>
      </c>
      <c r="S49" s="2"/>
      <c r="T49" s="6">
        <v>5916</v>
      </c>
      <c r="U49" s="2"/>
      <c r="V49" s="7">
        <f t="shared" si="34"/>
        <v>0</v>
      </c>
      <c r="W49" s="2"/>
      <c r="X49" s="6">
        <f t="shared" si="35"/>
        <v>-293.43000000000029</v>
      </c>
      <c r="Y49" s="2"/>
      <c r="Z49" s="7">
        <f t="shared" si="36"/>
        <v>-4.9599391480730275E-2</v>
      </c>
    </row>
    <row r="50" spans="1:26" s="28" customFormat="1" outlineLevel="1" collapsed="1" x14ac:dyDescent="0.25">
      <c r="A50" s="27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SUM(OSRRefD22_5x_0)</f>
        <v>0</v>
      </c>
      <c r="E50" s="1"/>
      <c r="F50" s="5">
        <f t="shared" si="29"/>
        <v>0</v>
      </c>
      <c r="G50" s="1"/>
      <c r="H50" s="1">
        <f>SUM(OSRRefH22_5x_0)</f>
        <v>0</v>
      </c>
      <c r="I50" s="1"/>
      <c r="J50" s="5">
        <f t="shared" si="30"/>
        <v>0</v>
      </c>
      <c r="K50" s="1"/>
      <c r="L50" s="1">
        <f t="shared" si="31"/>
        <v>0</v>
      </c>
      <c r="M50" s="1"/>
      <c r="N50" s="5">
        <f t="shared" si="32"/>
        <v>0</v>
      </c>
      <c r="O50" s="14"/>
      <c r="P50" s="1">
        <f>SUM(OSRRefP22_5x_0)</f>
        <v>0</v>
      </c>
      <c r="Q50" s="1"/>
      <c r="R50" s="5">
        <f t="shared" si="33"/>
        <v>0</v>
      </c>
      <c r="S50" s="1"/>
      <c r="T50" s="1">
        <f>SUM(OSRRefT22_5x_0)</f>
        <v>0</v>
      </c>
      <c r="U50" s="1"/>
      <c r="V50" s="5">
        <f t="shared" si="34"/>
        <v>0</v>
      </c>
      <c r="W50" s="1"/>
      <c r="X50" s="1">
        <f t="shared" si="35"/>
        <v>0</v>
      </c>
      <c r="Y50" s="1"/>
      <c r="Z50" s="5">
        <f t="shared" si="36"/>
        <v>0</v>
      </c>
    </row>
    <row r="51" spans="1:26" s="24" customFormat="1" hidden="1" outlineLevel="2" x14ac:dyDescent="0.25">
      <c r="A51" s="29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29"/>
        <v>0</v>
      </c>
      <c r="G51" s="2"/>
      <c r="H51" s="6">
        <v>0</v>
      </c>
      <c r="I51" s="2"/>
      <c r="J51" s="7">
        <f t="shared" si="30"/>
        <v>0</v>
      </c>
      <c r="K51" s="2"/>
      <c r="L51" s="6">
        <f t="shared" si="31"/>
        <v>0</v>
      </c>
      <c r="M51" s="2"/>
      <c r="N51" s="7">
        <f t="shared" si="32"/>
        <v>0</v>
      </c>
      <c r="O51" s="11"/>
      <c r="P51" s="6"/>
      <c r="Q51" s="2"/>
      <c r="R51" s="7">
        <f t="shared" si="33"/>
        <v>0</v>
      </c>
      <c r="S51" s="2"/>
      <c r="T51" s="6">
        <v>0</v>
      </c>
      <c r="U51" s="2"/>
      <c r="V51" s="7">
        <f t="shared" si="34"/>
        <v>0</v>
      </c>
      <c r="W51" s="2"/>
      <c r="X51" s="6">
        <f t="shared" si="35"/>
        <v>0</v>
      </c>
      <c r="Y51" s="2"/>
      <c r="Z51" s="7">
        <f t="shared" si="36"/>
        <v>0</v>
      </c>
    </row>
    <row r="52" spans="1:26" s="28" customFormat="1" outlineLevel="1" collapsed="1" x14ac:dyDescent="0.25">
      <c r="A52" s="27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SUM(OSRRefD22_6x_0)</f>
        <v>96.3</v>
      </c>
      <c r="E52" s="1"/>
      <c r="F52" s="5">
        <f t="shared" si="29"/>
        <v>0</v>
      </c>
      <c r="G52" s="1"/>
      <c r="H52" s="1">
        <f>SUM(OSRRefH22_6x_0)</f>
        <v>0</v>
      </c>
      <c r="I52" s="1"/>
      <c r="J52" s="5">
        <f t="shared" si="30"/>
        <v>0</v>
      </c>
      <c r="K52" s="1"/>
      <c r="L52" s="1">
        <f t="shared" si="31"/>
        <v>96.3</v>
      </c>
      <c r="M52" s="1"/>
      <c r="N52" s="5">
        <f t="shared" si="32"/>
        <v>0</v>
      </c>
      <c r="O52" s="14"/>
      <c r="P52" s="1">
        <f>SUM(OSRRefP22_6x_0)</f>
        <v>96.3</v>
      </c>
      <c r="Q52" s="1"/>
      <c r="R52" s="5">
        <f t="shared" si="33"/>
        <v>9.8778348770655749E-2</v>
      </c>
      <c r="S52" s="1"/>
      <c r="T52" s="1">
        <f>SUM(OSRRefT22_6x_0)</f>
        <v>0</v>
      </c>
      <c r="U52" s="1"/>
      <c r="V52" s="5">
        <f t="shared" si="34"/>
        <v>0</v>
      </c>
      <c r="W52" s="1"/>
      <c r="X52" s="1">
        <f t="shared" si="35"/>
        <v>96.3</v>
      </c>
      <c r="Y52" s="1"/>
      <c r="Z52" s="5">
        <f t="shared" si="36"/>
        <v>0</v>
      </c>
    </row>
    <row r="53" spans="1:26" s="24" customFormat="1" hidden="1" outlineLevel="2" x14ac:dyDescent="0.25">
      <c r="A53" s="29"/>
      <c r="B53" s="11" t="str">
        <f>CONCATENATE("          ", "6351", " - ", "EQUIPMENT RENTAL")</f>
        <v xml:space="preserve">          6351 - EQUIPMENT RENTAL</v>
      </c>
      <c r="C53" s="11"/>
      <c r="D53" s="6">
        <v>96.3</v>
      </c>
      <c r="E53" s="2"/>
      <c r="F53" s="7">
        <f t="shared" si="29"/>
        <v>0</v>
      </c>
      <c r="G53" s="2"/>
      <c r="H53" s="6"/>
      <c r="I53" s="2"/>
      <c r="J53" s="7">
        <f t="shared" si="30"/>
        <v>0</v>
      </c>
      <c r="K53" s="2"/>
      <c r="L53" s="6">
        <f t="shared" si="31"/>
        <v>96.3</v>
      </c>
      <c r="M53" s="2"/>
      <c r="N53" s="7">
        <f t="shared" si="32"/>
        <v>0</v>
      </c>
      <c r="O53" s="11"/>
      <c r="P53" s="6">
        <v>96.3</v>
      </c>
      <c r="Q53" s="2"/>
      <c r="R53" s="7">
        <f t="shared" si="33"/>
        <v>9.8778348770655749E-2</v>
      </c>
      <c r="S53" s="2"/>
      <c r="T53" s="6"/>
      <c r="U53" s="2"/>
      <c r="V53" s="7">
        <f t="shared" si="34"/>
        <v>0</v>
      </c>
      <c r="W53" s="2"/>
      <c r="X53" s="6">
        <f t="shared" si="35"/>
        <v>96.3</v>
      </c>
      <c r="Y53" s="2"/>
      <c r="Z53" s="7">
        <f t="shared" si="36"/>
        <v>0</v>
      </c>
    </row>
    <row r="54" spans="1:26" s="28" customFormat="1" outlineLevel="1" collapsed="1" x14ac:dyDescent="0.25">
      <c r="A54" s="27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SUM(OSRRefD22_7x_0)</f>
        <v>0</v>
      </c>
      <c r="E54" s="1"/>
      <c r="F54" s="5">
        <f t="shared" si="29"/>
        <v>0</v>
      </c>
      <c r="G54" s="1"/>
      <c r="H54" s="1">
        <f>SUM(OSRRefH22_7x_0)</f>
        <v>0</v>
      </c>
      <c r="I54" s="1"/>
      <c r="J54" s="5">
        <f t="shared" si="30"/>
        <v>0</v>
      </c>
      <c r="K54" s="1"/>
      <c r="L54" s="1">
        <f t="shared" si="31"/>
        <v>0</v>
      </c>
      <c r="M54" s="1"/>
      <c r="N54" s="5">
        <f t="shared" si="32"/>
        <v>0</v>
      </c>
      <c r="O54" s="14"/>
      <c r="P54" s="1">
        <f>SUM(OSRRefP22_7x_0)</f>
        <v>7.28</v>
      </c>
      <c r="Q54" s="1"/>
      <c r="R54" s="5">
        <f t="shared" si="33"/>
        <v>7.467355961063073E-3</v>
      </c>
      <c r="S54" s="1"/>
      <c r="T54" s="1">
        <f>SUM(OSRRefT22_7x_0)</f>
        <v>0</v>
      </c>
      <c r="U54" s="1"/>
      <c r="V54" s="5">
        <f t="shared" si="34"/>
        <v>0</v>
      </c>
      <c r="W54" s="1"/>
      <c r="X54" s="1">
        <f t="shared" si="35"/>
        <v>7.28</v>
      </c>
      <c r="Y54" s="1"/>
      <c r="Z54" s="5">
        <f t="shared" si="36"/>
        <v>0</v>
      </c>
    </row>
    <row r="55" spans="1:26" s="24" customFormat="1" hidden="1" outlineLevel="2" x14ac:dyDescent="0.25">
      <c r="A55" s="29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9"/>
        <v>0</v>
      </c>
      <c r="G55" s="2"/>
      <c r="H55" s="6"/>
      <c r="I55" s="2"/>
      <c r="J55" s="7">
        <f t="shared" si="30"/>
        <v>0</v>
      </c>
      <c r="K55" s="2"/>
      <c r="L55" s="6">
        <f t="shared" si="31"/>
        <v>0</v>
      </c>
      <c r="M55" s="2"/>
      <c r="N55" s="7">
        <f t="shared" si="32"/>
        <v>0</v>
      </c>
      <c r="O55" s="11"/>
      <c r="P55" s="6">
        <v>7.28</v>
      </c>
      <c r="Q55" s="2"/>
      <c r="R55" s="7">
        <f t="shared" si="33"/>
        <v>7.467355961063073E-3</v>
      </c>
      <c r="S55" s="2"/>
      <c r="T55" s="6">
        <v>0</v>
      </c>
      <c r="U55" s="2"/>
      <c r="V55" s="7">
        <f t="shared" si="34"/>
        <v>0</v>
      </c>
      <c r="W55" s="2"/>
      <c r="X55" s="6">
        <f t="shared" si="35"/>
        <v>7.28</v>
      </c>
      <c r="Y55" s="2"/>
      <c r="Z55" s="7">
        <f t="shared" si="36"/>
        <v>0</v>
      </c>
    </row>
    <row r="56" spans="1:26" s="28" customFormat="1" outlineLevel="1" collapsed="1" x14ac:dyDescent="0.25">
      <c r="A56" s="27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SUM(OSRRefD22_8x_0)</f>
        <v>329.58000000000004</v>
      </c>
      <c r="E56" s="1"/>
      <c r="F56" s="5">
        <f t="shared" si="29"/>
        <v>0</v>
      </c>
      <c r="G56" s="1"/>
      <c r="H56" s="1">
        <f>SUM(OSRRefH22_8x_0)</f>
        <v>0</v>
      </c>
      <c r="I56" s="1"/>
      <c r="J56" s="5">
        <f t="shared" si="30"/>
        <v>0</v>
      </c>
      <c r="K56" s="1"/>
      <c r="L56" s="1">
        <f t="shared" si="31"/>
        <v>329.58000000000004</v>
      </c>
      <c r="M56" s="1"/>
      <c r="N56" s="5">
        <f t="shared" si="32"/>
        <v>0</v>
      </c>
      <c r="O56" s="14"/>
      <c r="P56" s="1">
        <f>SUM(OSRRefP22_8x_0)</f>
        <v>368.88</v>
      </c>
      <c r="Q56" s="1"/>
      <c r="R56" s="5">
        <f t="shared" si="33"/>
        <v>0.37837338831276734</v>
      </c>
      <c r="S56" s="1"/>
      <c r="T56" s="1">
        <f>SUM(OSRRefT22_8x_0)</f>
        <v>0</v>
      </c>
      <c r="U56" s="1"/>
      <c r="V56" s="5">
        <f t="shared" si="34"/>
        <v>0</v>
      </c>
      <c r="W56" s="1"/>
      <c r="X56" s="1">
        <f t="shared" si="35"/>
        <v>368.88</v>
      </c>
      <c r="Y56" s="1"/>
      <c r="Z56" s="5">
        <f t="shared" si="36"/>
        <v>0</v>
      </c>
    </row>
    <row r="57" spans="1:26" s="24" customFormat="1" hidden="1" outlineLevel="2" x14ac:dyDescent="0.25">
      <c r="A57" s="29"/>
      <c r="B57" s="11" t="str">
        <f>CONCATENATE("          ", "6373", " - ", "MAINTENANCE CONTRACTS")</f>
        <v xml:space="preserve">          6373 - MAINTENANCE CONTRACTS</v>
      </c>
      <c r="C57" s="11"/>
      <c r="D57" s="6">
        <v>129.58000000000001</v>
      </c>
      <c r="E57" s="2"/>
      <c r="F57" s="7">
        <f t="shared" si="29"/>
        <v>0</v>
      </c>
      <c r="G57" s="2"/>
      <c r="H57" s="6"/>
      <c r="I57" s="2"/>
      <c r="J57" s="7">
        <f t="shared" si="30"/>
        <v>0</v>
      </c>
      <c r="K57" s="2"/>
      <c r="L57" s="6">
        <f t="shared" si="31"/>
        <v>129.58000000000001</v>
      </c>
      <c r="M57" s="2"/>
      <c r="N57" s="7">
        <f t="shared" si="32"/>
        <v>0</v>
      </c>
      <c r="O57" s="11"/>
      <c r="P57" s="6">
        <v>168.88</v>
      </c>
      <c r="Q57" s="2"/>
      <c r="R57" s="7">
        <f t="shared" si="33"/>
        <v>0.17322624652532029</v>
      </c>
      <c r="S57" s="2"/>
      <c r="T57" s="6"/>
      <c r="U57" s="2"/>
      <c r="V57" s="7">
        <f t="shared" si="34"/>
        <v>0</v>
      </c>
      <c r="W57" s="2"/>
      <c r="X57" s="6">
        <f t="shared" si="35"/>
        <v>168.88</v>
      </c>
      <c r="Y57" s="2"/>
      <c r="Z57" s="7">
        <f t="shared" si="36"/>
        <v>0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6">
        <v>200</v>
      </c>
      <c r="E58" s="2"/>
      <c r="F58" s="7">
        <f t="shared" si="29"/>
        <v>0</v>
      </c>
      <c r="G58" s="2"/>
      <c r="H58" s="6"/>
      <c r="I58" s="2"/>
      <c r="J58" s="7">
        <f t="shared" si="30"/>
        <v>0</v>
      </c>
      <c r="K58" s="2"/>
      <c r="L58" s="6">
        <f t="shared" si="31"/>
        <v>200</v>
      </c>
      <c r="M58" s="2"/>
      <c r="N58" s="7">
        <f t="shared" si="32"/>
        <v>0</v>
      </c>
      <c r="O58" s="11"/>
      <c r="P58" s="6">
        <v>200</v>
      </c>
      <c r="Q58" s="2"/>
      <c r="R58" s="7">
        <f t="shared" si="33"/>
        <v>0.20514714178744706</v>
      </c>
      <c r="S58" s="2"/>
      <c r="T58" s="6"/>
      <c r="U58" s="2"/>
      <c r="V58" s="7">
        <f t="shared" si="34"/>
        <v>0</v>
      </c>
      <c r="W58" s="2"/>
      <c r="X58" s="6">
        <f t="shared" si="35"/>
        <v>200</v>
      </c>
      <c r="Y58" s="2"/>
      <c r="Z58" s="7">
        <f t="shared" si="36"/>
        <v>0</v>
      </c>
    </row>
    <row r="59" spans="1:26" s="28" customFormat="1" outlineLevel="1" collapsed="1" x14ac:dyDescent="0.25">
      <c r="A59" s="27"/>
      <c r="B59" s="14" t="str">
        <f>CONCATENATE("     ","Royalty &amp; Commissions                             ")</f>
        <v xml:space="preserve">     Royalty &amp; Commissions                             </v>
      </c>
      <c r="C59" s="14"/>
      <c r="D59" s="1">
        <f>SUM(OSRRefD22_9x_0)</f>
        <v>0</v>
      </c>
      <c r="E59" s="1"/>
      <c r="F59" s="5">
        <f t="shared" ref="F59:F68" si="37">IF(D$12=0,0,D59/D$12)</f>
        <v>0</v>
      </c>
      <c r="G59" s="1"/>
      <c r="H59" s="1">
        <f>SUM(OSRRefH22_9x_0)</f>
        <v>0</v>
      </c>
      <c r="I59" s="1"/>
      <c r="J59" s="5">
        <f t="shared" ref="J59:J68" si="38">IF(H$12=0,0,H59/H$12)</f>
        <v>0</v>
      </c>
      <c r="K59" s="1"/>
      <c r="L59" s="1">
        <f t="shared" ref="L59:L68" si="39">+D59-H59</f>
        <v>0</v>
      </c>
      <c r="M59" s="1"/>
      <c r="N59" s="5">
        <f t="shared" ref="N59:N68" si="40">IF(H59=0,0,L59/H59)</f>
        <v>0</v>
      </c>
      <c r="O59" s="14"/>
      <c r="P59" s="1">
        <f>SUM(OSRRefP22_9x_0)</f>
        <v>0</v>
      </c>
      <c r="Q59" s="1"/>
      <c r="R59" s="5">
        <f t="shared" ref="R59:R68" si="41">IF(P$12=0,0,P59/P$12)</f>
        <v>0</v>
      </c>
      <c r="S59" s="1"/>
      <c r="T59" s="1">
        <f>SUM(OSRRefT22_9x_0)</f>
        <v>0</v>
      </c>
      <c r="U59" s="1"/>
      <c r="V59" s="5">
        <f t="shared" ref="V59:V68" si="42">IF(T$12=0,0,T59/T$12)</f>
        <v>0</v>
      </c>
      <c r="W59" s="1"/>
      <c r="X59" s="1">
        <f t="shared" ref="X59:X68" si="43">+P59-T59</f>
        <v>0</v>
      </c>
      <c r="Y59" s="1"/>
      <c r="Z59" s="5">
        <f t="shared" ref="Z59:Z68" si="44">IF(T59=0,0,X59/T59)</f>
        <v>0</v>
      </c>
    </row>
    <row r="60" spans="1:26" s="24" customFormat="1" hidden="1" outlineLevel="2" x14ac:dyDescent="0.25">
      <c r="A60" s="29"/>
      <c r="B60" s="11" t="str">
        <f>CONCATENATE("          ", "6259", " - ", "ROYALTY &amp; COMMISSIONS")</f>
        <v xml:space="preserve">          6259 - ROYALTY &amp; COMMISSIONS</v>
      </c>
      <c r="C60" s="11"/>
      <c r="D60" s="6"/>
      <c r="E60" s="2"/>
      <c r="F60" s="7">
        <f t="shared" si="37"/>
        <v>0</v>
      </c>
      <c r="G60" s="2"/>
      <c r="H60" s="6">
        <v>0</v>
      </c>
      <c r="I60" s="2"/>
      <c r="J60" s="7">
        <f t="shared" si="38"/>
        <v>0</v>
      </c>
      <c r="K60" s="2"/>
      <c r="L60" s="6">
        <f t="shared" si="39"/>
        <v>0</v>
      </c>
      <c r="M60" s="2"/>
      <c r="N60" s="7">
        <f t="shared" si="40"/>
        <v>0</v>
      </c>
      <c r="O60" s="11"/>
      <c r="P60" s="6"/>
      <c r="Q60" s="2"/>
      <c r="R60" s="7">
        <f t="shared" si="41"/>
        <v>0</v>
      </c>
      <c r="S60" s="2"/>
      <c r="T60" s="6">
        <v>0</v>
      </c>
      <c r="U60" s="2"/>
      <c r="V60" s="7">
        <f t="shared" si="42"/>
        <v>0</v>
      </c>
      <c r="W60" s="2"/>
      <c r="X60" s="6">
        <f t="shared" si="43"/>
        <v>0</v>
      </c>
      <c r="Y60" s="2"/>
      <c r="Z60" s="7">
        <f t="shared" si="44"/>
        <v>0</v>
      </c>
    </row>
    <row r="61" spans="1:26" s="28" customFormat="1" outlineLevel="1" collapsed="1" x14ac:dyDescent="0.2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SUM(OSRRefD22_10x_0)</f>
        <v>0</v>
      </c>
      <c r="E61" s="1"/>
      <c r="F61" s="5">
        <f t="shared" si="37"/>
        <v>0</v>
      </c>
      <c r="G61" s="1"/>
      <c r="H61" s="1">
        <f>SUM(OSRRefH22_10x_0)</f>
        <v>0</v>
      </c>
      <c r="I61" s="1"/>
      <c r="J61" s="5">
        <f t="shared" si="38"/>
        <v>0</v>
      </c>
      <c r="K61" s="1"/>
      <c r="L61" s="1">
        <f t="shared" si="39"/>
        <v>0</v>
      </c>
      <c r="M61" s="1"/>
      <c r="N61" s="5">
        <f t="shared" si="40"/>
        <v>0</v>
      </c>
      <c r="O61" s="14"/>
      <c r="P61" s="1">
        <f>SUM(OSRRefP22_10x_0)</f>
        <v>0</v>
      </c>
      <c r="Q61" s="1"/>
      <c r="R61" s="5">
        <f t="shared" si="41"/>
        <v>0</v>
      </c>
      <c r="S61" s="1"/>
      <c r="T61" s="1">
        <f>SUM(OSRRefT22_10x_0)</f>
        <v>0</v>
      </c>
      <c r="U61" s="1"/>
      <c r="V61" s="5">
        <f t="shared" si="42"/>
        <v>0</v>
      </c>
      <c r="W61" s="1"/>
      <c r="X61" s="1">
        <f t="shared" si="43"/>
        <v>0</v>
      </c>
      <c r="Y61" s="1"/>
      <c r="Z61" s="5">
        <f t="shared" si="44"/>
        <v>0</v>
      </c>
    </row>
    <row r="62" spans="1:26" s="24" customFormat="1" hidden="1" outlineLevel="2" x14ac:dyDescent="0.25">
      <c r="A62" s="29"/>
      <c r="B62" s="11" t="str">
        <f>CONCATENATE("          ", "6286", " - ", "LAUNDRY EXPENSE")</f>
        <v xml:space="preserve">          6286 - LAUNDRY EXPENSE</v>
      </c>
      <c r="C62" s="11"/>
      <c r="D62" s="6"/>
      <c r="E62" s="2"/>
      <c r="F62" s="7">
        <f t="shared" si="37"/>
        <v>0</v>
      </c>
      <c r="G62" s="2"/>
      <c r="H62" s="6">
        <v>0</v>
      </c>
      <c r="I62" s="2"/>
      <c r="J62" s="7">
        <f t="shared" si="38"/>
        <v>0</v>
      </c>
      <c r="K62" s="2"/>
      <c r="L62" s="6">
        <f t="shared" si="39"/>
        <v>0</v>
      </c>
      <c r="M62" s="2"/>
      <c r="N62" s="7">
        <f t="shared" si="40"/>
        <v>0</v>
      </c>
      <c r="O62" s="11"/>
      <c r="P62" s="6"/>
      <c r="Q62" s="2"/>
      <c r="R62" s="7">
        <f t="shared" si="41"/>
        <v>0</v>
      </c>
      <c r="S62" s="2"/>
      <c r="T62" s="6">
        <v>0</v>
      </c>
      <c r="U62" s="2"/>
      <c r="V62" s="7">
        <f t="shared" si="42"/>
        <v>0</v>
      </c>
      <c r="W62" s="2"/>
      <c r="X62" s="6">
        <f t="shared" si="43"/>
        <v>0</v>
      </c>
      <c r="Y62" s="2"/>
      <c r="Z62" s="7">
        <f t="shared" si="44"/>
        <v>0</v>
      </c>
    </row>
    <row r="63" spans="1:26" s="28" customFormat="1" outlineLevel="1" collapsed="1" x14ac:dyDescent="0.25">
      <c r="A63" s="27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SUM(OSRRefD22_11x_0)</f>
        <v>0</v>
      </c>
      <c r="E63" s="1"/>
      <c r="F63" s="5">
        <f t="shared" si="37"/>
        <v>0</v>
      </c>
      <c r="G63" s="1"/>
      <c r="H63" s="1">
        <f>SUM(OSRRefH22_11x_0)</f>
        <v>0</v>
      </c>
      <c r="I63" s="1"/>
      <c r="J63" s="5">
        <f t="shared" si="38"/>
        <v>0</v>
      </c>
      <c r="K63" s="1"/>
      <c r="L63" s="1">
        <f t="shared" si="39"/>
        <v>0</v>
      </c>
      <c r="M63" s="1"/>
      <c r="N63" s="5">
        <f t="shared" si="40"/>
        <v>0</v>
      </c>
      <c r="O63" s="14"/>
      <c r="P63" s="1">
        <f>SUM(OSRRefP22_11x_0)</f>
        <v>0</v>
      </c>
      <c r="Q63" s="1"/>
      <c r="R63" s="5">
        <f t="shared" si="41"/>
        <v>0</v>
      </c>
      <c r="S63" s="1"/>
      <c r="T63" s="1">
        <f>SUM(OSRRefT22_11x_0)</f>
        <v>0</v>
      </c>
      <c r="U63" s="1"/>
      <c r="V63" s="5">
        <f t="shared" si="42"/>
        <v>0</v>
      </c>
      <c r="W63" s="1"/>
      <c r="X63" s="1">
        <f t="shared" si="43"/>
        <v>0</v>
      </c>
      <c r="Y63" s="1"/>
      <c r="Z63" s="5">
        <f t="shared" si="44"/>
        <v>0</v>
      </c>
    </row>
    <row r="64" spans="1:26" s="24" customFormat="1" hidden="1" outlineLevel="2" x14ac:dyDescent="0.25">
      <c r="A64" s="29"/>
      <c r="B64" s="11" t="str">
        <f>CONCATENATE("          ", "6275", " - ", "SUBSCRIPTIONS")</f>
        <v xml:space="preserve">          6275 - SUBSCRIPTIONS</v>
      </c>
      <c r="C64" s="11"/>
      <c r="D64" s="6"/>
      <c r="E64" s="2"/>
      <c r="F64" s="7">
        <f t="shared" si="37"/>
        <v>0</v>
      </c>
      <c r="G64" s="2"/>
      <c r="H64" s="6">
        <v>0</v>
      </c>
      <c r="I64" s="2"/>
      <c r="J64" s="7">
        <f t="shared" si="38"/>
        <v>0</v>
      </c>
      <c r="K64" s="2"/>
      <c r="L64" s="6">
        <f t="shared" si="39"/>
        <v>0</v>
      </c>
      <c r="M64" s="2"/>
      <c r="N64" s="7">
        <f t="shared" si="40"/>
        <v>0</v>
      </c>
      <c r="O64" s="11"/>
      <c r="P64" s="6"/>
      <c r="Q64" s="2"/>
      <c r="R64" s="7">
        <f t="shared" si="41"/>
        <v>0</v>
      </c>
      <c r="S64" s="2"/>
      <c r="T64" s="6">
        <v>0</v>
      </c>
      <c r="U64" s="2"/>
      <c r="V64" s="7">
        <f t="shared" si="42"/>
        <v>0</v>
      </c>
      <c r="W64" s="2"/>
      <c r="X64" s="6">
        <f t="shared" si="43"/>
        <v>0</v>
      </c>
      <c r="Y64" s="2"/>
      <c r="Z64" s="7">
        <f t="shared" si="44"/>
        <v>0</v>
      </c>
    </row>
    <row r="65" spans="1:26" s="28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SUM(OSRRefD22_12x_0)</f>
        <v>0</v>
      </c>
      <c r="E65" s="1"/>
      <c r="F65" s="5">
        <f t="shared" si="37"/>
        <v>0</v>
      </c>
      <c r="G65" s="1"/>
      <c r="H65" s="1">
        <f>SUM(OSRRefH22_12x_0)</f>
        <v>0</v>
      </c>
      <c r="I65" s="1"/>
      <c r="J65" s="5">
        <f t="shared" si="38"/>
        <v>0</v>
      </c>
      <c r="K65" s="1"/>
      <c r="L65" s="1">
        <f t="shared" si="39"/>
        <v>0</v>
      </c>
      <c r="M65" s="1"/>
      <c r="N65" s="5">
        <f t="shared" si="40"/>
        <v>0</v>
      </c>
      <c r="O65" s="14"/>
      <c r="P65" s="1">
        <f>SUM(OSRRefP22_12x_0)</f>
        <v>0</v>
      </c>
      <c r="Q65" s="1"/>
      <c r="R65" s="5">
        <f t="shared" si="41"/>
        <v>0</v>
      </c>
      <c r="S65" s="1"/>
      <c r="T65" s="1">
        <f>SUM(OSRRefT22_12x_0)</f>
        <v>0</v>
      </c>
      <c r="U65" s="1"/>
      <c r="V65" s="5">
        <f t="shared" si="42"/>
        <v>0</v>
      </c>
      <c r="W65" s="1"/>
      <c r="X65" s="1">
        <f t="shared" si="43"/>
        <v>0</v>
      </c>
      <c r="Y65" s="1"/>
      <c r="Z65" s="5">
        <f t="shared" si="44"/>
        <v>0</v>
      </c>
    </row>
    <row r="66" spans="1:26" s="24" customFormat="1" hidden="1" outlineLevel="2" x14ac:dyDescent="0.25">
      <c r="A66" s="29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37"/>
        <v>0</v>
      </c>
      <c r="G66" s="2"/>
      <c r="H66" s="6">
        <v>0</v>
      </c>
      <c r="I66" s="2"/>
      <c r="J66" s="7">
        <f t="shared" si="38"/>
        <v>0</v>
      </c>
      <c r="K66" s="2"/>
      <c r="L66" s="6">
        <f t="shared" si="39"/>
        <v>0</v>
      </c>
      <c r="M66" s="2"/>
      <c r="N66" s="7">
        <f t="shared" si="40"/>
        <v>0</v>
      </c>
      <c r="O66" s="11"/>
      <c r="P66" s="6"/>
      <c r="Q66" s="2"/>
      <c r="R66" s="7">
        <f t="shared" si="41"/>
        <v>0</v>
      </c>
      <c r="S66" s="2"/>
      <c r="T66" s="6">
        <v>0</v>
      </c>
      <c r="U66" s="2"/>
      <c r="V66" s="7">
        <f t="shared" si="42"/>
        <v>0</v>
      </c>
      <c r="W66" s="2"/>
      <c r="X66" s="6">
        <f t="shared" si="43"/>
        <v>0</v>
      </c>
      <c r="Y66" s="2"/>
      <c r="Z66" s="7">
        <f t="shared" si="44"/>
        <v>0</v>
      </c>
    </row>
    <row r="67" spans="1:26" s="24" customFormat="1" hidden="1" outlineLevel="2" x14ac:dyDescent="0.25">
      <c r="A67" s="29"/>
      <c r="B67" s="11" t="str">
        <f>CONCATENATE("          ", "6241", " - ", "OFFICE EXPENSE")</f>
        <v xml:space="preserve">          6241 - OFFICE EXPENSE</v>
      </c>
      <c r="C67" s="11"/>
      <c r="D67" s="6"/>
      <c r="E67" s="2"/>
      <c r="F67" s="7">
        <f t="shared" si="37"/>
        <v>0</v>
      </c>
      <c r="G67" s="2"/>
      <c r="H67" s="6">
        <v>0</v>
      </c>
      <c r="I67" s="2"/>
      <c r="J67" s="7">
        <f t="shared" si="38"/>
        <v>0</v>
      </c>
      <c r="K67" s="2"/>
      <c r="L67" s="6">
        <f t="shared" si="39"/>
        <v>0</v>
      </c>
      <c r="M67" s="2"/>
      <c r="N67" s="7">
        <f t="shared" si="40"/>
        <v>0</v>
      </c>
      <c r="O67" s="11"/>
      <c r="P67" s="6"/>
      <c r="Q67" s="2"/>
      <c r="R67" s="7">
        <f t="shared" si="41"/>
        <v>0</v>
      </c>
      <c r="S67" s="2"/>
      <c r="T67" s="6">
        <v>0</v>
      </c>
      <c r="U67" s="2"/>
      <c r="V67" s="7">
        <f t="shared" si="42"/>
        <v>0</v>
      </c>
      <c r="W67" s="2"/>
      <c r="X67" s="6">
        <f t="shared" si="43"/>
        <v>0</v>
      </c>
      <c r="Y67" s="2"/>
      <c r="Z67" s="7">
        <f t="shared" si="44"/>
        <v>0</v>
      </c>
    </row>
    <row r="68" spans="1:26" s="24" customFormat="1" hidden="1" outlineLevel="2" x14ac:dyDescent="0.25">
      <c r="A68" s="29"/>
      <c r="B68" s="11" t="str">
        <f>CONCATENATE("          ", "6247", " - ", "STORE SUPPLIES")</f>
        <v xml:space="preserve">          6247 - STORE SUPPLIES</v>
      </c>
      <c r="C68" s="11"/>
      <c r="D68" s="6"/>
      <c r="E68" s="2"/>
      <c r="F68" s="7">
        <f t="shared" si="37"/>
        <v>0</v>
      </c>
      <c r="G68" s="2"/>
      <c r="H68" s="6">
        <v>0</v>
      </c>
      <c r="I68" s="2"/>
      <c r="J68" s="7">
        <f t="shared" si="38"/>
        <v>0</v>
      </c>
      <c r="K68" s="2"/>
      <c r="L68" s="6">
        <f t="shared" si="39"/>
        <v>0</v>
      </c>
      <c r="M68" s="2"/>
      <c r="N68" s="7">
        <f t="shared" si="40"/>
        <v>0</v>
      </c>
      <c r="O68" s="11"/>
      <c r="P68" s="6"/>
      <c r="Q68" s="2"/>
      <c r="R68" s="7">
        <f t="shared" si="41"/>
        <v>0</v>
      </c>
      <c r="S68" s="2"/>
      <c r="T68" s="6">
        <v>0</v>
      </c>
      <c r="U68" s="2"/>
      <c r="V68" s="7">
        <f t="shared" si="42"/>
        <v>0</v>
      </c>
      <c r="W68" s="2"/>
      <c r="X68" s="6">
        <f t="shared" si="43"/>
        <v>0</v>
      </c>
      <c r="Y68" s="2"/>
      <c r="Z68" s="7">
        <f t="shared" si="44"/>
        <v>0</v>
      </c>
    </row>
    <row r="69" spans="1:26" s="28" customFormat="1" outlineLevel="1" collapsed="1" x14ac:dyDescent="0.2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SUM(OSRRefD22_13x_0)</f>
        <v>0</v>
      </c>
      <c r="E69" s="1"/>
      <c r="F69" s="5">
        <f t="shared" ref="F69:F74" si="45">IF(D$12=0,0,D69/D$12)</f>
        <v>0</v>
      </c>
      <c r="G69" s="1"/>
      <c r="H69" s="1">
        <f>SUM(OSRRefH22_13x_0)</f>
        <v>0</v>
      </c>
      <c r="I69" s="1"/>
      <c r="J69" s="5">
        <f t="shared" ref="J69:J74" si="46">IF(H$12=0,0,H69/H$12)</f>
        <v>0</v>
      </c>
      <c r="K69" s="1"/>
      <c r="L69" s="1">
        <f t="shared" ref="L69:L74" si="47">+D69-H69</f>
        <v>0</v>
      </c>
      <c r="M69" s="1"/>
      <c r="N69" s="5">
        <f t="shared" ref="N69:N74" si="48">IF(H69=0,0,L69/H69)</f>
        <v>0</v>
      </c>
      <c r="O69" s="14"/>
      <c r="P69" s="1">
        <f>SUM(OSRRefP22_13x_0)</f>
        <v>0</v>
      </c>
      <c r="Q69" s="1"/>
      <c r="R69" s="5">
        <f t="shared" ref="R69:R74" si="49">IF(P$12=0,0,P69/P$12)</f>
        <v>0</v>
      </c>
      <c r="S69" s="1"/>
      <c r="T69" s="1">
        <f>SUM(OSRRefT22_13x_0)</f>
        <v>0</v>
      </c>
      <c r="U69" s="1"/>
      <c r="V69" s="5">
        <f t="shared" ref="V69:V74" si="50">IF(T$12=0,0,T69/T$12)</f>
        <v>0</v>
      </c>
      <c r="W69" s="1"/>
      <c r="X69" s="1">
        <f t="shared" ref="X69:X74" si="51">+P69-T69</f>
        <v>0</v>
      </c>
      <c r="Y69" s="1"/>
      <c r="Z69" s="5">
        <f t="shared" ref="Z69:Z74" si="52">IF(T69=0,0,X69/T69)</f>
        <v>0</v>
      </c>
    </row>
    <row r="70" spans="1:26" s="24" customFormat="1" hidden="1" outlineLevel="2" x14ac:dyDescent="0.25">
      <c r="A70" s="29"/>
      <c r="B70" s="11" t="str">
        <f>CONCATENATE("          ", "6309", " - ", "TELEPHONE")</f>
        <v xml:space="preserve">          6309 - TELEPHONE</v>
      </c>
      <c r="C70" s="11"/>
      <c r="D70" s="6"/>
      <c r="E70" s="2"/>
      <c r="F70" s="7">
        <f t="shared" si="45"/>
        <v>0</v>
      </c>
      <c r="G70" s="2"/>
      <c r="H70" s="6">
        <v>0</v>
      </c>
      <c r="I70" s="2"/>
      <c r="J70" s="7">
        <f t="shared" si="46"/>
        <v>0</v>
      </c>
      <c r="K70" s="2"/>
      <c r="L70" s="6">
        <f t="shared" si="47"/>
        <v>0</v>
      </c>
      <c r="M70" s="2"/>
      <c r="N70" s="7">
        <f t="shared" si="48"/>
        <v>0</v>
      </c>
      <c r="O70" s="11"/>
      <c r="P70" s="6"/>
      <c r="Q70" s="2"/>
      <c r="R70" s="7">
        <f t="shared" si="49"/>
        <v>0</v>
      </c>
      <c r="S70" s="2"/>
      <c r="T70" s="6">
        <v>0</v>
      </c>
      <c r="U70" s="2"/>
      <c r="V70" s="7">
        <f t="shared" si="50"/>
        <v>0</v>
      </c>
      <c r="W70" s="2"/>
      <c r="X70" s="6">
        <f t="shared" si="51"/>
        <v>0</v>
      </c>
      <c r="Y70" s="2"/>
      <c r="Z70" s="7">
        <f t="shared" si="52"/>
        <v>0</v>
      </c>
    </row>
    <row r="71" spans="1:26" s="28" customFormat="1" outlineLevel="1" collapsed="1" x14ac:dyDescent="0.25">
      <c r="A71" s="27"/>
      <c r="B71" s="14" t="str">
        <f>CONCATENATE("     ","Training                                          ")</f>
        <v xml:space="preserve">     Training                                          </v>
      </c>
      <c r="C71" s="14"/>
      <c r="D71" s="1">
        <f>SUM(OSRRefD22_14x_0)</f>
        <v>0</v>
      </c>
      <c r="E71" s="1"/>
      <c r="F71" s="5">
        <f t="shared" si="45"/>
        <v>0</v>
      </c>
      <c r="G71" s="1"/>
      <c r="H71" s="1">
        <f>SUM(OSRRefH22_14x_0)</f>
        <v>0</v>
      </c>
      <c r="I71" s="1"/>
      <c r="J71" s="5">
        <f t="shared" si="46"/>
        <v>0</v>
      </c>
      <c r="K71" s="1"/>
      <c r="L71" s="1">
        <f t="shared" si="47"/>
        <v>0</v>
      </c>
      <c r="M71" s="1"/>
      <c r="N71" s="5">
        <f t="shared" si="48"/>
        <v>0</v>
      </c>
      <c r="O71" s="14"/>
      <c r="P71" s="1">
        <f>SUM(OSRRefP22_14x_0)</f>
        <v>0</v>
      </c>
      <c r="Q71" s="1"/>
      <c r="R71" s="5">
        <f t="shared" si="49"/>
        <v>0</v>
      </c>
      <c r="S71" s="1"/>
      <c r="T71" s="1">
        <f>SUM(OSRRefT22_14x_0)</f>
        <v>0</v>
      </c>
      <c r="U71" s="1"/>
      <c r="V71" s="5">
        <f t="shared" si="50"/>
        <v>0</v>
      </c>
      <c r="W71" s="1"/>
      <c r="X71" s="1">
        <f t="shared" si="51"/>
        <v>0</v>
      </c>
      <c r="Y71" s="1"/>
      <c r="Z71" s="5">
        <f t="shared" si="52"/>
        <v>0</v>
      </c>
    </row>
    <row r="72" spans="1:26" s="24" customFormat="1" hidden="1" outlineLevel="2" x14ac:dyDescent="0.25">
      <c r="A72" s="29"/>
      <c r="B72" s="11" t="str">
        <f>CONCATENATE("          ", "6376", " - ", "TRAINING")</f>
        <v xml:space="preserve">          6376 - TRAINING</v>
      </c>
      <c r="C72" s="11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1"/>
      <c r="P72" s="6"/>
      <c r="Q72" s="2"/>
      <c r="R72" s="7">
        <f t="shared" si="49"/>
        <v>0</v>
      </c>
      <c r="S72" s="2"/>
      <c r="T72" s="6">
        <v>0</v>
      </c>
      <c r="U72" s="2"/>
      <c r="V72" s="7">
        <f t="shared" si="50"/>
        <v>0</v>
      </c>
      <c r="W72" s="2"/>
      <c r="X72" s="6">
        <f t="shared" si="51"/>
        <v>0</v>
      </c>
      <c r="Y72" s="2"/>
      <c r="Z72" s="7">
        <f t="shared" si="52"/>
        <v>0</v>
      </c>
    </row>
    <row r="73" spans="1:26" s="28" customFormat="1" outlineLevel="1" collapsed="1" x14ac:dyDescent="0.25">
      <c r="A73" s="27"/>
      <c r="B73" s="14" t="str">
        <f>CONCATENATE("     ","Travel                                            ")</f>
        <v xml:space="preserve">     Travel                                            </v>
      </c>
      <c r="C73" s="14"/>
      <c r="D73" s="1">
        <f>SUM(OSRRefD22_15x_0)</f>
        <v>0</v>
      </c>
      <c r="E73" s="1"/>
      <c r="F73" s="5">
        <f t="shared" si="45"/>
        <v>0</v>
      </c>
      <c r="G73" s="1"/>
      <c r="H73" s="1">
        <f>SUM(OSRRefH22_15x_0)</f>
        <v>0</v>
      </c>
      <c r="I73" s="1"/>
      <c r="J73" s="5">
        <f t="shared" si="46"/>
        <v>0</v>
      </c>
      <c r="K73" s="1"/>
      <c r="L73" s="1">
        <f t="shared" si="47"/>
        <v>0</v>
      </c>
      <c r="M73" s="1"/>
      <c r="N73" s="5">
        <f t="shared" si="48"/>
        <v>0</v>
      </c>
      <c r="O73" s="14"/>
      <c r="P73" s="1">
        <f>SUM(OSRRefP22_15x_0)</f>
        <v>0</v>
      </c>
      <c r="Q73" s="1"/>
      <c r="R73" s="5">
        <f t="shared" si="49"/>
        <v>0</v>
      </c>
      <c r="S73" s="1"/>
      <c r="T73" s="1">
        <f>SUM(OSRRefT22_15x_0)</f>
        <v>0</v>
      </c>
      <c r="U73" s="1"/>
      <c r="V73" s="5">
        <f t="shared" si="50"/>
        <v>0</v>
      </c>
      <c r="W73" s="1"/>
      <c r="X73" s="1">
        <f t="shared" si="51"/>
        <v>0</v>
      </c>
      <c r="Y73" s="1"/>
      <c r="Z73" s="5">
        <f t="shared" si="52"/>
        <v>0</v>
      </c>
    </row>
    <row r="74" spans="1:26" s="24" customFormat="1" hidden="1" outlineLevel="2" x14ac:dyDescent="0.25">
      <c r="A74" s="29"/>
      <c r="B74" s="11" t="str">
        <f>CONCATENATE("          ", "6292", " - ", "TRAVEL/CONFERENCE")</f>
        <v xml:space="preserve">          6292 - TRAVEL/CONFERENCE</v>
      </c>
      <c r="C74" s="11"/>
      <c r="D74" s="6"/>
      <c r="E74" s="2"/>
      <c r="F74" s="7">
        <f t="shared" si="45"/>
        <v>0</v>
      </c>
      <c r="G74" s="2"/>
      <c r="H74" s="6"/>
      <c r="I74" s="2"/>
      <c r="J74" s="7">
        <f t="shared" si="46"/>
        <v>0</v>
      </c>
      <c r="K74" s="2"/>
      <c r="L74" s="6">
        <f t="shared" si="47"/>
        <v>0</v>
      </c>
      <c r="M74" s="2"/>
      <c r="N74" s="7">
        <f t="shared" si="48"/>
        <v>0</v>
      </c>
      <c r="O74" s="11"/>
      <c r="P74" s="6"/>
      <c r="Q74" s="2"/>
      <c r="R74" s="7">
        <f t="shared" si="49"/>
        <v>0</v>
      </c>
      <c r="S74" s="2"/>
      <c r="T74" s="6">
        <v>0</v>
      </c>
      <c r="U74" s="2"/>
      <c r="V74" s="7">
        <f t="shared" si="50"/>
        <v>0</v>
      </c>
      <c r="W74" s="2"/>
      <c r="X74" s="6">
        <f t="shared" si="51"/>
        <v>0</v>
      </c>
      <c r="Y74" s="2"/>
      <c r="Z74" s="7">
        <f t="shared" si="52"/>
        <v>0</v>
      </c>
    </row>
    <row r="75" spans="1:26" s="61" customFormat="1" x14ac:dyDescent="0.25">
      <c r="A75" s="36"/>
      <c r="B75" s="36"/>
      <c r="C75" s="36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6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5" t="s">
        <v>0</v>
      </c>
      <c r="C76" s="10"/>
      <c r="D76" s="4">
        <f>SUM(0)</f>
        <v>0</v>
      </c>
      <c r="E76" s="4"/>
      <c r="F76" s="12">
        <f>IF(D$12=0,0,D76/D$12)</f>
        <v>0</v>
      </c>
      <c r="G76" s="4"/>
      <c r="H76" s="4">
        <f>SUM(0)</f>
        <v>0</v>
      </c>
      <c r="I76" s="4"/>
      <c r="J76" s="12">
        <f>IF(H$12=0,0,H76/H$12)</f>
        <v>0</v>
      </c>
      <c r="K76" s="4"/>
      <c r="L76" s="4">
        <f>+D76-H76</f>
        <v>0</v>
      </c>
      <c r="M76" s="4"/>
      <c r="N76" s="12">
        <f>IF(H76=0,0,L76/H76)</f>
        <v>0</v>
      </c>
      <c r="O76" s="10"/>
      <c r="P76" s="4">
        <f>SUM(0)</f>
        <v>0</v>
      </c>
      <c r="Q76" s="4"/>
      <c r="R76" s="12">
        <f>IF(P$12=0,0,P76/P$12)</f>
        <v>0</v>
      </c>
      <c r="S76" s="4"/>
      <c r="T76" s="4">
        <f>SUM(0)</f>
        <v>0</v>
      </c>
      <c r="U76" s="4"/>
      <c r="V76" s="12">
        <f>IF(T$12=0,0,T76/T$12)</f>
        <v>0</v>
      </c>
      <c r="W76" s="4"/>
      <c r="X76" s="4">
        <f>+P76-T76</f>
        <v>0</v>
      </c>
      <c r="Y76" s="4"/>
      <c r="Z76" s="12">
        <f>IF(T76=0,0,X76/T76)</f>
        <v>0</v>
      </c>
    </row>
    <row r="77" spans="1:26" x14ac:dyDescent="0.25">
      <c r="A77" s="9"/>
      <c r="B77" s="10"/>
      <c r="C77" s="10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O77" s="10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10"/>
      <c r="B78" s="26" t="s">
        <v>3</v>
      </c>
      <c r="C78" s="26"/>
      <c r="D78" s="20">
        <f>+D20-D22+D76</f>
        <v>-2251.14</v>
      </c>
      <c r="E78" s="13"/>
      <c r="F78" s="21">
        <f>IF(D$12=0,0,D78/D$12)</f>
        <v>0</v>
      </c>
      <c r="G78" s="13"/>
      <c r="H78" s="20">
        <f>+H20-H22+H76</f>
        <v>-1972</v>
      </c>
      <c r="I78" s="13"/>
      <c r="J78" s="21">
        <f>IF(H$12=0,0,H78/H$12)</f>
        <v>0</v>
      </c>
      <c r="K78" s="16"/>
      <c r="L78" s="20">
        <f>+D78-H78</f>
        <v>-279.13999999999987</v>
      </c>
      <c r="M78" s="16"/>
      <c r="N78" s="21">
        <f>IF(H78=0,0,L78/H78)</f>
        <v>0.14155172413793096</v>
      </c>
      <c r="O78" s="25"/>
      <c r="P78" s="20">
        <f>+P20-P22+P76</f>
        <v>-5822.63</v>
      </c>
      <c r="Q78" s="13"/>
      <c r="R78" s="21">
        <f>IF(P$12=0,0,P78/P$12)</f>
        <v>-5.9724795109292144</v>
      </c>
      <c r="S78" s="13"/>
      <c r="T78" s="20">
        <f>+T20-T22+T76</f>
        <v>-5916</v>
      </c>
      <c r="U78" s="13"/>
      <c r="V78" s="21">
        <f>IF(T$12=0,0,T78/T$12)</f>
        <v>0</v>
      </c>
      <c r="W78" s="16"/>
      <c r="X78" s="20">
        <f>+P78-T78</f>
        <v>93.369999999999891</v>
      </c>
      <c r="Y78" s="16"/>
      <c r="Z78" s="21">
        <f>IF(T78=0,0,X78/T78)</f>
        <v>-1.5782623394185243E-2</v>
      </c>
    </row>
    <row r="79" spans="1:26" x14ac:dyDescent="0.25">
      <c r="A79" s="9"/>
      <c r="B79" s="10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52"/>
      <c r="B80" s="10" t="s">
        <v>14</v>
      </c>
      <c r="C80" s="10"/>
      <c r="D80" s="4">
        <v>16.010000000000002</v>
      </c>
      <c r="E80" s="4"/>
      <c r="F80" s="12">
        <f>IF(D$12=0,0,D80/D$12)</f>
        <v>0</v>
      </c>
      <c r="G80" s="4"/>
      <c r="H80" s="4"/>
      <c r="I80" s="4"/>
      <c r="J80" s="12">
        <f>IF(H$12=0,0,H80/H$12)</f>
        <v>0</v>
      </c>
      <c r="K80" s="4"/>
      <c r="L80" s="4">
        <f>+D80-H80</f>
        <v>16.010000000000002</v>
      </c>
      <c r="M80" s="4"/>
      <c r="N80" s="12">
        <f>IF(H80=0,0,L80/H80)</f>
        <v>0</v>
      </c>
      <c r="O80" s="10"/>
      <c r="P80" s="4">
        <v>180.61</v>
      </c>
      <c r="Q80" s="4"/>
      <c r="R80" s="12">
        <f>IF(P$12=0,0,P80/P$12)</f>
        <v>0.18525812639115408</v>
      </c>
      <c r="S80" s="4"/>
      <c r="T80" s="4"/>
      <c r="U80" s="4"/>
      <c r="V80" s="12">
        <f>IF(T$12=0,0,T80/T$12)</f>
        <v>0</v>
      </c>
      <c r="W80" s="4"/>
      <c r="X80" s="4">
        <f>+P80-T80</f>
        <v>180.61</v>
      </c>
      <c r="Y80" s="4"/>
      <c r="Z80" s="12">
        <f>IF(T80=0,0,X80/T80)</f>
        <v>0</v>
      </c>
    </row>
    <row r="81" spans="1:26" x14ac:dyDescent="0.25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ht="15.75" thickBot="1" x14ac:dyDescent="0.3">
      <c r="A82" s="10"/>
      <c r="B82" s="26" t="s">
        <v>4</v>
      </c>
      <c r="C82" s="26"/>
      <c r="D82" s="33">
        <f>+D78-D80</f>
        <v>-2267.15</v>
      </c>
      <c r="E82" s="13"/>
      <c r="F82" s="34">
        <f>IF(D$12=0,0,D82/D$12)</f>
        <v>0</v>
      </c>
      <c r="G82" s="13"/>
      <c r="H82" s="33">
        <f>+H78-H80</f>
        <v>-1972</v>
      </c>
      <c r="I82" s="13"/>
      <c r="J82" s="34">
        <f>IF(H$12=0,0,H82/H$12)</f>
        <v>0</v>
      </c>
      <c r="K82" s="16"/>
      <c r="L82" s="33">
        <f>D82-H82</f>
        <v>-295.15000000000009</v>
      </c>
      <c r="M82" s="16"/>
      <c r="N82" s="34">
        <f>IF(H82=0,0,L82/H82)</f>
        <v>0.14967038539553756</v>
      </c>
      <c r="O82" s="25"/>
      <c r="P82" s="33">
        <f>+P78-P80</f>
        <v>-6003.24</v>
      </c>
      <c r="Q82" s="13"/>
      <c r="R82" s="34">
        <f>IF(P$12=0,0,P82/P$12)</f>
        <v>-6.1577376373203681</v>
      </c>
      <c r="S82" s="13"/>
      <c r="T82" s="33">
        <f>+T78-T80</f>
        <v>-5916</v>
      </c>
      <c r="U82" s="13"/>
      <c r="V82" s="34">
        <f>IF(T$12=0,0,T82/T$12)</f>
        <v>0</v>
      </c>
      <c r="W82" s="16"/>
      <c r="X82" s="33">
        <f>P82-T82</f>
        <v>-87.239999999999782</v>
      </c>
      <c r="Y82" s="16"/>
      <c r="Z82" s="34">
        <f>IF(T82=0,0,X82/T82)</f>
        <v>1.4746450304259598E-2</v>
      </c>
    </row>
    <row r="83" spans="1:26" ht="15.75" thickTop="1" x14ac:dyDescent="0.25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5</v>
      </c>
      <c r="C85" s="26"/>
      <c r="D85" s="31">
        <f>SUM(D82:D84)</f>
        <v>-2267.15</v>
      </c>
      <c r="E85" s="13"/>
      <c r="F85" s="32">
        <f>IF(D$12=0,0,D85/D$12)</f>
        <v>0</v>
      </c>
      <c r="G85" s="13"/>
      <c r="H85" s="31">
        <f>SUM(H82:H84)</f>
        <v>-1972</v>
      </c>
      <c r="I85" s="13"/>
      <c r="J85" s="32">
        <f>IF(H$12=0,0,H85/H$12)</f>
        <v>0</v>
      </c>
      <c r="K85" s="16"/>
      <c r="L85" s="31">
        <f>+D85-H85</f>
        <v>-295.15000000000009</v>
      </c>
      <c r="M85" s="16"/>
      <c r="N85" s="32">
        <f>IF(H85=0,0,L85/H85)</f>
        <v>0.14967038539553756</v>
      </c>
      <c r="O85" s="25"/>
      <c r="P85" s="31">
        <f>SUM(P82:P84)</f>
        <v>-6003.24</v>
      </c>
      <c r="Q85" s="13"/>
      <c r="R85" s="32">
        <f>IF(P$12=0,0,P85/P$12)</f>
        <v>-6.1577376373203681</v>
      </c>
      <c r="S85" s="13"/>
      <c r="T85" s="31">
        <f>SUM(T82:T84)</f>
        <v>-5916</v>
      </c>
      <c r="U85" s="13"/>
      <c r="V85" s="32">
        <f>IF(T$12=0,0,T85/T$12)</f>
        <v>0</v>
      </c>
      <c r="W85" s="16"/>
      <c r="X85" s="31">
        <f>+P85-T85</f>
        <v>-87.239999999999782</v>
      </c>
      <c r="Y85" s="16"/>
      <c r="Z85" s="32">
        <f>IF(T85=0,0,X85/T85)</f>
        <v>1.4746450304259598E-2</v>
      </c>
    </row>
    <row r="86" spans="1:26" ht="15.75" thickTop="1" x14ac:dyDescent="0.25">
      <c r="A86" s="9"/>
      <c r="C86" s="9"/>
      <c r="D86" s="17"/>
      <c r="E86" s="17"/>
      <c r="G86" s="17"/>
      <c r="H86" s="17"/>
      <c r="I86" s="17"/>
      <c r="J86" s="43"/>
      <c r="K86" s="17"/>
      <c r="L86" s="17"/>
      <c r="M86" s="17"/>
      <c r="P86" s="17"/>
      <c r="Q86" s="17"/>
      <c r="R86" s="43"/>
      <c r="S86" s="17"/>
      <c r="T86" s="17"/>
      <c r="U86" s="17"/>
      <c r="V86" s="43"/>
      <c r="W86" s="17"/>
      <c r="X86" s="17"/>
    </row>
    <row r="87" spans="1:26" x14ac:dyDescent="0.25">
      <c r="A87" s="9"/>
      <c r="B87" s="55">
        <v>44123.572357870369</v>
      </c>
      <c r="D87" s="17"/>
      <c r="E87" s="17"/>
      <c r="G87" s="17"/>
      <c r="H87" s="17"/>
      <c r="I87" s="17"/>
      <c r="J87" s="43"/>
      <c r="K87" s="17"/>
      <c r="L87" s="17"/>
      <c r="M87" s="17"/>
      <c r="P87" s="17"/>
      <c r="Q87" s="17"/>
      <c r="R87" s="43"/>
      <c r="S87" s="17"/>
      <c r="T87" s="17"/>
      <c r="U87" s="17"/>
      <c r="V87" s="43"/>
      <c r="W87" s="17"/>
      <c r="X87" s="17"/>
    </row>
    <row r="88" spans="1:26" x14ac:dyDescent="0.25">
      <c r="A88" s="9"/>
      <c r="B88" s="53" t="s">
        <v>314</v>
      </c>
      <c r="D88" s="17"/>
      <c r="E88" s="17"/>
      <c r="G88" s="17"/>
      <c r="H88" s="17"/>
      <c r="I88" s="17"/>
      <c r="J88" s="43"/>
      <c r="K88" s="17"/>
      <c r="L88" s="17"/>
      <c r="M88" s="17"/>
      <c r="P88" s="17"/>
      <c r="Q88" s="17"/>
      <c r="R88" s="43"/>
      <c r="S88" s="17"/>
      <c r="T88" s="17"/>
      <c r="U88" s="17"/>
      <c r="V88" s="43"/>
      <c r="W88" s="17"/>
      <c r="X88" s="17"/>
    </row>
    <row r="89" spans="1:26" x14ac:dyDescent="0.25">
      <c r="A89" s="9"/>
      <c r="B89" s="62"/>
      <c r="D89" s="17"/>
      <c r="E89" s="17"/>
      <c r="G89" s="17"/>
      <c r="H89" s="17"/>
      <c r="I89" s="17"/>
      <c r="J89" s="43"/>
      <c r="K89" s="17"/>
      <c r="L89" s="17"/>
      <c r="M89" s="17"/>
      <c r="P89" s="17"/>
      <c r="Q89" s="17"/>
      <c r="R89" s="43"/>
      <c r="S89" s="17"/>
      <c r="T89" s="17"/>
      <c r="U89" s="17"/>
      <c r="V89" s="43"/>
      <c r="W89" s="17"/>
      <c r="X89" s="17"/>
    </row>
    <row r="90" spans="1:26" x14ac:dyDescent="0.25">
      <c r="D90" s="17"/>
      <c r="E90" s="17"/>
      <c r="G90" s="17"/>
      <c r="H90" s="17"/>
      <c r="I90" s="17"/>
      <c r="J90" s="43"/>
      <c r="K90" s="17"/>
      <c r="L90" s="17"/>
      <c r="M90" s="17"/>
      <c r="P90" s="17"/>
      <c r="Q90" s="17"/>
      <c r="R90" s="43"/>
      <c r="S90" s="17"/>
      <c r="T90" s="17"/>
      <c r="U90" s="17"/>
      <c r="V90" s="43"/>
      <c r="W90" s="17"/>
      <c r="X90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","415", " - ", "Outpost")</f>
        <v>Department 415 - Outpost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8677.65</v>
      </c>
      <c r="E12" s="4"/>
      <c r="F12" s="12"/>
      <c r="G12" s="4"/>
      <c r="H12" s="4">
        <f>SUM(OSRRefH13x_0)</f>
        <v>21053</v>
      </c>
      <c r="I12" s="4"/>
      <c r="J12" s="12"/>
      <c r="K12" s="4"/>
      <c r="L12" s="4">
        <f t="shared" ref="L12:L16" si="0">+D12-H12</f>
        <v>-12375.35</v>
      </c>
      <c r="M12" s="4"/>
      <c r="N12" s="12">
        <f t="shared" ref="N12:N16" si="1">IF(H12=0,0,L12/H12)</f>
        <v>-0.58781883817033209</v>
      </c>
      <c r="O12" s="10"/>
      <c r="P12" s="4">
        <f>SUM(OSRRefP13x_0)</f>
        <v>13396.59</v>
      </c>
      <c r="Q12" s="4"/>
      <c r="R12" s="12"/>
      <c r="S12" s="4"/>
      <c r="T12" s="4">
        <f>SUM(OSRRefT13x_0)</f>
        <v>33885</v>
      </c>
      <c r="U12" s="4"/>
      <c r="V12" s="12"/>
      <c r="W12" s="4"/>
      <c r="X12" s="4">
        <f t="shared" ref="X12:X16" si="2">+P12-T12</f>
        <v>-20488.41</v>
      </c>
      <c r="Y12" s="4"/>
      <c r="Z12" s="12">
        <f t="shared" ref="Z12:Z16" si="3">IF(T12=0,0,X12/T12)</f>
        <v>-0.60464541832669327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>0</f>
        <v>0</v>
      </c>
      <c r="E13" s="2"/>
      <c r="F13" s="22"/>
      <c r="G13" s="2"/>
      <c r="H13" s="2">
        <v>6548</v>
      </c>
      <c r="I13" s="2"/>
      <c r="J13" s="22"/>
      <c r="K13" s="2"/>
      <c r="L13" s="2">
        <f t="shared" si="0"/>
        <v>-6548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10539</v>
      </c>
      <c r="U13" s="2"/>
      <c r="V13" s="22"/>
      <c r="W13" s="2"/>
      <c r="X13" s="2">
        <f t="shared" si="2"/>
        <v>-10539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"4051", " - ", "TAXABLE SALES-FOOD")</f>
        <v xml:space="preserve">          4051 - TAXABLE SALES-FOOD</v>
      </c>
      <c r="C14" s="11"/>
      <c r="D14" s="2">
        <f>--4141.96</f>
        <v>4141.96</v>
      </c>
      <c r="E14" s="2"/>
      <c r="F14" s="22"/>
      <c r="G14" s="2"/>
      <c r="H14" s="2"/>
      <c r="I14" s="2"/>
      <c r="J14" s="22"/>
      <c r="K14" s="2"/>
      <c r="L14" s="2">
        <f t="shared" si="0"/>
        <v>4141.96</v>
      </c>
      <c r="M14" s="2"/>
      <c r="N14" s="22">
        <f t="shared" si="1"/>
        <v>0</v>
      </c>
      <c r="O14" s="11"/>
      <c r="P14" s="2">
        <f>--6652.68</f>
        <v>6652.68</v>
      </c>
      <c r="Q14" s="2"/>
      <c r="R14" s="22"/>
      <c r="S14" s="2"/>
      <c r="T14" s="2"/>
      <c r="U14" s="2"/>
      <c r="V14" s="22"/>
      <c r="W14" s="2"/>
      <c r="X14" s="2">
        <f t="shared" si="2"/>
        <v>6652.68</v>
      </c>
      <c r="Y14" s="2"/>
      <c r="Z14" s="22">
        <f t="shared" si="3"/>
        <v>0</v>
      </c>
    </row>
    <row r="15" spans="1:26" s="24" customFormat="1" hidden="1" outlineLevel="1" x14ac:dyDescent="0.25">
      <c r="A15" s="51"/>
      <c r="B15" s="11" t="str">
        <f>CONCATENATE("          ", "4100", " - ", "NON-TAXABLE SALES")</f>
        <v xml:space="preserve">          4100 - NON-TAXABLE SALES</v>
      </c>
      <c r="C15" s="11"/>
      <c r="D15" s="2">
        <f>0</f>
        <v>0</v>
      </c>
      <c r="E15" s="2"/>
      <c r="F15" s="22"/>
      <c r="G15" s="2"/>
      <c r="H15" s="2">
        <v>14505</v>
      </c>
      <c r="I15" s="2"/>
      <c r="J15" s="22"/>
      <c r="K15" s="2"/>
      <c r="L15" s="2">
        <f t="shared" si="0"/>
        <v>-14505</v>
      </c>
      <c r="M15" s="2"/>
      <c r="N15" s="22">
        <f t="shared" si="1"/>
        <v>-1</v>
      </c>
      <c r="O15" s="11"/>
      <c r="P15" s="2">
        <f>0</f>
        <v>0</v>
      </c>
      <c r="Q15" s="2"/>
      <c r="R15" s="22"/>
      <c r="S15" s="2"/>
      <c r="T15" s="2">
        <v>23346</v>
      </c>
      <c r="U15" s="2"/>
      <c r="V15" s="22"/>
      <c r="W15" s="2"/>
      <c r="X15" s="2">
        <f t="shared" si="2"/>
        <v>-23346</v>
      </c>
      <c r="Y15" s="2"/>
      <c r="Z15" s="22">
        <f t="shared" si="3"/>
        <v>-1</v>
      </c>
    </row>
    <row r="16" spans="1:26" s="24" customFormat="1" hidden="1" outlineLevel="1" x14ac:dyDescent="0.25">
      <c r="A16" s="51"/>
      <c r="B16" s="11" t="str">
        <f>CONCATENATE("          ", "4151", " - ", "NON-TAXABLE SALES-FOOD")</f>
        <v xml:space="preserve">          4151 - NON-TAXABLE SALES-FOOD</v>
      </c>
      <c r="C16" s="11"/>
      <c r="D16" s="2">
        <f>--4535.69</f>
        <v>4535.6899999999996</v>
      </c>
      <c r="E16" s="2"/>
      <c r="F16" s="22"/>
      <c r="G16" s="2"/>
      <c r="H16" s="2"/>
      <c r="I16" s="2"/>
      <c r="J16" s="22"/>
      <c r="K16" s="2"/>
      <c r="L16" s="2">
        <f t="shared" si="0"/>
        <v>4535.6899999999996</v>
      </c>
      <c r="M16" s="2"/>
      <c r="N16" s="22">
        <f t="shared" si="1"/>
        <v>0</v>
      </c>
      <c r="O16" s="11"/>
      <c r="P16" s="2">
        <f>--6743.91</f>
        <v>6743.91</v>
      </c>
      <c r="Q16" s="2"/>
      <c r="R16" s="22"/>
      <c r="S16" s="2"/>
      <c r="T16" s="2"/>
      <c r="U16" s="2"/>
      <c r="V16" s="22"/>
      <c r="W16" s="2"/>
      <c r="X16" s="2">
        <f t="shared" si="2"/>
        <v>6743.91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1770.46</v>
      </c>
      <c r="E18" s="4"/>
      <c r="F18" s="12">
        <f t="shared" ref="F18:F21" si="4">IF(D$12=0,0,D18/D$12)</f>
        <v>0.20402528334284054</v>
      </c>
      <c r="G18" s="4"/>
      <c r="H18" s="4">
        <f>SUM(OSRRefH16x_0)</f>
        <v>7579</v>
      </c>
      <c r="I18" s="4"/>
      <c r="J18" s="12">
        <f t="shared" ref="J18:J21" si="5">IF(H$12=0,0,H18/H$12)</f>
        <v>0.35999620006649885</v>
      </c>
      <c r="K18" s="4"/>
      <c r="L18" s="4">
        <f t="shared" ref="L18:L21" si="6">+D18-H18</f>
        <v>-5808.54</v>
      </c>
      <c r="M18" s="4"/>
      <c r="N18" s="12">
        <f t="shared" ref="N18:N21" si="7">IF(H18=0,0,L18/H18)</f>
        <v>-0.76639926111624224</v>
      </c>
      <c r="O18" s="10"/>
      <c r="P18" s="4">
        <f>SUM(OSRRefP16x_0)</f>
        <v>6016.4</v>
      </c>
      <c r="Q18" s="4"/>
      <c r="R18" s="12">
        <f t="shared" ref="R18:R21" si="8">IF(P$12=0,0,P18/P$12)</f>
        <v>0.4490993603596139</v>
      </c>
      <c r="S18" s="4"/>
      <c r="T18" s="4">
        <f>SUM(OSRRefT16x_0)</f>
        <v>11848</v>
      </c>
      <c r="U18" s="4"/>
      <c r="V18" s="12">
        <f t="shared" ref="V18:V21" si="9">IF(T$12=0,0,T18/T$12)</f>
        <v>0.34965323889626676</v>
      </c>
      <c r="W18" s="4"/>
      <c r="X18" s="4">
        <f t="shared" ref="X18:X21" si="10">+P18-T18</f>
        <v>-5831.6</v>
      </c>
      <c r="Y18" s="4"/>
      <c r="Z18" s="12">
        <f t="shared" ref="Z18:Z21" si="11">IF(T18=0,0,X18/T18)</f>
        <v>-0.49220121539500339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7579</v>
      </c>
      <c r="I19" s="2"/>
      <c r="J19" s="22">
        <f t="shared" si="5"/>
        <v>0.35999620006649885</v>
      </c>
      <c r="K19" s="2"/>
      <c r="L19" s="2">
        <f t="shared" si="6"/>
        <v>-7579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11848</v>
      </c>
      <c r="U19" s="2"/>
      <c r="V19" s="22">
        <f t="shared" si="9"/>
        <v>0.34965323889626676</v>
      </c>
      <c r="W19" s="2"/>
      <c r="X19" s="2">
        <f t="shared" si="10"/>
        <v>-11848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1229.4000000000001</v>
      </c>
      <c r="E20" s="2"/>
      <c r="F20" s="22">
        <f t="shared" si="4"/>
        <v>0.14167430122210509</v>
      </c>
      <c r="G20" s="2"/>
      <c r="H20" s="2"/>
      <c r="I20" s="2"/>
      <c r="J20" s="22">
        <f t="shared" si="5"/>
        <v>0</v>
      </c>
      <c r="K20" s="2"/>
      <c r="L20" s="2">
        <f t="shared" si="6"/>
        <v>1229.4000000000001</v>
      </c>
      <c r="M20" s="2"/>
      <c r="N20" s="22">
        <f t="shared" si="7"/>
        <v>0</v>
      </c>
      <c r="O20" s="11"/>
      <c r="P20" s="2">
        <v>5430.34</v>
      </c>
      <c r="Q20" s="2"/>
      <c r="R20" s="22">
        <f t="shared" si="8"/>
        <v>0.40535240684383117</v>
      </c>
      <c r="S20" s="2"/>
      <c r="T20" s="2"/>
      <c r="U20" s="2"/>
      <c r="V20" s="22">
        <f t="shared" si="9"/>
        <v>0</v>
      </c>
      <c r="W20" s="2"/>
      <c r="X20" s="2">
        <f t="shared" si="10"/>
        <v>5430.34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541.05999999999995</v>
      </c>
      <c r="E21" s="2"/>
      <c r="F21" s="22">
        <f t="shared" si="4"/>
        <v>6.2350982120735449E-2</v>
      </c>
      <c r="G21" s="2"/>
      <c r="H21" s="2"/>
      <c r="I21" s="2"/>
      <c r="J21" s="22">
        <f t="shared" si="5"/>
        <v>0</v>
      </c>
      <c r="K21" s="2"/>
      <c r="L21" s="2">
        <f t="shared" si="6"/>
        <v>541.05999999999995</v>
      </c>
      <c r="M21" s="2"/>
      <c r="N21" s="22">
        <f t="shared" si="7"/>
        <v>0</v>
      </c>
      <c r="O21" s="11"/>
      <c r="P21" s="2">
        <v>586.05999999999995</v>
      </c>
      <c r="Q21" s="2"/>
      <c r="R21" s="22">
        <f t="shared" si="8"/>
        <v>4.3746953515782741E-2</v>
      </c>
      <c r="S21" s="2"/>
      <c r="T21" s="2"/>
      <c r="U21" s="2"/>
      <c r="V21" s="22">
        <f t="shared" si="9"/>
        <v>0</v>
      </c>
      <c r="W21" s="2"/>
      <c r="X21" s="2">
        <f t="shared" si="10"/>
        <v>586.05999999999995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0">
        <f>D12-D18</f>
        <v>6907.19</v>
      </c>
      <c r="E23" s="13"/>
      <c r="F23" s="21">
        <f>IF(D$12=0,0,D23/D$12)</f>
        <v>0.79597471665715946</v>
      </c>
      <c r="G23" s="13"/>
      <c r="H23" s="20">
        <f>H12-H18</f>
        <v>13474</v>
      </c>
      <c r="I23" s="13"/>
      <c r="J23" s="21">
        <f>IF(H$12=0,0,H23/H$12)</f>
        <v>0.64000379993350121</v>
      </c>
      <c r="K23" s="16"/>
      <c r="L23" s="20">
        <f>+D23-H23</f>
        <v>-6566.81</v>
      </c>
      <c r="M23" s="16"/>
      <c r="N23" s="21">
        <f>IF(H23=0,0,L23/H23)</f>
        <v>-0.48736900697639901</v>
      </c>
      <c r="O23" s="25"/>
      <c r="P23" s="20">
        <f>P12-P18</f>
        <v>7380.1900000000005</v>
      </c>
      <c r="Q23" s="13"/>
      <c r="R23" s="21">
        <f>IF(P$12=0,0,P23/P$12)</f>
        <v>0.55090063964038616</v>
      </c>
      <c r="S23" s="13"/>
      <c r="T23" s="20">
        <f>T12-T18</f>
        <v>22037</v>
      </c>
      <c r="U23" s="13"/>
      <c r="V23" s="21">
        <f>IF(T$12=0,0,T23/T$12)</f>
        <v>0.65034676110373324</v>
      </c>
      <c r="W23" s="16"/>
      <c r="X23" s="20">
        <f>+P23-T23</f>
        <v>-14656.81</v>
      </c>
      <c r="Y23" s="16"/>
      <c r="Z23" s="21">
        <f>IF(T23=0,0,X23/T23)</f>
        <v>-0.66510005899169578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19">
        <f>SUM(OSRRefD22x_0)</f>
        <v>65605.72</v>
      </c>
      <c r="E25" s="19"/>
      <c r="F25" s="35">
        <f t="shared" ref="F25:F35" si="12">IF(D$12=0,0,D25/D$12)</f>
        <v>7.5603095308061521</v>
      </c>
      <c r="G25" s="19"/>
      <c r="H25" s="19">
        <f>SUM(OSRRefH22x_0)</f>
        <v>50561.741085092312</v>
      </c>
      <c r="I25" s="19"/>
      <c r="J25" s="35">
        <f t="shared" ref="J25:J35" si="13">IF(H$12=0,0,H25/H$12)</f>
        <v>2.4016406728301103</v>
      </c>
      <c r="K25" s="4"/>
      <c r="L25" s="19">
        <f t="shared" ref="L25:L35" si="14">+D25-H25</f>
        <v>15043.97891490769</v>
      </c>
      <c r="M25" s="4"/>
      <c r="N25" s="35">
        <f t="shared" ref="N25:N35" si="15">IF(H25=0,0,L25/H25)</f>
        <v>0.29753680534041727</v>
      </c>
      <c r="O25" s="10"/>
      <c r="P25" s="19">
        <f>SUM(OSRRefP22x_0)</f>
        <v>190044.42999999996</v>
      </c>
      <c r="Q25" s="19"/>
      <c r="R25" s="35">
        <f t="shared" ref="R25:R35" si="16">IF(P$12=0,0,P25/P$12)</f>
        <v>14.186030176335915</v>
      </c>
      <c r="S25" s="19"/>
      <c r="T25" s="19">
        <f>SUM(OSRRefT22x_0)</f>
        <v>158499.72513655</v>
      </c>
      <c r="U25" s="19"/>
      <c r="V25" s="35">
        <f t="shared" ref="V25:V35" si="17">IF(T$12=0,0,T25/T$12)</f>
        <v>4.6775778408307511</v>
      </c>
      <c r="W25" s="4"/>
      <c r="X25" s="19">
        <f t="shared" ref="X25:X35" si="18">+P25-T25</f>
        <v>31544.704863449966</v>
      </c>
      <c r="Y25" s="4"/>
      <c r="Z25" s="35">
        <f t="shared" ref="Z25:Z35" si="19">IF(T25=0,0,X25/T25)</f>
        <v>0.19902056509103538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15801.559999999998</v>
      </c>
      <c r="E26" s="1"/>
      <c r="F26" s="5">
        <f t="shared" si="12"/>
        <v>1.8209492201229593</v>
      </c>
      <c r="G26" s="1"/>
      <c r="H26" s="1">
        <f>SUM(OSRRefH22_0x_0)</f>
        <v>5744.2070850923101</v>
      </c>
      <c r="I26" s="1"/>
      <c r="J26" s="5">
        <f t="shared" si="13"/>
        <v>0.27284506175330403</v>
      </c>
      <c r="K26" s="1"/>
      <c r="L26" s="1">
        <f t="shared" si="14"/>
        <v>10057.352914907688</v>
      </c>
      <c r="M26" s="1"/>
      <c r="N26" s="5">
        <f t="shared" si="15"/>
        <v>1.7508687911007068</v>
      </c>
      <c r="O26" s="14"/>
      <c r="P26" s="1">
        <f>SUM(OSRRefP22_0x_0)</f>
        <v>39194.49</v>
      </c>
      <c r="Q26" s="1"/>
      <c r="R26" s="5">
        <f t="shared" si="16"/>
        <v>2.9257064670934914</v>
      </c>
      <c r="S26" s="1"/>
      <c r="T26" s="1">
        <f>SUM(OSRRefT22_0x_0)</f>
        <v>18483.336636550001</v>
      </c>
      <c r="U26" s="1"/>
      <c r="V26" s="5">
        <f t="shared" si="17"/>
        <v>0.54547252874575769</v>
      </c>
      <c r="W26" s="1"/>
      <c r="X26" s="1">
        <f t="shared" si="18"/>
        <v>20711.153363449997</v>
      </c>
      <c r="Y26" s="1"/>
      <c r="Z26" s="5">
        <f t="shared" si="19"/>
        <v>1.1205310908255919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6">
        <v>1519.52</v>
      </c>
      <c r="E27" s="2"/>
      <c r="F27" s="7">
        <f t="shared" si="12"/>
        <v>0.17510731592078502</v>
      </c>
      <c r="G27" s="2"/>
      <c r="H27" s="6">
        <v>638.61070740000002</v>
      </c>
      <c r="I27" s="2"/>
      <c r="J27" s="7">
        <f t="shared" si="13"/>
        <v>3.0333477765639102E-2</v>
      </c>
      <c r="K27" s="2"/>
      <c r="L27" s="6">
        <f t="shared" si="14"/>
        <v>880.90929259999996</v>
      </c>
      <c r="M27" s="2"/>
      <c r="N27" s="7">
        <f t="shared" si="15"/>
        <v>1.3794151623083166</v>
      </c>
      <c r="O27" s="11"/>
      <c r="P27" s="6">
        <v>4123.41</v>
      </c>
      <c r="Q27" s="2"/>
      <c r="R27" s="7">
        <f t="shared" si="16"/>
        <v>0.3077954912406814</v>
      </c>
      <c r="S27" s="2"/>
      <c r="T27" s="6">
        <v>2268.4934590500002</v>
      </c>
      <c r="U27" s="2"/>
      <c r="V27" s="7">
        <f t="shared" si="17"/>
        <v>6.694683367419213E-2</v>
      </c>
      <c r="W27" s="2"/>
      <c r="X27" s="6">
        <f t="shared" si="18"/>
        <v>1854.9165409499997</v>
      </c>
      <c r="Y27" s="2"/>
      <c r="Z27" s="7">
        <f t="shared" si="19"/>
        <v>0.81768652827714206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788.19</v>
      </c>
      <c r="E28" s="2"/>
      <c r="F28" s="7">
        <f t="shared" si="12"/>
        <v>9.0829890580975278E-2</v>
      </c>
      <c r="G28" s="2"/>
      <c r="H28" s="6">
        <v>496.961322</v>
      </c>
      <c r="I28" s="2"/>
      <c r="J28" s="7">
        <f t="shared" si="13"/>
        <v>2.3605249703130195E-2</v>
      </c>
      <c r="K28" s="2"/>
      <c r="L28" s="6">
        <f t="shared" si="14"/>
        <v>291.22867800000006</v>
      </c>
      <c r="M28" s="2"/>
      <c r="N28" s="7">
        <f t="shared" si="15"/>
        <v>0.58601880087561431</v>
      </c>
      <c r="O28" s="11"/>
      <c r="P28" s="6">
        <v>1808.67</v>
      </c>
      <c r="Q28" s="2"/>
      <c r="R28" s="7">
        <f t="shared" si="16"/>
        <v>0.13500973008802986</v>
      </c>
      <c r="S28" s="2"/>
      <c r="T28" s="6">
        <v>1596.8875065</v>
      </c>
      <c r="U28" s="2"/>
      <c r="V28" s="7">
        <f t="shared" si="17"/>
        <v>4.7126678663125275E-2</v>
      </c>
      <c r="W28" s="2"/>
      <c r="X28" s="6">
        <f t="shared" si="18"/>
        <v>211.7824935000001</v>
      </c>
      <c r="Y28" s="2"/>
      <c r="Z28" s="7">
        <f t="shared" si="19"/>
        <v>0.1326220492288635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6">
        <v>8711.43</v>
      </c>
      <c r="E29" s="2"/>
      <c r="F29" s="7">
        <f t="shared" si="12"/>
        <v>1.0038927589842872</v>
      </c>
      <c r="G29" s="2"/>
      <c r="H29" s="6">
        <v>3212.6923076923099</v>
      </c>
      <c r="I29" s="2"/>
      <c r="J29" s="7">
        <f t="shared" si="13"/>
        <v>0.15260021411163777</v>
      </c>
      <c r="K29" s="2"/>
      <c r="L29" s="6">
        <f t="shared" si="14"/>
        <v>5498.7376923076899</v>
      </c>
      <c r="M29" s="2"/>
      <c r="N29" s="7">
        <f t="shared" si="15"/>
        <v>1.7115668622051938</v>
      </c>
      <c r="O29" s="11"/>
      <c r="P29" s="6">
        <v>20794.670000000002</v>
      </c>
      <c r="Q29" s="2"/>
      <c r="R29" s="7">
        <f t="shared" si="16"/>
        <v>1.5522360541003346</v>
      </c>
      <c r="S29" s="2"/>
      <c r="T29" s="6">
        <v>10095</v>
      </c>
      <c r="U29" s="2"/>
      <c r="V29" s="7">
        <f t="shared" si="17"/>
        <v>0.29791943337760068</v>
      </c>
      <c r="W29" s="2"/>
      <c r="X29" s="6">
        <f t="shared" si="18"/>
        <v>10699.670000000002</v>
      </c>
      <c r="Y29" s="2"/>
      <c r="Z29" s="7">
        <f t="shared" si="19"/>
        <v>1.0598979692917287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62.52</v>
      </c>
      <c r="E30" s="2"/>
      <c r="F30" s="7">
        <f t="shared" si="12"/>
        <v>7.2047155623930449E-3</v>
      </c>
      <c r="G30" s="2"/>
      <c r="H30" s="6">
        <v>30.118867999999999</v>
      </c>
      <c r="I30" s="2"/>
      <c r="J30" s="7">
        <f t="shared" si="13"/>
        <v>1.4306211941291027E-3</v>
      </c>
      <c r="K30" s="2"/>
      <c r="L30" s="6">
        <f t="shared" si="14"/>
        <v>32.401132000000004</v>
      </c>
      <c r="M30" s="2"/>
      <c r="N30" s="7">
        <f t="shared" si="15"/>
        <v>1.0757752250184172</v>
      </c>
      <c r="O30" s="11"/>
      <c r="P30" s="6">
        <v>166.18</v>
      </c>
      <c r="Q30" s="2"/>
      <c r="R30" s="7">
        <f t="shared" si="16"/>
        <v>1.2404649242829706E-2</v>
      </c>
      <c r="S30" s="2"/>
      <c r="T30" s="6">
        <v>96.781060999999994</v>
      </c>
      <c r="U30" s="2"/>
      <c r="V30" s="7">
        <f t="shared" si="17"/>
        <v>2.8561623432197137E-3</v>
      </c>
      <c r="W30" s="2"/>
      <c r="X30" s="6">
        <f t="shared" si="18"/>
        <v>69.398939000000013</v>
      </c>
      <c r="Y30" s="2"/>
      <c r="Z30" s="7">
        <f t="shared" si="19"/>
        <v>0.71707148364492534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6">
        <v>1527.3</v>
      </c>
      <c r="E31" s="2"/>
      <c r="F31" s="7">
        <f t="shared" si="12"/>
        <v>0.1760038720160412</v>
      </c>
      <c r="G31" s="2"/>
      <c r="H31" s="6">
        <v>434.17788000000002</v>
      </c>
      <c r="I31" s="2"/>
      <c r="J31" s="7">
        <f t="shared" si="13"/>
        <v>2.062308839595307E-2</v>
      </c>
      <c r="K31" s="2"/>
      <c r="L31" s="6">
        <f t="shared" si="14"/>
        <v>1093.12212</v>
      </c>
      <c r="M31" s="2"/>
      <c r="N31" s="7">
        <f t="shared" si="15"/>
        <v>2.5176826603879499</v>
      </c>
      <c r="O31" s="11"/>
      <c r="P31" s="6">
        <v>4139.8500000000004</v>
      </c>
      <c r="Q31" s="2"/>
      <c r="R31" s="7">
        <f t="shared" si="16"/>
        <v>0.30902266920164012</v>
      </c>
      <c r="S31" s="2"/>
      <c r="T31" s="6">
        <v>1411.0781099999999</v>
      </c>
      <c r="U31" s="2"/>
      <c r="V31" s="7">
        <f t="shared" si="17"/>
        <v>4.1643149181053558E-2</v>
      </c>
      <c r="W31" s="2"/>
      <c r="X31" s="6">
        <f t="shared" si="18"/>
        <v>2728.7718900000004</v>
      </c>
      <c r="Y31" s="2"/>
      <c r="Z31" s="7">
        <f t="shared" si="19"/>
        <v>1.9338205806339102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6">
        <v>1539.3</v>
      </c>
      <c r="E33" s="2"/>
      <c r="F33" s="7">
        <f t="shared" si="12"/>
        <v>0.17738673488790169</v>
      </c>
      <c r="G33" s="2"/>
      <c r="H33" s="6">
        <v>417.22899999999998</v>
      </c>
      <c r="I33" s="2"/>
      <c r="J33" s="7">
        <f t="shared" si="13"/>
        <v>1.9818030684463021E-2</v>
      </c>
      <c r="K33" s="2"/>
      <c r="L33" s="6">
        <f t="shared" si="14"/>
        <v>1122.0709999999999</v>
      </c>
      <c r="M33" s="2"/>
      <c r="N33" s="7">
        <f t="shared" si="15"/>
        <v>2.6893408655678295</v>
      </c>
      <c r="O33" s="11"/>
      <c r="P33" s="6">
        <v>3993.71</v>
      </c>
      <c r="Q33" s="2"/>
      <c r="R33" s="7">
        <f t="shared" si="16"/>
        <v>0.29811392302070899</v>
      </c>
      <c r="S33" s="2"/>
      <c r="T33" s="6">
        <v>1355.99425</v>
      </c>
      <c r="U33" s="2"/>
      <c r="V33" s="7">
        <f t="shared" si="17"/>
        <v>4.0017537258373911E-2</v>
      </c>
      <c r="W33" s="2"/>
      <c r="X33" s="6">
        <f t="shared" si="18"/>
        <v>2637.7157500000003</v>
      </c>
      <c r="Y33" s="2"/>
      <c r="Z33" s="7">
        <f t="shared" si="19"/>
        <v>1.9452263532828404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6">
        <v>986.74</v>
      </c>
      <c r="E34" s="2"/>
      <c r="F34" s="7">
        <f t="shared" si="12"/>
        <v>0.11371050918163328</v>
      </c>
      <c r="G34" s="2"/>
      <c r="H34" s="6">
        <v>514.41700000000003</v>
      </c>
      <c r="I34" s="2"/>
      <c r="J34" s="7">
        <f t="shared" si="13"/>
        <v>2.4434379898351781E-2</v>
      </c>
      <c r="K34" s="2"/>
      <c r="L34" s="6">
        <f t="shared" si="14"/>
        <v>472.32299999999998</v>
      </c>
      <c r="M34" s="2"/>
      <c r="N34" s="7">
        <f t="shared" si="15"/>
        <v>0.91817144456734512</v>
      </c>
      <c r="O34" s="11"/>
      <c r="P34" s="6">
        <v>2583.2800000000002</v>
      </c>
      <c r="Q34" s="2"/>
      <c r="R34" s="7">
        <f t="shared" si="16"/>
        <v>0.19283116076553811</v>
      </c>
      <c r="S34" s="2"/>
      <c r="T34" s="6">
        <v>1659.1022499999999</v>
      </c>
      <c r="U34" s="2"/>
      <c r="V34" s="7">
        <f t="shared" si="17"/>
        <v>4.8962734248192412E-2</v>
      </c>
      <c r="W34" s="2"/>
      <c r="X34" s="6">
        <f t="shared" si="18"/>
        <v>924.17775000000029</v>
      </c>
      <c r="Y34" s="2"/>
      <c r="Z34" s="7">
        <f t="shared" si="19"/>
        <v>0.55703483615913385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6">
        <v>666.56</v>
      </c>
      <c r="E35" s="2"/>
      <c r="F35" s="7">
        <f t="shared" si="12"/>
        <v>7.681342298894285E-2</v>
      </c>
      <c r="G35" s="2"/>
      <c r="H35" s="6"/>
      <c r="I35" s="2"/>
      <c r="J35" s="7">
        <f t="shared" si="13"/>
        <v>0</v>
      </c>
      <c r="K35" s="2"/>
      <c r="L35" s="6">
        <f t="shared" si="14"/>
        <v>666.56</v>
      </c>
      <c r="M35" s="2"/>
      <c r="N35" s="7">
        <f t="shared" si="15"/>
        <v>0</v>
      </c>
      <c r="O35" s="11"/>
      <c r="P35" s="6">
        <v>1584.72</v>
      </c>
      <c r="Q35" s="2"/>
      <c r="R35" s="7">
        <f t="shared" si="16"/>
        <v>0.11829278943372903</v>
      </c>
      <c r="S35" s="2"/>
      <c r="T35" s="6"/>
      <c r="U35" s="2"/>
      <c r="V35" s="7">
        <f t="shared" si="17"/>
        <v>0</v>
      </c>
      <c r="W35" s="2"/>
      <c r="X35" s="6">
        <f t="shared" si="18"/>
        <v>1584.72</v>
      </c>
      <c r="Y35" s="2"/>
      <c r="Z35" s="7">
        <f t="shared" si="19"/>
        <v>0</v>
      </c>
    </row>
    <row r="36" spans="1:26" s="28" customFormat="1" outlineLevel="1" collapsed="1" x14ac:dyDescent="0.2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18949.330000000002</v>
      </c>
      <c r="E36" s="1"/>
      <c r="F36" s="5">
        <f t="shared" ref="F36:F46" si="20">IF(D$12=0,0,D36/D$12)</f>
        <v>2.1836937419693121</v>
      </c>
      <c r="G36" s="1"/>
      <c r="H36" s="1">
        <f>SUM(OSRRefH22_1x_0)</f>
        <v>10652.534</v>
      </c>
      <c r="I36" s="1"/>
      <c r="J36" s="5">
        <f t="shared" ref="J36:J46" si="21">IF(H$12=0,0,H36/H$12)</f>
        <v>0.50598651023607089</v>
      </c>
      <c r="K36" s="1"/>
      <c r="L36" s="1">
        <f t="shared" ref="L36:L46" si="22">+D36-H36</f>
        <v>8296.7960000000021</v>
      </c>
      <c r="M36" s="1"/>
      <c r="N36" s="5">
        <f t="shared" ref="N36:N46" si="23">IF(H36=0,0,L36/H36)</f>
        <v>0.77885656126514147</v>
      </c>
      <c r="O36" s="14"/>
      <c r="P36" s="1">
        <f>SUM(OSRRefP22_1x_0)</f>
        <v>55972.209999999992</v>
      </c>
      <c r="Q36" s="1"/>
      <c r="R36" s="5">
        <f t="shared" ref="R36:R46" si="24">IF(P$12=0,0,P36/P$12)</f>
        <v>4.178093828354827</v>
      </c>
      <c r="S36" s="1"/>
      <c r="T36" s="1">
        <f>SUM(OSRRefT22_1x_0)</f>
        <v>34208.388500000001</v>
      </c>
      <c r="U36" s="1"/>
      <c r="V36" s="5">
        <f t="shared" ref="V36:V46" si="25">IF(T$12=0,0,T36/T$12)</f>
        <v>1.009543706654862</v>
      </c>
      <c r="W36" s="1"/>
      <c r="X36" s="1">
        <f t="shared" ref="X36:X46" si="26">+P36-T36</f>
        <v>21763.821499999991</v>
      </c>
      <c r="Y36" s="1"/>
      <c r="Z36" s="5">
        <f t="shared" ref="Z36:Z46" si="27">IF(T36=0,0,X36/T36)</f>
        <v>0.63621300079657339</v>
      </c>
    </row>
    <row r="37" spans="1:26" s="24" customFormat="1" hidden="1" outlineLevel="2" x14ac:dyDescent="0.2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6"/>
      <c r="E37" s="2"/>
      <c r="F37" s="7">
        <f t="shared" si="20"/>
        <v>0</v>
      </c>
      <c r="G37" s="2"/>
      <c r="H37" s="6">
        <v>0</v>
      </c>
      <c r="I37" s="2"/>
      <c r="J37" s="7">
        <f t="shared" si="21"/>
        <v>0</v>
      </c>
      <c r="K37" s="2"/>
      <c r="L37" s="6">
        <f t="shared" si="22"/>
        <v>0</v>
      </c>
      <c r="M37" s="2"/>
      <c r="N37" s="7">
        <f t="shared" si="23"/>
        <v>0</v>
      </c>
      <c r="O37" s="11"/>
      <c r="P37" s="6"/>
      <c r="Q37" s="2"/>
      <c r="R37" s="7">
        <f t="shared" si="24"/>
        <v>0</v>
      </c>
      <c r="S37" s="2"/>
      <c r="T37" s="6">
        <v>0</v>
      </c>
      <c r="U37" s="2"/>
      <c r="V37" s="7">
        <f t="shared" si="25"/>
        <v>0</v>
      </c>
      <c r="W37" s="2"/>
      <c r="X37" s="6">
        <f t="shared" si="26"/>
        <v>0</v>
      </c>
      <c r="Y37" s="2"/>
      <c r="Z37" s="7">
        <f t="shared" si="27"/>
        <v>0</v>
      </c>
    </row>
    <row r="38" spans="1:26" s="24" customFormat="1" hidden="1" outlineLevel="2" x14ac:dyDescent="0.25">
      <c r="A38" s="29"/>
      <c r="B38" s="11" t="str">
        <f>CONCATENATE("          ", "6002", " - ", "STAFF SALARIES")</f>
        <v xml:space="preserve">          6002 - STAFF SALARIES</v>
      </c>
      <c r="C38" s="11"/>
      <c r="D38" s="6">
        <v>15148.26</v>
      </c>
      <c r="E38" s="2"/>
      <c r="F38" s="7">
        <f t="shared" si="20"/>
        <v>1.7456638606074226</v>
      </c>
      <c r="G38" s="2"/>
      <c r="H38" s="6">
        <v>4543.7219999999998</v>
      </c>
      <c r="I38" s="2"/>
      <c r="J38" s="7">
        <f t="shared" si="21"/>
        <v>0.21582301809718329</v>
      </c>
      <c r="K38" s="2"/>
      <c r="L38" s="6">
        <f t="shared" si="22"/>
        <v>10604.538</v>
      </c>
      <c r="M38" s="2"/>
      <c r="N38" s="7">
        <f t="shared" si="23"/>
        <v>2.3338879447290131</v>
      </c>
      <c r="O38" s="11"/>
      <c r="P38" s="6">
        <v>43020.84</v>
      </c>
      <c r="Q38" s="2"/>
      <c r="R38" s="7">
        <f t="shared" si="24"/>
        <v>3.2113276587549517</v>
      </c>
      <c r="S38" s="2"/>
      <c r="T38" s="6">
        <v>14767.096500000001</v>
      </c>
      <c r="U38" s="2"/>
      <c r="V38" s="7">
        <f t="shared" si="25"/>
        <v>0.43580039840637452</v>
      </c>
      <c r="W38" s="2"/>
      <c r="X38" s="6">
        <f t="shared" si="26"/>
        <v>28253.743499999997</v>
      </c>
      <c r="Y38" s="2"/>
      <c r="Z38" s="7">
        <f t="shared" si="27"/>
        <v>1.9132903682182882</v>
      </c>
    </row>
    <row r="39" spans="1:26" s="24" customFormat="1" hidden="1" outlineLevel="2" x14ac:dyDescent="0.25">
      <c r="A39" s="29"/>
      <c r="B39" s="11" t="str">
        <f>CONCATENATE("          ", "6003", " - ", "STAFF HOURLY-9 MONTH")</f>
        <v xml:space="preserve">          6003 - STAFF HOURLY-9 MONTH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6">
        <v>3115.4</v>
      </c>
      <c r="E40" s="2"/>
      <c r="F40" s="7">
        <f t="shared" si="20"/>
        <v>0.35901424924950881</v>
      </c>
      <c r="G40" s="2"/>
      <c r="H40" s="6">
        <v>2966.4</v>
      </c>
      <c r="I40" s="2"/>
      <c r="J40" s="7">
        <f t="shared" si="21"/>
        <v>0.1409015342231511</v>
      </c>
      <c r="K40" s="2"/>
      <c r="L40" s="6">
        <f t="shared" si="22"/>
        <v>149</v>
      </c>
      <c r="M40" s="2"/>
      <c r="N40" s="7">
        <f t="shared" si="23"/>
        <v>5.0229234088457385E-2</v>
      </c>
      <c r="O40" s="11"/>
      <c r="P40" s="6">
        <v>10705.6</v>
      </c>
      <c r="Q40" s="2"/>
      <c r="R40" s="7">
        <f t="shared" si="24"/>
        <v>0.79912873350606384</v>
      </c>
      <c r="S40" s="2"/>
      <c r="T40" s="6">
        <v>9640.7999999999993</v>
      </c>
      <c r="U40" s="2"/>
      <c r="V40" s="7">
        <f t="shared" si="25"/>
        <v>0.28451527224435591</v>
      </c>
      <c r="W40" s="2"/>
      <c r="X40" s="6">
        <f t="shared" si="26"/>
        <v>1064.8000000000011</v>
      </c>
      <c r="Y40" s="2"/>
      <c r="Z40" s="7">
        <f t="shared" si="27"/>
        <v>0.11044726578707173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6">
        <v>1266.67</v>
      </c>
      <c r="E41" s="2"/>
      <c r="F41" s="7">
        <f t="shared" si="20"/>
        <v>0.14596924282495838</v>
      </c>
      <c r="G41" s="2"/>
      <c r="H41" s="6">
        <v>1452.672</v>
      </c>
      <c r="I41" s="2"/>
      <c r="J41" s="7">
        <f t="shared" si="21"/>
        <v>6.9000712487531465E-2</v>
      </c>
      <c r="K41" s="2"/>
      <c r="L41" s="6">
        <f t="shared" si="22"/>
        <v>-186.00199999999995</v>
      </c>
      <c r="M41" s="2"/>
      <c r="N41" s="7">
        <f t="shared" si="23"/>
        <v>-0.12804129218433338</v>
      </c>
      <c r="O41" s="11"/>
      <c r="P41" s="6">
        <v>1421.77</v>
      </c>
      <c r="Q41" s="2"/>
      <c r="R41" s="7">
        <f t="shared" si="24"/>
        <v>0.10612924632313148</v>
      </c>
      <c r="S41" s="2"/>
      <c r="T41" s="6">
        <v>5160.0119999999997</v>
      </c>
      <c r="U41" s="2"/>
      <c r="V41" s="7">
        <f t="shared" si="25"/>
        <v>0.15228012394864984</v>
      </c>
      <c r="W41" s="2"/>
      <c r="X41" s="6">
        <f t="shared" si="26"/>
        <v>-3738.2419999999997</v>
      </c>
      <c r="Y41" s="2"/>
      <c r="Z41" s="7">
        <f t="shared" si="27"/>
        <v>-0.72446381907638968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6">
        <v>-581</v>
      </c>
      <c r="E43" s="2"/>
      <c r="F43" s="7">
        <f t="shared" si="20"/>
        <v>-6.6953610712577716E-2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-581</v>
      </c>
      <c r="M43" s="2"/>
      <c r="N43" s="7">
        <f t="shared" si="23"/>
        <v>0</v>
      </c>
      <c r="O43" s="11"/>
      <c r="P43" s="6">
        <v>824</v>
      </c>
      <c r="Q43" s="2"/>
      <c r="R43" s="7">
        <f t="shared" si="24"/>
        <v>6.1508189770680448E-2</v>
      </c>
      <c r="S43" s="2"/>
      <c r="T43" s="6">
        <v>2446.34</v>
      </c>
      <c r="U43" s="2"/>
      <c r="V43" s="7">
        <f t="shared" si="25"/>
        <v>7.2195366681422457E-2</v>
      </c>
      <c r="W43" s="2"/>
      <c r="X43" s="6">
        <f t="shared" si="26"/>
        <v>-1622.3400000000001</v>
      </c>
      <c r="Y43" s="2"/>
      <c r="Z43" s="7">
        <f t="shared" si="27"/>
        <v>-0.66317028704104908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6"/>
      <c r="E44" s="2"/>
      <c r="F44" s="7">
        <f t="shared" si="20"/>
        <v>0</v>
      </c>
      <c r="G44" s="2"/>
      <c r="H44" s="6">
        <v>1689.74</v>
      </c>
      <c r="I44" s="2"/>
      <c r="J44" s="7">
        <f t="shared" si="21"/>
        <v>8.0261245428205008E-2</v>
      </c>
      <c r="K44" s="2"/>
      <c r="L44" s="6">
        <f t="shared" si="22"/>
        <v>-1689.74</v>
      </c>
      <c r="M44" s="2"/>
      <c r="N44" s="7">
        <f t="shared" si="23"/>
        <v>-1</v>
      </c>
      <c r="O44" s="11"/>
      <c r="P44" s="6"/>
      <c r="Q44" s="2"/>
      <c r="R44" s="7">
        <f t="shared" si="24"/>
        <v>0</v>
      </c>
      <c r="S44" s="2"/>
      <c r="T44" s="6">
        <v>2194.14</v>
      </c>
      <c r="U44" s="2"/>
      <c r="V44" s="7">
        <f t="shared" si="25"/>
        <v>6.475254537405932E-2</v>
      </c>
      <c r="W44" s="2"/>
      <c r="X44" s="6">
        <f t="shared" si="26"/>
        <v>-2194.14</v>
      </c>
      <c r="Y44" s="2"/>
      <c r="Z44" s="7">
        <f t="shared" si="27"/>
        <v>-1</v>
      </c>
    </row>
    <row r="45" spans="1:26" s="24" customFormat="1" hidden="1" outlineLevel="2" x14ac:dyDescent="0.25">
      <c r="A45" s="29"/>
      <c r="B45" s="11" t="str">
        <f>CONCATENATE("          ", "6009", " - ", "TEMPORARY-SEASONAL")</f>
        <v xml:space="preserve">          6009 - TEMPORARY-SEASONAL</v>
      </c>
      <c r="C45" s="11"/>
      <c r="D45" s="6"/>
      <c r="E45" s="2"/>
      <c r="F45" s="7">
        <f t="shared" si="20"/>
        <v>0</v>
      </c>
      <c r="G45" s="2"/>
      <c r="H45" s="6">
        <v>0</v>
      </c>
      <c r="I45" s="2"/>
      <c r="J45" s="7">
        <f t="shared" si="21"/>
        <v>0</v>
      </c>
      <c r="K45" s="2"/>
      <c r="L45" s="6">
        <f t="shared" si="22"/>
        <v>0</v>
      </c>
      <c r="M45" s="2"/>
      <c r="N45" s="7">
        <f t="shared" si="23"/>
        <v>0</v>
      </c>
      <c r="O45" s="11"/>
      <c r="P45" s="6"/>
      <c r="Q45" s="2"/>
      <c r="R45" s="7">
        <f t="shared" si="24"/>
        <v>0</v>
      </c>
      <c r="S45" s="2"/>
      <c r="T45" s="6">
        <v>0</v>
      </c>
      <c r="U45" s="2"/>
      <c r="V45" s="7">
        <f t="shared" si="25"/>
        <v>0</v>
      </c>
      <c r="W45" s="2"/>
      <c r="X45" s="6">
        <f t="shared" si="26"/>
        <v>0</v>
      </c>
      <c r="Y45" s="2"/>
      <c r="Z45" s="7">
        <f t="shared" si="27"/>
        <v>0</v>
      </c>
    </row>
    <row r="46" spans="1:26" s="24" customFormat="1" hidden="1" outlineLevel="2" x14ac:dyDescent="0.25">
      <c r="A46" s="29"/>
      <c r="B46" s="11" t="str">
        <f>CONCATENATE("          ", "6010", " - ", "GRATUITY")</f>
        <v xml:space="preserve">          6010 - GRATUITY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8" customFormat="1" outlineLevel="1" collapsed="1" x14ac:dyDescent="0.25">
      <c r="A47" s="27"/>
      <c r="B47" s="14" t="str">
        <f>CONCATENATE("     ","Advertising/Promo                                 ")</f>
        <v xml:space="preserve">     Advertising/Promo                                 </v>
      </c>
      <c r="C47" s="14"/>
      <c r="D47" s="1">
        <f>SUM(OSRRefD22_2x_0)</f>
        <v>49.61</v>
      </c>
      <c r="E47" s="1"/>
      <c r="F47" s="5">
        <f t="shared" ref="F47:F55" si="28">IF(D$12=0,0,D47/D$12)</f>
        <v>5.7169855894164895E-3</v>
      </c>
      <c r="G47" s="1"/>
      <c r="H47" s="1">
        <f>SUM(OSRRefH22_2x_0)</f>
        <v>13</v>
      </c>
      <c r="I47" s="1"/>
      <c r="J47" s="5">
        <f t="shared" ref="J47:J55" si="29">IF(H$12=0,0,H47/H$12)</f>
        <v>6.1748919393910602E-4</v>
      </c>
      <c r="K47" s="1"/>
      <c r="L47" s="1">
        <f t="shared" ref="L47:L55" si="30">+D47-H47</f>
        <v>36.61</v>
      </c>
      <c r="M47" s="1"/>
      <c r="N47" s="5">
        <f t="shared" ref="N47:N55" si="31">IF(H47=0,0,L47/H47)</f>
        <v>2.816153846153846</v>
      </c>
      <c r="O47" s="14"/>
      <c r="P47" s="1">
        <f>SUM(OSRRefP22_2x_0)</f>
        <v>95.58</v>
      </c>
      <c r="Q47" s="1"/>
      <c r="R47" s="5">
        <f t="shared" ref="R47:R55" si="32">IF(P$12=0,0,P47/P$12)</f>
        <v>7.1346514299534432E-3</v>
      </c>
      <c r="S47" s="1"/>
      <c r="T47" s="1">
        <f>SUM(OSRRefT22_2x_0)</f>
        <v>1913</v>
      </c>
      <c r="U47" s="1"/>
      <c r="V47" s="5">
        <f t="shared" ref="V47:V55" si="33">IF(T$12=0,0,T47/T$12)</f>
        <v>5.6455658846097094E-2</v>
      </c>
      <c r="W47" s="1"/>
      <c r="X47" s="1">
        <f t="shared" ref="X47:X55" si="34">+P47-T47</f>
        <v>-1817.42</v>
      </c>
      <c r="Y47" s="1"/>
      <c r="Z47" s="5">
        <f t="shared" ref="Z47:Z55" si="35">IF(T47=0,0,X47/T47)</f>
        <v>-0.95003659174072141</v>
      </c>
    </row>
    <row r="48" spans="1:26" s="24" customFormat="1" hidden="1" outlineLevel="2" x14ac:dyDescent="0.25">
      <c r="A48" s="29"/>
      <c r="B48" s="11" t="str">
        <f>CONCATENATE("          ", "6362", " - ", "ADVERTISING EXPENSE")</f>
        <v xml:space="preserve">          6362 - ADVERTISING EXPENSE</v>
      </c>
      <c r="C48" s="11"/>
      <c r="D48" s="6">
        <v>49.61</v>
      </c>
      <c r="E48" s="2"/>
      <c r="F48" s="7">
        <f t="shared" si="28"/>
        <v>5.7169855894164895E-3</v>
      </c>
      <c r="G48" s="2"/>
      <c r="H48" s="6">
        <v>13</v>
      </c>
      <c r="I48" s="2"/>
      <c r="J48" s="7">
        <f t="shared" si="29"/>
        <v>6.1748919393910602E-4</v>
      </c>
      <c r="K48" s="2"/>
      <c r="L48" s="6">
        <f t="shared" si="30"/>
        <v>36.61</v>
      </c>
      <c r="M48" s="2"/>
      <c r="N48" s="7">
        <f t="shared" si="31"/>
        <v>2.816153846153846</v>
      </c>
      <c r="O48" s="11"/>
      <c r="P48" s="6">
        <v>95.58</v>
      </c>
      <c r="Q48" s="2"/>
      <c r="R48" s="7">
        <f t="shared" si="32"/>
        <v>7.1346514299534432E-3</v>
      </c>
      <c r="S48" s="2"/>
      <c r="T48" s="6">
        <v>1913</v>
      </c>
      <c r="U48" s="2"/>
      <c r="V48" s="7">
        <f t="shared" si="33"/>
        <v>5.6455658846097094E-2</v>
      </c>
      <c r="W48" s="2"/>
      <c r="X48" s="6">
        <f t="shared" si="34"/>
        <v>-1817.42</v>
      </c>
      <c r="Y48" s="2"/>
      <c r="Z48" s="7">
        <f t="shared" si="35"/>
        <v>-0.95003659174072141</v>
      </c>
    </row>
    <row r="49" spans="1:26" s="28" customFormat="1" outlineLevel="1" collapsed="1" x14ac:dyDescent="0.25">
      <c r="A49" s="27"/>
      <c r="B49" s="14" t="str">
        <f>CONCATENATE("     ","Bad Debts/Over/Short                              ")</f>
        <v xml:space="preserve">     Bad Debts/Over/Short                              </v>
      </c>
      <c r="C49" s="14"/>
      <c r="D49" s="1">
        <f>SUM(OSRRefD22_3x_0)</f>
        <v>-193.38</v>
      </c>
      <c r="E49" s="1"/>
      <c r="F49" s="5">
        <f t="shared" si="28"/>
        <v>-2.2284835180031461E-2</v>
      </c>
      <c r="G49" s="1"/>
      <c r="H49" s="1">
        <f>SUM(OSRRefH22_3x_0)</f>
        <v>5</v>
      </c>
      <c r="I49" s="1"/>
      <c r="J49" s="5">
        <f t="shared" si="29"/>
        <v>2.374958438227331E-4</v>
      </c>
      <c r="K49" s="1"/>
      <c r="L49" s="1">
        <f t="shared" si="30"/>
        <v>-198.38</v>
      </c>
      <c r="M49" s="1"/>
      <c r="N49" s="5">
        <f t="shared" si="31"/>
        <v>-39.676000000000002</v>
      </c>
      <c r="O49" s="14"/>
      <c r="P49" s="1">
        <f>SUM(OSRRefP22_3x_0)</f>
        <v>-193.52</v>
      </c>
      <c r="Q49" s="1"/>
      <c r="R49" s="5">
        <f t="shared" si="32"/>
        <v>-1.4445467092745244E-2</v>
      </c>
      <c r="S49" s="1"/>
      <c r="T49" s="1">
        <f>SUM(OSRRefT22_3x_0)</f>
        <v>25</v>
      </c>
      <c r="U49" s="1"/>
      <c r="V49" s="5">
        <f t="shared" si="33"/>
        <v>7.3778958241109633E-4</v>
      </c>
      <c r="W49" s="1"/>
      <c r="X49" s="1">
        <f t="shared" si="34"/>
        <v>-218.52</v>
      </c>
      <c r="Y49" s="1"/>
      <c r="Z49" s="5">
        <f t="shared" si="35"/>
        <v>-8.7408000000000001</v>
      </c>
    </row>
    <row r="50" spans="1:26" s="24" customFormat="1" hidden="1" outlineLevel="2" x14ac:dyDescent="0.25">
      <c r="A50" s="29"/>
      <c r="B50" s="11" t="str">
        <f>CONCATENATE("          ", "6272", " - ", "CASH (OVER/SHORT)")</f>
        <v xml:space="preserve">          6272 - CASH (OVER/SHORT)</v>
      </c>
      <c r="C50" s="11"/>
      <c r="D50" s="6">
        <v>-193.38</v>
      </c>
      <c r="E50" s="2"/>
      <c r="F50" s="7">
        <f t="shared" si="28"/>
        <v>-2.2284835180031461E-2</v>
      </c>
      <c r="G50" s="2"/>
      <c r="H50" s="6">
        <v>5</v>
      </c>
      <c r="I50" s="2"/>
      <c r="J50" s="7">
        <f t="shared" si="29"/>
        <v>2.374958438227331E-4</v>
      </c>
      <c r="K50" s="2"/>
      <c r="L50" s="6">
        <f t="shared" si="30"/>
        <v>-198.38</v>
      </c>
      <c r="M50" s="2"/>
      <c r="N50" s="7">
        <f t="shared" si="31"/>
        <v>-39.676000000000002</v>
      </c>
      <c r="O50" s="11"/>
      <c r="P50" s="6">
        <v>-193.52</v>
      </c>
      <c r="Q50" s="2"/>
      <c r="R50" s="7">
        <f t="shared" si="32"/>
        <v>-1.4445467092745244E-2</v>
      </c>
      <c r="S50" s="2"/>
      <c r="T50" s="6">
        <v>25</v>
      </c>
      <c r="U50" s="2"/>
      <c r="V50" s="7">
        <f t="shared" si="33"/>
        <v>7.3778958241109633E-4</v>
      </c>
      <c r="W50" s="2"/>
      <c r="X50" s="6">
        <f t="shared" si="34"/>
        <v>-218.52</v>
      </c>
      <c r="Y50" s="2"/>
      <c r="Z50" s="7">
        <f t="shared" si="35"/>
        <v>-8.7408000000000001</v>
      </c>
    </row>
    <row r="51" spans="1:26" s="28" customFormat="1" outlineLevel="1" collapsed="1" x14ac:dyDescent="0.25">
      <c r="A51" s="27"/>
      <c r="B51" s="14" t="str">
        <f>CONCATENATE("     ","Bank/card Fees                                    ")</f>
        <v xml:space="preserve">     Bank/card Fees                                    </v>
      </c>
      <c r="C51" s="14"/>
      <c r="D51" s="1">
        <f>SUM(OSRRefD22_4x_0)</f>
        <v>64.25</v>
      </c>
      <c r="E51" s="1"/>
      <c r="F51" s="5">
        <f t="shared" si="28"/>
        <v>7.4040782930862624E-3</v>
      </c>
      <c r="G51" s="1"/>
      <c r="H51" s="1">
        <f>SUM(OSRRefH22_4x_0)</f>
        <v>3924</v>
      </c>
      <c r="I51" s="1"/>
      <c r="J51" s="5">
        <f t="shared" si="29"/>
        <v>0.18638673823208093</v>
      </c>
      <c r="K51" s="1"/>
      <c r="L51" s="1">
        <f t="shared" si="30"/>
        <v>-3859.75</v>
      </c>
      <c r="M51" s="1"/>
      <c r="N51" s="5">
        <f t="shared" si="31"/>
        <v>-0.9836264016309888</v>
      </c>
      <c r="O51" s="14"/>
      <c r="P51" s="1">
        <f>SUM(OSRRefP22_4x_0)</f>
        <v>65.510000000000005</v>
      </c>
      <c r="Q51" s="1"/>
      <c r="R51" s="5">
        <f t="shared" si="32"/>
        <v>4.8900503784918403E-3</v>
      </c>
      <c r="S51" s="1"/>
      <c r="T51" s="1">
        <f>SUM(OSRRefT22_4x_0)</f>
        <v>6392</v>
      </c>
      <c r="U51" s="1"/>
      <c r="V51" s="5">
        <f t="shared" si="33"/>
        <v>0.18863804043086912</v>
      </c>
      <c r="W51" s="1"/>
      <c r="X51" s="1">
        <f t="shared" si="34"/>
        <v>-6326.49</v>
      </c>
      <c r="Y51" s="1"/>
      <c r="Z51" s="5">
        <f t="shared" si="35"/>
        <v>-0.98975125156445554</v>
      </c>
    </row>
    <row r="52" spans="1:26" s="24" customFormat="1" hidden="1" outlineLevel="2" x14ac:dyDescent="0.25">
      <c r="A52" s="29"/>
      <c r="B52" s="11" t="str">
        <f>CONCATENATE("          ", "6381", " - ", "BANK/CREDIT CARD FEES")</f>
        <v xml:space="preserve">          6381 - BANK/CREDIT CARD FEES</v>
      </c>
      <c r="C52" s="11"/>
      <c r="D52" s="6">
        <v>64.25</v>
      </c>
      <c r="E52" s="2"/>
      <c r="F52" s="7">
        <f t="shared" si="28"/>
        <v>7.4040782930862624E-3</v>
      </c>
      <c r="G52" s="2"/>
      <c r="H52" s="6">
        <v>3924</v>
      </c>
      <c r="I52" s="2"/>
      <c r="J52" s="7">
        <f t="shared" si="29"/>
        <v>0.18638673823208093</v>
      </c>
      <c r="K52" s="2"/>
      <c r="L52" s="6">
        <f t="shared" si="30"/>
        <v>-3859.75</v>
      </c>
      <c r="M52" s="2"/>
      <c r="N52" s="7">
        <f t="shared" si="31"/>
        <v>-0.9836264016309888</v>
      </c>
      <c r="O52" s="11"/>
      <c r="P52" s="6">
        <v>65.510000000000005</v>
      </c>
      <c r="Q52" s="2"/>
      <c r="R52" s="7">
        <f t="shared" si="32"/>
        <v>4.8900503784918403E-3</v>
      </c>
      <c r="S52" s="2"/>
      <c r="T52" s="6">
        <v>6392</v>
      </c>
      <c r="U52" s="2"/>
      <c r="V52" s="7">
        <f t="shared" si="33"/>
        <v>0.18863804043086912</v>
      </c>
      <c r="W52" s="2"/>
      <c r="X52" s="6">
        <f t="shared" si="34"/>
        <v>-6326.49</v>
      </c>
      <c r="Y52" s="2"/>
      <c r="Z52" s="7">
        <f t="shared" si="35"/>
        <v>-0.98975125156445554</v>
      </c>
    </row>
    <row r="53" spans="1:26" s="28" customFormat="1" outlineLevel="1" collapsed="1" x14ac:dyDescent="0.25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SUM(OSRRefD22_5x_0)</f>
        <v>13959.7</v>
      </c>
      <c r="E53" s="1"/>
      <c r="F53" s="5">
        <f t="shared" si="28"/>
        <v>1.6086959026925494</v>
      </c>
      <c r="G53" s="1"/>
      <c r="H53" s="1">
        <f>SUM(OSRRefH22_5x_0)</f>
        <v>13687</v>
      </c>
      <c r="I53" s="1"/>
      <c r="J53" s="5">
        <f t="shared" si="29"/>
        <v>0.65012112288034962</v>
      </c>
      <c r="K53" s="1"/>
      <c r="L53" s="1">
        <f t="shared" si="30"/>
        <v>272.70000000000073</v>
      </c>
      <c r="M53" s="1"/>
      <c r="N53" s="5">
        <f t="shared" si="31"/>
        <v>1.9924015489150342E-2</v>
      </c>
      <c r="O53" s="14"/>
      <c r="P53" s="1">
        <f>SUM(OSRRefP22_5x_0)</f>
        <v>41614.879999999997</v>
      </c>
      <c r="Q53" s="1"/>
      <c r="R53" s="5">
        <f t="shared" si="32"/>
        <v>3.1063785635001144</v>
      </c>
      <c r="S53" s="1"/>
      <c r="T53" s="1">
        <f>SUM(OSRRefT22_5x_0)</f>
        <v>41061</v>
      </c>
      <c r="U53" s="1"/>
      <c r="V53" s="5">
        <f t="shared" si="33"/>
        <v>1.211775121735281</v>
      </c>
      <c r="W53" s="1"/>
      <c r="X53" s="1">
        <f t="shared" si="34"/>
        <v>553.87999999999738</v>
      </c>
      <c r="Y53" s="1"/>
      <c r="Z53" s="5">
        <f t="shared" si="35"/>
        <v>1.3489198996614729E-2</v>
      </c>
    </row>
    <row r="54" spans="1:26" s="24" customFormat="1" hidden="1" outlineLevel="2" x14ac:dyDescent="0.25">
      <c r="A54" s="29"/>
      <c r="B54" s="11" t="str">
        <f>CONCATENATE("          ", "6321", " - ", "BUILDING DEPRECIATION")</f>
        <v xml:space="preserve">          6321 - BUILDING DEPRECIATION</v>
      </c>
      <c r="C54" s="11"/>
      <c r="D54" s="6">
        <v>10597.26</v>
      </c>
      <c r="E54" s="2"/>
      <c r="F54" s="7">
        <f t="shared" si="28"/>
        <v>1.2212131164543396</v>
      </c>
      <c r="G54" s="2"/>
      <c r="H54" s="6"/>
      <c r="I54" s="2"/>
      <c r="J54" s="7">
        <f t="shared" si="29"/>
        <v>0</v>
      </c>
      <c r="K54" s="2"/>
      <c r="L54" s="6">
        <f t="shared" si="30"/>
        <v>10597.26</v>
      </c>
      <c r="M54" s="2"/>
      <c r="N54" s="7">
        <f t="shared" si="31"/>
        <v>0</v>
      </c>
      <c r="O54" s="11"/>
      <c r="P54" s="6">
        <v>31791.779999999995</v>
      </c>
      <c r="Q54" s="2"/>
      <c r="R54" s="7">
        <f t="shared" si="32"/>
        <v>2.3731248026550036</v>
      </c>
      <c r="S54" s="2"/>
      <c r="T54" s="6"/>
      <c r="U54" s="2"/>
      <c r="V54" s="7">
        <f t="shared" si="33"/>
        <v>0</v>
      </c>
      <c r="W54" s="2"/>
      <c r="X54" s="6">
        <f t="shared" si="34"/>
        <v>31791.779999999995</v>
      </c>
      <c r="Y54" s="2"/>
      <c r="Z54" s="7">
        <f t="shared" si="35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3362.44</v>
      </c>
      <c r="E55" s="2"/>
      <c r="F55" s="7">
        <f t="shared" si="28"/>
        <v>0.3874827862382097</v>
      </c>
      <c r="G55" s="2"/>
      <c r="H55" s="6">
        <v>13687</v>
      </c>
      <c r="I55" s="2"/>
      <c r="J55" s="7">
        <f t="shared" si="29"/>
        <v>0.65012112288034962</v>
      </c>
      <c r="K55" s="2"/>
      <c r="L55" s="6">
        <f t="shared" si="30"/>
        <v>-10324.56</v>
      </c>
      <c r="M55" s="2"/>
      <c r="N55" s="7">
        <f t="shared" si="31"/>
        <v>-0.75433330897932338</v>
      </c>
      <c r="O55" s="11"/>
      <c r="P55" s="6">
        <v>9823.1</v>
      </c>
      <c r="Q55" s="2"/>
      <c r="R55" s="7">
        <f t="shared" si="32"/>
        <v>0.73325376084511062</v>
      </c>
      <c r="S55" s="2"/>
      <c r="T55" s="6">
        <v>41061</v>
      </c>
      <c r="U55" s="2"/>
      <c r="V55" s="7">
        <f t="shared" si="33"/>
        <v>1.211775121735281</v>
      </c>
      <c r="W55" s="2"/>
      <c r="X55" s="6">
        <f t="shared" si="34"/>
        <v>-31237.9</v>
      </c>
      <c r="Y55" s="2"/>
      <c r="Z55" s="7">
        <f t="shared" si="35"/>
        <v>-0.76076812547185901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SUM(OSRRefD22_6x_0)</f>
        <v>0</v>
      </c>
      <c r="E56" s="1"/>
      <c r="F56" s="5">
        <f t="shared" ref="F56:F66" si="36">IF(D$12=0,0,D56/D$12)</f>
        <v>0</v>
      </c>
      <c r="G56" s="1"/>
      <c r="H56" s="1">
        <f>SUM(OSRRefH22_6x_0)</f>
        <v>57</v>
      </c>
      <c r="I56" s="1"/>
      <c r="J56" s="5">
        <f t="shared" ref="J56:J66" si="37">IF(H$12=0,0,H56/H$12)</f>
        <v>2.7074526195791575E-3</v>
      </c>
      <c r="K56" s="1"/>
      <c r="L56" s="1">
        <f t="shared" ref="L56:L66" si="38">+D56-H56</f>
        <v>-57</v>
      </c>
      <c r="M56" s="1"/>
      <c r="N56" s="5">
        <f t="shared" ref="N56:N66" si="39">IF(H56=0,0,L56/H56)</f>
        <v>-1</v>
      </c>
      <c r="O56" s="14"/>
      <c r="P56" s="1">
        <f>SUM(OSRRefP22_6x_0)</f>
        <v>178.15</v>
      </c>
      <c r="Q56" s="1"/>
      <c r="R56" s="5">
        <f t="shared" ref="R56:R66" si="40">IF(P$12=0,0,P56/P$12)</f>
        <v>1.329816020345476E-2</v>
      </c>
      <c r="S56" s="1"/>
      <c r="T56" s="1">
        <f>SUM(OSRRefT22_6x_0)</f>
        <v>349</v>
      </c>
      <c r="U56" s="1"/>
      <c r="V56" s="5">
        <f t="shared" ref="V56:V66" si="41">IF(T$12=0,0,T56/T$12)</f>
        <v>1.0299542570458906E-2</v>
      </c>
      <c r="W56" s="1"/>
      <c r="X56" s="1">
        <f t="shared" ref="X56:X66" si="42">+P56-T56</f>
        <v>-170.85</v>
      </c>
      <c r="Y56" s="1"/>
      <c r="Z56" s="5">
        <f t="shared" ref="Z56:Z66" si="43">IF(T56=0,0,X56/T56)</f>
        <v>-0.48954154727793697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6"/>
      <c r="E57" s="2"/>
      <c r="F57" s="7">
        <f t="shared" si="36"/>
        <v>0</v>
      </c>
      <c r="G57" s="2"/>
      <c r="H57" s="6">
        <v>57</v>
      </c>
      <c r="I57" s="2"/>
      <c r="J57" s="7">
        <f t="shared" si="37"/>
        <v>2.7074526195791575E-3</v>
      </c>
      <c r="K57" s="2"/>
      <c r="L57" s="6">
        <f t="shared" si="38"/>
        <v>-57</v>
      </c>
      <c r="M57" s="2"/>
      <c r="N57" s="7">
        <f t="shared" si="39"/>
        <v>-1</v>
      </c>
      <c r="O57" s="11"/>
      <c r="P57" s="6">
        <v>178.15</v>
      </c>
      <c r="Q57" s="2"/>
      <c r="R57" s="7">
        <f t="shared" si="40"/>
        <v>1.329816020345476E-2</v>
      </c>
      <c r="S57" s="2"/>
      <c r="T57" s="6">
        <v>349</v>
      </c>
      <c r="U57" s="2"/>
      <c r="V57" s="7">
        <f t="shared" si="41"/>
        <v>1.0299542570458906E-2</v>
      </c>
      <c r="W57" s="2"/>
      <c r="X57" s="6">
        <f t="shared" si="42"/>
        <v>-170.85</v>
      </c>
      <c r="Y57" s="2"/>
      <c r="Z57" s="7">
        <f t="shared" si="43"/>
        <v>-0.48954154727793697</v>
      </c>
    </row>
    <row r="58" spans="1:26" s="28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SUM(OSRRefD22_7x_0)</f>
        <v>550.52</v>
      </c>
      <c r="E58" s="1"/>
      <c r="F58" s="5">
        <f t="shared" si="36"/>
        <v>6.3441139018052123E-2</v>
      </c>
      <c r="G58" s="1"/>
      <c r="H58" s="1">
        <f>SUM(OSRRefH22_7x_0)</f>
        <v>0</v>
      </c>
      <c r="I58" s="1"/>
      <c r="J58" s="5">
        <f t="shared" si="37"/>
        <v>0</v>
      </c>
      <c r="K58" s="1"/>
      <c r="L58" s="1">
        <f t="shared" si="38"/>
        <v>550.52</v>
      </c>
      <c r="M58" s="1"/>
      <c r="N58" s="5">
        <f t="shared" si="39"/>
        <v>0</v>
      </c>
      <c r="O58" s="14"/>
      <c r="P58" s="1">
        <f>SUM(OSRRefP22_7x_0)</f>
        <v>1955.07</v>
      </c>
      <c r="Q58" s="1"/>
      <c r="R58" s="5">
        <f t="shared" si="40"/>
        <v>0.14593788419291776</v>
      </c>
      <c r="S58" s="1"/>
      <c r="T58" s="1">
        <f>SUM(OSRRefT22_7x_0)</f>
        <v>1355</v>
      </c>
      <c r="U58" s="1"/>
      <c r="V58" s="5">
        <f t="shared" si="41"/>
        <v>3.9988195366681425E-2</v>
      </c>
      <c r="W58" s="1"/>
      <c r="X58" s="1">
        <f t="shared" si="42"/>
        <v>600.06999999999994</v>
      </c>
      <c r="Y58" s="1"/>
      <c r="Z58" s="5">
        <f t="shared" si="43"/>
        <v>0.44285608856088554</v>
      </c>
    </row>
    <row r="59" spans="1:26" s="24" customFormat="1" hidden="1" outlineLevel="2" x14ac:dyDescent="0.25">
      <c r="A59" s="29"/>
      <c r="B59" s="11" t="str">
        <f>CONCATENATE("          ", "6279", " - ", "GENERAL EXPENSE")</f>
        <v xml:space="preserve">          6279 - GENERAL EXPENSE</v>
      </c>
      <c r="C59" s="11"/>
      <c r="D59" s="6">
        <v>550.52</v>
      </c>
      <c r="E59" s="2"/>
      <c r="F59" s="7">
        <f t="shared" si="36"/>
        <v>6.3441139018052123E-2</v>
      </c>
      <c r="G59" s="2"/>
      <c r="H59" s="6">
        <v>0</v>
      </c>
      <c r="I59" s="2"/>
      <c r="J59" s="7">
        <f t="shared" si="37"/>
        <v>0</v>
      </c>
      <c r="K59" s="2"/>
      <c r="L59" s="6">
        <f t="shared" si="38"/>
        <v>550.52</v>
      </c>
      <c r="M59" s="2"/>
      <c r="N59" s="7">
        <f t="shared" si="39"/>
        <v>0</v>
      </c>
      <c r="O59" s="11"/>
      <c r="P59" s="6">
        <v>1955.07</v>
      </c>
      <c r="Q59" s="2"/>
      <c r="R59" s="7">
        <f t="shared" si="40"/>
        <v>0.14593788419291776</v>
      </c>
      <c r="S59" s="2"/>
      <c r="T59" s="6">
        <v>1355</v>
      </c>
      <c r="U59" s="2"/>
      <c r="V59" s="7">
        <f t="shared" si="41"/>
        <v>3.9988195366681425E-2</v>
      </c>
      <c r="W59" s="2"/>
      <c r="X59" s="6">
        <f t="shared" si="42"/>
        <v>600.06999999999994</v>
      </c>
      <c r="Y59" s="2"/>
      <c r="Z59" s="7">
        <f t="shared" si="43"/>
        <v>0.44285608856088554</v>
      </c>
    </row>
    <row r="60" spans="1:26" s="28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SUM(OSRRefD22_8x_0)</f>
        <v>641.28</v>
      </c>
      <c r="E60" s="1"/>
      <c r="F60" s="5">
        <f t="shared" si="36"/>
        <v>7.3900191872223464E-2</v>
      </c>
      <c r="G60" s="1"/>
      <c r="H60" s="1">
        <f>SUM(OSRRefH22_8x_0)</f>
        <v>705</v>
      </c>
      <c r="I60" s="1"/>
      <c r="J60" s="5">
        <f t="shared" si="37"/>
        <v>3.348691397900537E-2</v>
      </c>
      <c r="K60" s="1"/>
      <c r="L60" s="1">
        <f t="shared" si="38"/>
        <v>-63.720000000000027</v>
      </c>
      <c r="M60" s="1"/>
      <c r="N60" s="5">
        <f t="shared" si="39"/>
        <v>-9.0382978723404298E-2</v>
      </c>
      <c r="O60" s="14"/>
      <c r="P60" s="1">
        <f>SUM(OSRRefP22_8x_0)</f>
        <v>1923.84</v>
      </c>
      <c r="Q60" s="1"/>
      <c r="R60" s="5">
        <f t="shared" si="40"/>
        <v>0.14360669394226441</v>
      </c>
      <c r="S60" s="1"/>
      <c r="T60" s="1">
        <f>SUM(OSRRefT22_8x_0)</f>
        <v>2115</v>
      </c>
      <c r="U60" s="1"/>
      <c r="V60" s="5">
        <f t="shared" si="41"/>
        <v>6.2416998671978752E-2</v>
      </c>
      <c r="W60" s="1"/>
      <c r="X60" s="1">
        <f t="shared" si="42"/>
        <v>-191.16000000000008</v>
      </c>
      <c r="Y60" s="1"/>
      <c r="Z60" s="5">
        <f t="shared" si="43"/>
        <v>-9.0382978723404298E-2</v>
      </c>
    </row>
    <row r="61" spans="1:26" s="24" customFormat="1" hidden="1" outlineLevel="2" x14ac:dyDescent="0.25">
      <c r="A61" s="29"/>
      <c r="B61" s="11" t="str">
        <f>CONCATENATE("          ", "6314", " - ", "LIABILITY INSURANCE")</f>
        <v xml:space="preserve">          6314 - LIABILITY INSURANCE</v>
      </c>
      <c r="C61" s="11"/>
      <c r="D61" s="6">
        <v>641.28</v>
      </c>
      <c r="E61" s="2"/>
      <c r="F61" s="7">
        <f t="shared" si="36"/>
        <v>7.3900191872223464E-2</v>
      </c>
      <c r="G61" s="2"/>
      <c r="H61" s="6">
        <v>705</v>
      </c>
      <c r="I61" s="2"/>
      <c r="J61" s="7">
        <f t="shared" si="37"/>
        <v>3.348691397900537E-2</v>
      </c>
      <c r="K61" s="2"/>
      <c r="L61" s="6">
        <f t="shared" si="38"/>
        <v>-63.720000000000027</v>
      </c>
      <c r="M61" s="2"/>
      <c r="N61" s="7">
        <f t="shared" si="39"/>
        <v>-9.0382978723404298E-2</v>
      </c>
      <c r="O61" s="11"/>
      <c r="P61" s="6">
        <v>1923.84</v>
      </c>
      <c r="Q61" s="2"/>
      <c r="R61" s="7">
        <f t="shared" si="40"/>
        <v>0.14360669394226441</v>
      </c>
      <c r="S61" s="2"/>
      <c r="T61" s="6">
        <v>2115</v>
      </c>
      <c r="U61" s="2"/>
      <c r="V61" s="7">
        <f t="shared" si="41"/>
        <v>6.2416998671978752E-2</v>
      </c>
      <c r="W61" s="2"/>
      <c r="X61" s="6">
        <f t="shared" si="42"/>
        <v>-191.16000000000008</v>
      </c>
      <c r="Y61" s="2"/>
      <c r="Z61" s="7">
        <f t="shared" si="43"/>
        <v>-9.0382978723404298E-2</v>
      </c>
    </row>
    <row r="62" spans="1:26" s="28" customFormat="1" outlineLevel="1" collapsed="1" x14ac:dyDescent="0.25">
      <c r="A62" s="27"/>
      <c r="B62" s="14" t="str">
        <f>CONCATENATE("     ","Interest                                          ")</f>
        <v xml:space="preserve">     Interest                                          </v>
      </c>
      <c r="C62" s="14"/>
      <c r="D62" s="1">
        <f>SUM(OSRRefD22_9x_0)</f>
        <v>7510</v>
      </c>
      <c r="E62" s="1"/>
      <c r="F62" s="5">
        <f t="shared" si="36"/>
        <v>0.86544168063934368</v>
      </c>
      <c r="G62" s="1"/>
      <c r="H62" s="1">
        <f>SUM(OSRRefH22_9x_0)</f>
        <v>7510</v>
      </c>
      <c r="I62" s="1"/>
      <c r="J62" s="5">
        <f t="shared" si="37"/>
        <v>0.35671875742174514</v>
      </c>
      <c r="K62" s="1"/>
      <c r="L62" s="1">
        <f t="shared" si="38"/>
        <v>0</v>
      </c>
      <c r="M62" s="1"/>
      <c r="N62" s="5">
        <f t="shared" si="39"/>
        <v>0</v>
      </c>
      <c r="O62" s="14"/>
      <c r="P62" s="1">
        <f>SUM(OSRRefP22_9x_0)</f>
        <v>22530</v>
      </c>
      <c r="Q62" s="1"/>
      <c r="R62" s="5">
        <f t="shared" si="40"/>
        <v>1.6817712567153282</v>
      </c>
      <c r="S62" s="1"/>
      <c r="T62" s="1">
        <f>SUM(OSRRefT22_9x_0)</f>
        <v>22530</v>
      </c>
      <c r="U62" s="1"/>
      <c r="V62" s="5">
        <f t="shared" si="41"/>
        <v>0.66489597166888004</v>
      </c>
      <c r="W62" s="1"/>
      <c r="X62" s="1">
        <f t="shared" si="42"/>
        <v>0</v>
      </c>
      <c r="Y62" s="1"/>
      <c r="Z62" s="5">
        <f t="shared" si="43"/>
        <v>0</v>
      </c>
    </row>
    <row r="63" spans="1:26" s="24" customFormat="1" hidden="1" outlineLevel="2" x14ac:dyDescent="0.25">
      <c r="A63" s="29"/>
      <c r="B63" s="11" t="str">
        <f>CONCATENATE("          ", "6401", " - ", "INTEREST EXPENSE")</f>
        <v xml:space="preserve">          6401 - INTEREST EXPENSE</v>
      </c>
      <c r="C63" s="11"/>
      <c r="D63" s="6">
        <v>7510</v>
      </c>
      <c r="E63" s="2"/>
      <c r="F63" s="7">
        <f t="shared" si="36"/>
        <v>0.86544168063934368</v>
      </c>
      <c r="G63" s="2"/>
      <c r="H63" s="6">
        <v>7510</v>
      </c>
      <c r="I63" s="2"/>
      <c r="J63" s="7">
        <f t="shared" si="37"/>
        <v>0.35671875742174514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22530</v>
      </c>
      <c r="Q63" s="2"/>
      <c r="R63" s="7">
        <f t="shared" si="40"/>
        <v>1.6817712567153282</v>
      </c>
      <c r="S63" s="2"/>
      <c r="T63" s="6">
        <v>22530</v>
      </c>
      <c r="U63" s="2"/>
      <c r="V63" s="7">
        <f t="shared" si="41"/>
        <v>0.66489597166888004</v>
      </c>
      <c r="W63" s="2"/>
      <c r="X63" s="6">
        <f t="shared" si="42"/>
        <v>0</v>
      </c>
      <c r="Y63" s="2"/>
      <c r="Z63" s="7">
        <f t="shared" si="43"/>
        <v>0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SUM(OSRRefD22_10x_0)</f>
        <v>1350.46</v>
      </c>
      <c r="E64" s="1"/>
      <c r="F64" s="5">
        <f t="shared" si="36"/>
        <v>0.15562508282772411</v>
      </c>
      <c r="G64" s="1"/>
      <c r="H64" s="1">
        <f>SUM(OSRRefH22_10x_0)</f>
        <v>332</v>
      </c>
      <c r="I64" s="1"/>
      <c r="J64" s="5">
        <f t="shared" si="37"/>
        <v>1.5769724029829478E-2</v>
      </c>
      <c r="K64" s="1"/>
      <c r="L64" s="1">
        <f t="shared" si="38"/>
        <v>1018.46</v>
      </c>
      <c r="M64" s="1"/>
      <c r="N64" s="5">
        <f t="shared" si="39"/>
        <v>3.0676506024096386</v>
      </c>
      <c r="O64" s="14"/>
      <c r="P64" s="1">
        <f>SUM(OSRRefP22_10x_0)</f>
        <v>7838.96</v>
      </c>
      <c r="Q64" s="1"/>
      <c r="R64" s="5">
        <f t="shared" si="40"/>
        <v>0.58514592146210342</v>
      </c>
      <c r="S64" s="1"/>
      <c r="T64" s="1">
        <f>SUM(OSRRefT22_10x_0)</f>
        <v>1830</v>
      </c>
      <c r="U64" s="1"/>
      <c r="V64" s="5">
        <f t="shared" si="41"/>
        <v>5.4006197432492256E-2</v>
      </c>
      <c r="W64" s="1"/>
      <c r="X64" s="1">
        <f t="shared" si="42"/>
        <v>6008.96</v>
      </c>
      <c r="Y64" s="1"/>
      <c r="Z64" s="5">
        <f t="shared" si="43"/>
        <v>3.2835846994535518</v>
      </c>
    </row>
    <row r="65" spans="1:26" s="24" customFormat="1" hidden="1" outlineLevel="2" x14ac:dyDescent="0.25">
      <c r="A65" s="29"/>
      <c r="B65" s="11" t="str">
        <f>CONCATENATE("          ", "6373", " - ", "MAINTENANCE CONTRACTS")</f>
        <v xml:space="preserve">          6373 - MAINTENANCE CONTRACTS</v>
      </c>
      <c r="C65" s="11"/>
      <c r="D65" s="6">
        <v>798.64</v>
      </c>
      <c r="E65" s="2"/>
      <c r="F65" s="7">
        <f t="shared" si="36"/>
        <v>9.2034133665220424E-2</v>
      </c>
      <c r="G65" s="2"/>
      <c r="H65" s="6"/>
      <c r="I65" s="2"/>
      <c r="J65" s="7">
        <f t="shared" si="37"/>
        <v>0</v>
      </c>
      <c r="K65" s="2"/>
      <c r="L65" s="6">
        <f t="shared" si="38"/>
        <v>798.64</v>
      </c>
      <c r="M65" s="2"/>
      <c r="N65" s="7">
        <f t="shared" si="39"/>
        <v>0</v>
      </c>
      <c r="O65" s="11"/>
      <c r="P65" s="6">
        <v>3308.38</v>
      </c>
      <c r="Q65" s="2"/>
      <c r="R65" s="7">
        <f t="shared" si="40"/>
        <v>0.24695687484650947</v>
      </c>
      <c r="S65" s="2"/>
      <c r="T65" s="6"/>
      <c r="U65" s="2"/>
      <c r="V65" s="7">
        <f t="shared" si="41"/>
        <v>0</v>
      </c>
      <c r="W65" s="2"/>
      <c r="X65" s="6">
        <f t="shared" si="42"/>
        <v>3308.38</v>
      </c>
      <c r="Y65" s="2"/>
      <c r="Z65" s="7">
        <f t="shared" si="43"/>
        <v>0</v>
      </c>
    </row>
    <row r="66" spans="1:26" s="24" customFormat="1" hidden="1" outlineLevel="2" x14ac:dyDescent="0.25">
      <c r="A66" s="29"/>
      <c r="B66" s="11" t="str">
        <f>CONCATENATE("          ", "6375", " - ", "OUTSIDE REPAIRS &amp; MAINTENANCE")</f>
        <v xml:space="preserve">          6375 - OUTSIDE REPAIRS &amp; MAINTENANCE</v>
      </c>
      <c r="C66" s="11"/>
      <c r="D66" s="6">
        <v>551.82000000000005</v>
      </c>
      <c r="E66" s="2"/>
      <c r="F66" s="7">
        <f t="shared" si="36"/>
        <v>6.3590949162503685E-2</v>
      </c>
      <c r="G66" s="2"/>
      <c r="H66" s="6">
        <v>332</v>
      </c>
      <c r="I66" s="2"/>
      <c r="J66" s="7">
        <f t="shared" si="37"/>
        <v>1.5769724029829478E-2</v>
      </c>
      <c r="K66" s="2"/>
      <c r="L66" s="6">
        <f t="shared" si="38"/>
        <v>219.82000000000005</v>
      </c>
      <c r="M66" s="2"/>
      <c r="N66" s="7">
        <f t="shared" si="39"/>
        <v>0.66210843373493988</v>
      </c>
      <c r="O66" s="11"/>
      <c r="P66" s="6">
        <v>4530.58</v>
      </c>
      <c r="Q66" s="2"/>
      <c r="R66" s="7">
        <f t="shared" si="40"/>
        <v>0.33818904661559396</v>
      </c>
      <c r="S66" s="2"/>
      <c r="T66" s="6">
        <v>1830</v>
      </c>
      <c r="U66" s="2"/>
      <c r="V66" s="7">
        <f t="shared" si="41"/>
        <v>5.4006197432492256E-2</v>
      </c>
      <c r="W66" s="2"/>
      <c r="X66" s="6">
        <f t="shared" si="42"/>
        <v>2700.58</v>
      </c>
      <c r="Y66" s="2"/>
      <c r="Z66" s="7">
        <f t="shared" si="43"/>
        <v>1.4757267759562842</v>
      </c>
    </row>
    <row r="67" spans="1:26" s="28" customFormat="1" outlineLevel="1" collapsed="1" x14ac:dyDescent="0.25">
      <c r="A67" s="27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SUM(OSRRefD22_11x_0)</f>
        <v>4131.68</v>
      </c>
      <c r="E67" s="1"/>
      <c r="F67" s="5">
        <f t="shared" ref="F67:F72" si="44">IF(D$12=0,0,D67/D$12)</f>
        <v>0.476128905867372</v>
      </c>
      <c r="G67" s="1"/>
      <c r="H67" s="1">
        <f>SUM(OSRRefH22_11x_0)</f>
        <v>4055</v>
      </c>
      <c r="I67" s="1"/>
      <c r="J67" s="5">
        <f t="shared" ref="J67:J72" si="45">IF(H$12=0,0,H67/H$12)</f>
        <v>0.19260912934023655</v>
      </c>
      <c r="K67" s="1"/>
      <c r="L67" s="1">
        <f t="shared" ref="L67:L72" si="46">+D67-H67</f>
        <v>76.680000000000291</v>
      </c>
      <c r="M67" s="1"/>
      <c r="N67" s="5">
        <f t="shared" ref="N67:N72" si="47">IF(H67=0,0,L67/H67)</f>
        <v>1.8909987669543844E-2</v>
      </c>
      <c r="O67" s="14"/>
      <c r="P67" s="1">
        <f>SUM(OSRRefP22_11x_0)</f>
        <v>9920.86</v>
      </c>
      <c r="Q67" s="1"/>
      <c r="R67" s="5">
        <f t="shared" ref="R67:R72" si="48">IF(P$12=0,0,P67/P$12)</f>
        <v>0.7405511402528554</v>
      </c>
      <c r="S67" s="1"/>
      <c r="T67" s="1">
        <f>SUM(OSRRefT22_11x_0)</f>
        <v>11542</v>
      </c>
      <c r="U67" s="1"/>
      <c r="V67" s="5">
        <f t="shared" ref="V67:V72" si="49">IF(T$12=0,0,T67/T$12)</f>
        <v>0.34062269440755494</v>
      </c>
      <c r="W67" s="1"/>
      <c r="X67" s="1">
        <f t="shared" ref="X67:X72" si="50">+P67-T67</f>
        <v>-1621.1399999999994</v>
      </c>
      <c r="Y67" s="1"/>
      <c r="Z67" s="5">
        <f t="shared" ref="Z67:Z72" si="51">IF(T67=0,0,X67/T67)</f>
        <v>-0.14045572691041408</v>
      </c>
    </row>
    <row r="68" spans="1:26" s="24" customFormat="1" hidden="1" outlineLevel="2" x14ac:dyDescent="0.25">
      <c r="A68" s="29"/>
      <c r="B68" s="11" t="str">
        <f>CONCATENATE("          ", "6282", " - ", "JANITORIAL/EXTERMINATOR EXPENS")</f>
        <v xml:space="preserve">          6282 - JANITORIAL/EXTERMINATOR EXPENS</v>
      </c>
      <c r="C68" s="11"/>
      <c r="D68" s="6">
        <v>8.36</v>
      </c>
      <c r="E68" s="2"/>
      <c r="F68" s="7">
        <f t="shared" si="44"/>
        <v>9.6339446739612681E-4</v>
      </c>
      <c r="G68" s="2"/>
      <c r="H68" s="6">
        <v>329</v>
      </c>
      <c r="I68" s="2"/>
      <c r="J68" s="7">
        <f t="shared" si="45"/>
        <v>1.5627226523535837E-2</v>
      </c>
      <c r="K68" s="2"/>
      <c r="L68" s="6">
        <f t="shared" si="46"/>
        <v>-320.64</v>
      </c>
      <c r="M68" s="2"/>
      <c r="N68" s="7">
        <f t="shared" si="47"/>
        <v>-0.97458966565349536</v>
      </c>
      <c r="O68" s="11"/>
      <c r="P68" s="6">
        <v>494.25</v>
      </c>
      <c r="Q68" s="2"/>
      <c r="R68" s="7">
        <f t="shared" si="48"/>
        <v>3.6893716983202443E-2</v>
      </c>
      <c r="S68" s="2"/>
      <c r="T68" s="6">
        <v>987</v>
      </c>
      <c r="U68" s="2"/>
      <c r="V68" s="7">
        <f t="shared" si="49"/>
        <v>2.9127932713590085E-2</v>
      </c>
      <c r="W68" s="2"/>
      <c r="X68" s="6">
        <f t="shared" si="50"/>
        <v>-492.75</v>
      </c>
      <c r="Y68" s="2"/>
      <c r="Z68" s="7">
        <f t="shared" si="51"/>
        <v>-0.49924012158054709</v>
      </c>
    </row>
    <row r="69" spans="1:26" s="24" customFormat="1" hidden="1" outlineLevel="2" x14ac:dyDescent="0.25">
      <c r="A69" s="29"/>
      <c r="B69" s="11" t="str">
        <f>CONCATENATE("          ", "6283", " - ", "PLANT SERVICE")</f>
        <v xml:space="preserve">          6283 - PLANT SERVICE</v>
      </c>
      <c r="C69" s="11"/>
      <c r="D69" s="6"/>
      <c r="E69" s="2"/>
      <c r="F69" s="7">
        <f t="shared" si="44"/>
        <v>0</v>
      </c>
      <c r="G69" s="2"/>
      <c r="H69" s="6">
        <v>62</v>
      </c>
      <c r="I69" s="2"/>
      <c r="J69" s="7">
        <f t="shared" si="45"/>
        <v>2.9449484634018904E-3</v>
      </c>
      <c r="K69" s="2"/>
      <c r="L69" s="6">
        <f t="shared" si="46"/>
        <v>-62</v>
      </c>
      <c r="M69" s="2"/>
      <c r="N69" s="7">
        <f t="shared" si="47"/>
        <v>-1</v>
      </c>
      <c r="O69" s="11"/>
      <c r="P69" s="6"/>
      <c r="Q69" s="2"/>
      <c r="R69" s="7">
        <f t="shared" si="48"/>
        <v>0</v>
      </c>
      <c r="S69" s="2"/>
      <c r="T69" s="6">
        <v>186</v>
      </c>
      <c r="U69" s="2"/>
      <c r="V69" s="7">
        <f t="shared" si="49"/>
        <v>5.4891544931385565E-3</v>
      </c>
      <c r="W69" s="2"/>
      <c r="X69" s="6">
        <f t="shared" si="50"/>
        <v>-186</v>
      </c>
      <c r="Y69" s="2"/>
      <c r="Z69" s="7">
        <f t="shared" si="51"/>
        <v>-1</v>
      </c>
    </row>
    <row r="70" spans="1:26" s="24" customFormat="1" hidden="1" outlineLevel="2" x14ac:dyDescent="0.25">
      <c r="A70" s="29"/>
      <c r="B70" s="11" t="str">
        <f>CONCATENATE("          ", "6284", " - ", "TRASH REMOVAL EXPENSE")</f>
        <v xml:space="preserve">          6284 - TRASH REMOVAL EXPENSE</v>
      </c>
      <c r="C70" s="11"/>
      <c r="D70" s="6">
        <v>761</v>
      </c>
      <c r="E70" s="2"/>
      <c r="F70" s="7">
        <f t="shared" si="44"/>
        <v>8.7696553790484758E-2</v>
      </c>
      <c r="G70" s="2"/>
      <c r="H70" s="6">
        <v>623</v>
      </c>
      <c r="I70" s="2"/>
      <c r="J70" s="7">
        <f t="shared" si="45"/>
        <v>2.9591982140312546E-2</v>
      </c>
      <c r="K70" s="2"/>
      <c r="L70" s="6">
        <f t="shared" si="46"/>
        <v>138</v>
      </c>
      <c r="M70" s="2"/>
      <c r="N70" s="7">
        <f t="shared" si="47"/>
        <v>0.22150882825040127</v>
      </c>
      <c r="O70" s="11"/>
      <c r="P70" s="6">
        <v>2761</v>
      </c>
      <c r="Q70" s="2"/>
      <c r="R70" s="7">
        <f t="shared" si="48"/>
        <v>0.2060972232486028</v>
      </c>
      <c r="S70" s="2"/>
      <c r="T70" s="6">
        <v>1246</v>
      </c>
      <c r="U70" s="2"/>
      <c r="V70" s="7">
        <f t="shared" si="49"/>
        <v>3.6771432787369045E-2</v>
      </c>
      <c r="W70" s="2"/>
      <c r="X70" s="6">
        <f t="shared" si="50"/>
        <v>1515</v>
      </c>
      <c r="Y70" s="2"/>
      <c r="Z70" s="7">
        <f t="shared" si="51"/>
        <v>1.2158908507223114</v>
      </c>
    </row>
    <row r="71" spans="1:26" s="24" customFormat="1" hidden="1" outlineLevel="2" x14ac:dyDescent="0.25">
      <c r="A71" s="29"/>
      <c r="B71" s="11" t="str">
        <f>CONCATENATE("          ", "6285", " - ", "JANITORIAL SERVICES")</f>
        <v xml:space="preserve">          6285 - JANITORIAL SERVICES</v>
      </c>
      <c r="C71" s="11"/>
      <c r="D71" s="6">
        <v>3256.35</v>
      </c>
      <c r="E71" s="2"/>
      <c r="F71" s="7">
        <f t="shared" si="44"/>
        <v>0.37525712606523653</v>
      </c>
      <c r="G71" s="2"/>
      <c r="H71" s="6">
        <v>3041</v>
      </c>
      <c r="I71" s="2"/>
      <c r="J71" s="7">
        <f t="shared" si="45"/>
        <v>0.14444497221298627</v>
      </c>
      <c r="K71" s="2"/>
      <c r="L71" s="6">
        <f t="shared" si="46"/>
        <v>215.34999999999991</v>
      </c>
      <c r="M71" s="2"/>
      <c r="N71" s="7">
        <f t="shared" si="47"/>
        <v>7.0815521210128213E-2</v>
      </c>
      <c r="O71" s="11"/>
      <c r="P71" s="6">
        <v>6411.93</v>
      </c>
      <c r="Q71" s="2"/>
      <c r="R71" s="7">
        <f t="shared" si="48"/>
        <v>0.47862403790815428</v>
      </c>
      <c r="S71" s="2"/>
      <c r="T71" s="6">
        <v>9123</v>
      </c>
      <c r="U71" s="2"/>
      <c r="V71" s="7">
        <f t="shared" si="49"/>
        <v>0.26923417441345726</v>
      </c>
      <c r="W71" s="2"/>
      <c r="X71" s="6">
        <f t="shared" si="50"/>
        <v>-2711.0699999999997</v>
      </c>
      <c r="Y71" s="2"/>
      <c r="Z71" s="7">
        <f t="shared" si="51"/>
        <v>-0.29716869450838534</v>
      </c>
    </row>
    <row r="72" spans="1:26" s="24" customFormat="1" hidden="1" outlineLevel="2" x14ac:dyDescent="0.25">
      <c r="A72" s="29"/>
      <c r="B72" s="11" t="str">
        <f>CONCATENATE("          ", "6286", " - ", "LAUNDRY EXPENSE")</f>
        <v xml:space="preserve">          6286 - LAUNDRY EXPENSE</v>
      </c>
      <c r="C72" s="11"/>
      <c r="D72" s="6">
        <v>105.97</v>
      </c>
      <c r="E72" s="2"/>
      <c r="F72" s="7">
        <f t="shared" si="44"/>
        <v>1.2211831544254493E-2</v>
      </c>
      <c r="G72" s="2"/>
      <c r="H72" s="6"/>
      <c r="I72" s="2"/>
      <c r="J72" s="7">
        <f t="shared" si="45"/>
        <v>0</v>
      </c>
      <c r="K72" s="2"/>
      <c r="L72" s="6">
        <f t="shared" si="46"/>
        <v>105.97</v>
      </c>
      <c r="M72" s="2"/>
      <c r="N72" s="7">
        <f t="shared" si="47"/>
        <v>0</v>
      </c>
      <c r="O72" s="11"/>
      <c r="P72" s="6">
        <v>253.68</v>
      </c>
      <c r="Q72" s="2"/>
      <c r="R72" s="7">
        <f t="shared" si="48"/>
        <v>1.8936162112895893E-2</v>
      </c>
      <c r="S72" s="2"/>
      <c r="T72" s="6"/>
      <c r="U72" s="2"/>
      <c r="V72" s="7">
        <f t="shared" si="49"/>
        <v>0</v>
      </c>
      <c r="W72" s="2"/>
      <c r="X72" s="6">
        <f t="shared" si="50"/>
        <v>253.68</v>
      </c>
      <c r="Y72" s="2"/>
      <c r="Z72" s="7">
        <f t="shared" si="51"/>
        <v>0</v>
      </c>
    </row>
    <row r="73" spans="1:26" s="28" customFormat="1" outlineLevel="1" collapsed="1" x14ac:dyDescent="0.25">
      <c r="A73" s="27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1">
        <f>SUM(OSRRefD22_12x_0)</f>
        <v>131.34</v>
      </c>
      <c r="E73" s="1"/>
      <c r="F73" s="5">
        <f t="shared" ref="F73:F82" si="52">IF(D$12=0,0,D73/D$12)</f>
        <v>1.5135434132512835E-2</v>
      </c>
      <c r="G73" s="1"/>
      <c r="H73" s="1">
        <f>SUM(OSRRefH22_12x_0)</f>
        <v>197</v>
      </c>
      <c r="I73" s="1"/>
      <c r="J73" s="5">
        <f t="shared" ref="J73:J82" si="53">IF(H$12=0,0,H73/H$12)</f>
        <v>9.3573362466156836E-3</v>
      </c>
      <c r="K73" s="1"/>
      <c r="L73" s="1">
        <f t="shared" ref="L73:L82" si="54">+D73-H73</f>
        <v>-65.66</v>
      </c>
      <c r="M73" s="1"/>
      <c r="N73" s="5">
        <f t="shared" ref="N73:N82" si="55">IF(H73=0,0,L73/H73)</f>
        <v>-0.33329949238578677</v>
      </c>
      <c r="O73" s="14"/>
      <c r="P73" s="1">
        <f>SUM(OSRRefP22_12x_0)</f>
        <v>140.66</v>
      </c>
      <c r="Q73" s="1"/>
      <c r="R73" s="5">
        <f t="shared" ref="R73:R82" si="56">IF(P$12=0,0,P73/P$12)</f>
        <v>1.0499686860611543E-2</v>
      </c>
      <c r="S73" s="1"/>
      <c r="T73" s="1">
        <f>SUM(OSRRefT22_12x_0)</f>
        <v>591</v>
      </c>
      <c r="U73" s="1"/>
      <c r="V73" s="5">
        <f t="shared" ref="V73:V82" si="57">IF(T$12=0,0,T73/T$12)</f>
        <v>1.7441345728198318E-2</v>
      </c>
      <c r="W73" s="1"/>
      <c r="X73" s="1">
        <f t="shared" ref="X73:X82" si="58">+P73-T73</f>
        <v>-450.34000000000003</v>
      </c>
      <c r="Y73" s="1"/>
      <c r="Z73" s="5">
        <f t="shared" ref="Z73:Z82" si="59">IF(T73=0,0,X73/T73)</f>
        <v>-0.76199661590524537</v>
      </c>
    </row>
    <row r="74" spans="1:26" s="24" customFormat="1" hidden="1" outlineLevel="2" x14ac:dyDescent="0.25">
      <c r="A74" s="29"/>
      <c r="B74" s="11" t="str">
        <f>CONCATENATE("          ", "6275", " - ", "SUBSCRIPTIONS")</f>
        <v xml:space="preserve">          6275 - SUBSCRIPTIONS</v>
      </c>
      <c r="C74" s="11"/>
      <c r="D74" s="6">
        <v>131.34</v>
      </c>
      <c r="E74" s="2"/>
      <c r="F74" s="7">
        <f t="shared" si="52"/>
        <v>1.5135434132512835E-2</v>
      </c>
      <c r="G74" s="2"/>
      <c r="H74" s="6">
        <v>197</v>
      </c>
      <c r="I74" s="2"/>
      <c r="J74" s="7">
        <f t="shared" si="53"/>
        <v>9.3573362466156836E-3</v>
      </c>
      <c r="K74" s="2"/>
      <c r="L74" s="6">
        <f t="shared" si="54"/>
        <v>-65.66</v>
      </c>
      <c r="M74" s="2"/>
      <c r="N74" s="7">
        <f t="shared" si="55"/>
        <v>-0.33329949238578677</v>
      </c>
      <c r="O74" s="11"/>
      <c r="P74" s="6">
        <v>140.66</v>
      </c>
      <c r="Q74" s="2"/>
      <c r="R74" s="7">
        <f t="shared" si="56"/>
        <v>1.0499686860611543E-2</v>
      </c>
      <c r="S74" s="2"/>
      <c r="T74" s="6">
        <v>591</v>
      </c>
      <c r="U74" s="2"/>
      <c r="V74" s="7">
        <f t="shared" si="57"/>
        <v>1.7441345728198318E-2</v>
      </c>
      <c r="W74" s="2"/>
      <c r="X74" s="6">
        <f t="shared" si="58"/>
        <v>-450.34000000000003</v>
      </c>
      <c r="Y74" s="2"/>
      <c r="Z74" s="7">
        <f t="shared" si="59"/>
        <v>-0.76199661590524537</v>
      </c>
    </row>
    <row r="75" spans="1:26" s="28" customFormat="1" outlineLevel="1" collapsed="1" x14ac:dyDescent="0.25">
      <c r="A75" s="27"/>
      <c r="B75" s="14" t="str">
        <f>CONCATENATE("     ","Supplies                                          ")</f>
        <v xml:space="preserve">     Supplies                                          </v>
      </c>
      <c r="C75" s="14"/>
      <c r="D75" s="1">
        <f>SUM(OSRRefD22_13x_0)</f>
        <v>9.3699999999999992</v>
      </c>
      <c r="E75" s="1"/>
      <c r="F75" s="5">
        <f t="shared" si="52"/>
        <v>1.0797854257777162E-3</v>
      </c>
      <c r="G75" s="1"/>
      <c r="H75" s="1">
        <f>SUM(OSRRefH22_13x_0)</f>
        <v>1180</v>
      </c>
      <c r="I75" s="1"/>
      <c r="J75" s="5">
        <f t="shared" si="53"/>
        <v>5.6049019142165014E-2</v>
      </c>
      <c r="K75" s="1"/>
      <c r="L75" s="1">
        <f t="shared" si="54"/>
        <v>-1170.6300000000001</v>
      </c>
      <c r="M75" s="1"/>
      <c r="N75" s="5">
        <f t="shared" si="55"/>
        <v>-0.99205932203389835</v>
      </c>
      <c r="O75" s="14"/>
      <c r="P75" s="1">
        <f>SUM(OSRRefP22_13x_0)</f>
        <v>1093.74</v>
      </c>
      <c r="Q75" s="1"/>
      <c r="R75" s="5">
        <f t="shared" si="56"/>
        <v>8.1643164417213629E-2</v>
      </c>
      <c r="S75" s="1"/>
      <c r="T75" s="1">
        <f>SUM(OSRRefT22_13x_0)</f>
        <v>8613</v>
      </c>
      <c r="U75" s="1"/>
      <c r="V75" s="5">
        <f t="shared" si="57"/>
        <v>0.25418326693227089</v>
      </c>
      <c r="W75" s="1"/>
      <c r="X75" s="1">
        <f t="shared" si="58"/>
        <v>-7519.26</v>
      </c>
      <c r="Y75" s="1"/>
      <c r="Z75" s="5">
        <f t="shared" si="59"/>
        <v>-0.87301288749564609</v>
      </c>
    </row>
    <row r="76" spans="1:26" s="24" customFormat="1" hidden="1" outlineLevel="2" x14ac:dyDescent="0.25">
      <c r="A76" s="29"/>
      <c r="B76" s="11" t="str">
        <f>CONCATENATE("          ", "6234", " - ", "EXPENDABLE SUPPLIES &amp; EQUIPMEN")</f>
        <v xml:space="preserve">          6234 - EXPENDABLE SUPPLIES &amp; EQUIPMEN</v>
      </c>
      <c r="C76" s="11"/>
      <c r="D76" s="6"/>
      <c r="E76" s="2"/>
      <c r="F76" s="7">
        <f t="shared" si="52"/>
        <v>0</v>
      </c>
      <c r="G76" s="2"/>
      <c r="H76" s="6"/>
      <c r="I76" s="2"/>
      <c r="J76" s="7">
        <f t="shared" si="53"/>
        <v>0</v>
      </c>
      <c r="K76" s="2"/>
      <c r="L76" s="6">
        <f t="shared" si="54"/>
        <v>0</v>
      </c>
      <c r="M76" s="2"/>
      <c r="N76" s="7">
        <f t="shared" si="55"/>
        <v>0</v>
      </c>
      <c r="O76" s="11"/>
      <c r="P76" s="6">
        <v>255.78</v>
      </c>
      <c r="Q76" s="2"/>
      <c r="R76" s="7">
        <f t="shared" si="56"/>
        <v>1.9092918421777481E-2</v>
      </c>
      <c r="S76" s="2"/>
      <c r="T76" s="6"/>
      <c r="U76" s="2"/>
      <c r="V76" s="7">
        <f t="shared" si="57"/>
        <v>0</v>
      </c>
      <c r="W76" s="2"/>
      <c r="X76" s="6">
        <f t="shared" si="58"/>
        <v>255.78</v>
      </c>
      <c r="Y76" s="2"/>
      <c r="Z76" s="7">
        <f t="shared" si="59"/>
        <v>0</v>
      </c>
    </row>
    <row r="77" spans="1:26" s="24" customFormat="1" hidden="1" outlineLevel="2" x14ac:dyDescent="0.25">
      <c r="A77" s="29"/>
      <c r="B77" s="11" t="str">
        <f>CONCATENATE("          ", "6235", " - ", "COVID-19 EXPENSES")</f>
        <v xml:space="preserve">          6235 - COVID-19 EXPENSES</v>
      </c>
      <c r="C77" s="11"/>
      <c r="D77" s="6"/>
      <c r="E77" s="2"/>
      <c r="F77" s="7">
        <f t="shared" si="52"/>
        <v>0</v>
      </c>
      <c r="G77" s="2"/>
      <c r="H77" s="6"/>
      <c r="I77" s="2"/>
      <c r="J77" s="7">
        <f t="shared" si="53"/>
        <v>0</v>
      </c>
      <c r="K77" s="2"/>
      <c r="L77" s="6">
        <f t="shared" si="54"/>
        <v>0</v>
      </c>
      <c r="M77" s="2"/>
      <c r="N77" s="7">
        <f t="shared" si="55"/>
        <v>0</v>
      </c>
      <c r="O77" s="11"/>
      <c r="P77" s="6">
        <v>821.97</v>
      </c>
      <c r="Q77" s="2"/>
      <c r="R77" s="7">
        <f t="shared" si="56"/>
        <v>6.1356658672094916E-2</v>
      </c>
      <c r="S77" s="2"/>
      <c r="T77" s="6"/>
      <c r="U77" s="2"/>
      <c r="V77" s="7">
        <f t="shared" si="57"/>
        <v>0</v>
      </c>
      <c r="W77" s="2"/>
      <c r="X77" s="6">
        <f t="shared" si="58"/>
        <v>821.97</v>
      </c>
      <c r="Y77" s="2"/>
      <c r="Z77" s="7">
        <f t="shared" si="59"/>
        <v>0</v>
      </c>
    </row>
    <row r="78" spans="1:26" s="24" customFormat="1" hidden="1" outlineLevel="2" x14ac:dyDescent="0.25">
      <c r="A78" s="29"/>
      <c r="B78" s="11" t="str">
        <f>CONCATENATE("          ", "6237", " - ", "JANITORIAL SUPPLIES")</f>
        <v xml:space="preserve">          6237 - JANITORIAL SUPPLIES</v>
      </c>
      <c r="C78" s="11"/>
      <c r="D78" s="6"/>
      <c r="E78" s="2"/>
      <c r="F78" s="7">
        <f t="shared" si="52"/>
        <v>0</v>
      </c>
      <c r="G78" s="2"/>
      <c r="H78" s="6">
        <v>261</v>
      </c>
      <c r="I78" s="2"/>
      <c r="J78" s="7">
        <f t="shared" si="53"/>
        <v>1.2397283047546668E-2</v>
      </c>
      <c r="K78" s="2"/>
      <c r="L78" s="6">
        <f t="shared" si="54"/>
        <v>-261</v>
      </c>
      <c r="M78" s="2"/>
      <c r="N78" s="7">
        <f t="shared" si="55"/>
        <v>-1</v>
      </c>
      <c r="O78" s="11"/>
      <c r="P78" s="6"/>
      <c r="Q78" s="2"/>
      <c r="R78" s="7">
        <f t="shared" si="56"/>
        <v>0</v>
      </c>
      <c r="S78" s="2"/>
      <c r="T78" s="6">
        <v>1503</v>
      </c>
      <c r="U78" s="2"/>
      <c r="V78" s="7">
        <f t="shared" si="57"/>
        <v>4.4355909694555114E-2</v>
      </c>
      <c r="W78" s="2"/>
      <c r="X78" s="6">
        <f t="shared" si="58"/>
        <v>-1503</v>
      </c>
      <c r="Y78" s="2"/>
      <c r="Z78" s="7">
        <f t="shared" si="59"/>
        <v>-1</v>
      </c>
    </row>
    <row r="79" spans="1:26" s="24" customFormat="1" hidden="1" outlineLevel="2" x14ac:dyDescent="0.25">
      <c r="A79" s="29"/>
      <c r="B79" s="11" t="str">
        <f>CONCATENATE("          ", "6239", " - ", "KITCHEN SUPPLIES")</f>
        <v xml:space="preserve">          6239 - KITCHEN SUPPLIES</v>
      </c>
      <c r="C79" s="11"/>
      <c r="D79" s="6"/>
      <c r="E79" s="2"/>
      <c r="F79" s="7">
        <f t="shared" si="52"/>
        <v>0</v>
      </c>
      <c r="G79" s="2"/>
      <c r="H79" s="6">
        <v>13</v>
      </c>
      <c r="I79" s="2"/>
      <c r="J79" s="7">
        <f t="shared" si="53"/>
        <v>6.1748919393910602E-4</v>
      </c>
      <c r="K79" s="2"/>
      <c r="L79" s="6">
        <f t="shared" si="54"/>
        <v>-13</v>
      </c>
      <c r="M79" s="2"/>
      <c r="N79" s="7">
        <f t="shared" si="55"/>
        <v>-1</v>
      </c>
      <c r="O79" s="11"/>
      <c r="P79" s="6"/>
      <c r="Q79" s="2"/>
      <c r="R79" s="7">
        <f t="shared" si="56"/>
        <v>0</v>
      </c>
      <c r="S79" s="2"/>
      <c r="T79" s="6">
        <v>149</v>
      </c>
      <c r="U79" s="2"/>
      <c r="V79" s="7">
        <f t="shared" si="57"/>
        <v>4.3972259111701344E-3</v>
      </c>
      <c r="W79" s="2"/>
      <c r="X79" s="6">
        <f t="shared" si="58"/>
        <v>-149</v>
      </c>
      <c r="Y79" s="2"/>
      <c r="Z79" s="7">
        <f t="shared" si="59"/>
        <v>-1</v>
      </c>
    </row>
    <row r="80" spans="1:26" s="24" customFormat="1" hidden="1" outlineLevel="2" x14ac:dyDescent="0.25">
      <c r="A80" s="29"/>
      <c r="B80" s="11" t="str">
        <f>CONCATENATE("          ", "6241", " - ", "OFFICE EXPENSE")</f>
        <v xml:space="preserve">          6241 - OFFICE EXPENSE</v>
      </c>
      <c r="C80" s="11"/>
      <c r="D80" s="6">
        <v>9.3699999999999992</v>
      </c>
      <c r="E80" s="2"/>
      <c r="F80" s="7">
        <f t="shared" si="52"/>
        <v>1.0797854257777162E-3</v>
      </c>
      <c r="G80" s="2"/>
      <c r="H80" s="6">
        <v>283</v>
      </c>
      <c r="I80" s="2"/>
      <c r="J80" s="7">
        <f t="shared" si="53"/>
        <v>1.3442264760366694E-2</v>
      </c>
      <c r="K80" s="2"/>
      <c r="L80" s="6">
        <f t="shared" si="54"/>
        <v>-273.63</v>
      </c>
      <c r="M80" s="2"/>
      <c r="N80" s="7">
        <f t="shared" si="55"/>
        <v>-0.96689045936395757</v>
      </c>
      <c r="O80" s="11"/>
      <c r="P80" s="6">
        <v>15.99</v>
      </c>
      <c r="Q80" s="2"/>
      <c r="R80" s="7">
        <f t="shared" si="56"/>
        <v>1.1935873233412384E-3</v>
      </c>
      <c r="S80" s="2"/>
      <c r="T80" s="6">
        <v>5067</v>
      </c>
      <c r="U80" s="2"/>
      <c r="V80" s="7">
        <f t="shared" si="57"/>
        <v>0.14953519256308101</v>
      </c>
      <c r="W80" s="2"/>
      <c r="X80" s="6">
        <f t="shared" si="58"/>
        <v>-5051.01</v>
      </c>
      <c r="Y80" s="2"/>
      <c r="Z80" s="7">
        <f t="shared" si="59"/>
        <v>-0.99684428656009483</v>
      </c>
    </row>
    <row r="81" spans="1:26" s="24" customFormat="1" hidden="1" outlineLevel="2" x14ac:dyDescent="0.25">
      <c r="A81" s="29"/>
      <c r="B81" s="11" t="str">
        <f>CONCATENATE("          ", "6243", " - ", "PAPER SUPPLIES")</f>
        <v xml:space="preserve">          6243 - PAPER SUPPLIES</v>
      </c>
      <c r="C81" s="11"/>
      <c r="D81" s="6"/>
      <c r="E81" s="2"/>
      <c r="F81" s="7">
        <f t="shared" si="52"/>
        <v>0</v>
      </c>
      <c r="G81" s="2"/>
      <c r="H81" s="6">
        <v>623</v>
      </c>
      <c r="I81" s="2"/>
      <c r="J81" s="7">
        <f t="shared" si="53"/>
        <v>2.9591982140312546E-2</v>
      </c>
      <c r="K81" s="2"/>
      <c r="L81" s="6">
        <f t="shared" si="54"/>
        <v>-623</v>
      </c>
      <c r="M81" s="2"/>
      <c r="N81" s="7">
        <f t="shared" si="55"/>
        <v>-1</v>
      </c>
      <c r="O81" s="11"/>
      <c r="P81" s="6"/>
      <c r="Q81" s="2"/>
      <c r="R81" s="7">
        <f t="shared" si="56"/>
        <v>0</v>
      </c>
      <c r="S81" s="2"/>
      <c r="T81" s="6">
        <v>1483</v>
      </c>
      <c r="U81" s="2"/>
      <c r="V81" s="7">
        <f t="shared" si="57"/>
        <v>4.3765678028626236E-2</v>
      </c>
      <c r="W81" s="2"/>
      <c r="X81" s="6">
        <f t="shared" si="58"/>
        <v>-1483</v>
      </c>
      <c r="Y81" s="2"/>
      <c r="Z81" s="7">
        <f t="shared" si="59"/>
        <v>-1</v>
      </c>
    </row>
    <row r="82" spans="1:26" s="24" customFormat="1" hidden="1" outlineLevel="2" x14ac:dyDescent="0.25">
      <c r="A82" s="29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52"/>
        <v>0</v>
      </c>
      <c r="G82" s="2"/>
      <c r="H82" s="6"/>
      <c r="I82" s="2"/>
      <c r="J82" s="7">
        <f t="shared" si="53"/>
        <v>0</v>
      </c>
      <c r="K82" s="2"/>
      <c r="L82" s="6">
        <f t="shared" si="54"/>
        <v>0</v>
      </c>
      <c r="M82" s="2"/>
      <c r="N82" s="7">
        <f t="shared" si="55"/>
        <v>0</v>
      </c>
      <c r="O82" s="11"/>
      <c r="P82" s="6"/>
      <c r="Q82" s="2"/>
      <c r="R82" s="7">
        <f t="shared" si="56"/>
        <v>0</v>
      </c>
      <c r="S82" s="2"/>
      <c r="T82" s="6">
        <v>411</v>
      </c>
      <c r="U82" s="2"/>
      <c r="V82" s="7">
        <f t="shared" si="57"/>
        <v>1.2129260734838424E-2</v>
      </c>
      <c r="W82" s="2"/>
      <c r="X82" s="6">
        <f t="shared" si="58"/>
        <v>-411</v>
      </c>
      <c r="Y82" s="2"/>
      <c r="Z82" s="7">
        <f t="shared" si="59"/>
        <v>-1</v>
      </c>
    </row>
    <row r="83" spans="1:26" s="28" customFormat="1" outlineLevel="1" collapsed="1" x14ac:dyDescent="0.25">
      <c r="A83" s="27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350</v>
      </c>
      <c r="E83" s="1"/>
      <c r="F83" s="5">
        <f t="shared" ref="F83:F85" si="60">IF(D$12=0,0,D83/D$12)</f>
        <v>4.0333500429263681E-2</v>
      </c>
      <c r="G83" s="1"/>
      <c r="H83" s="1">
        <f>SUM(OSRRefH22_14x_0)</f>
        <v>200</v>
      </c>
      <c r="I83" s="1"/>
      <c r="J83" s="5">
        <f t="shared" ref="J83:J85" si="61">IF(H$12=0,0,H83/H$12)</f>
        <v>9.4998337529093244E-3</v>
      </c>
      <c r="K83" s="1"/>
      <c r="L83" s="1">
        <f t="shared" ref="L83:L85" si="62">+D83-H83</f>
        <v>150</v>
      </c>
      <c r="M83" s="1"/>
      <c r="N83" s="5">
        <f t="shared" ref="N83:N85" si="63">IF(H83=0,0,L83/H83)</f>
        <v>0.75</v>
      </c>
      <c r="O83" s="14"/>
      <c r="P83" s="1">
        <f>SUM(OSRRefP22_14x_0)</f>
        <v>814</v>
      </c>
      <c r="Q83" s="1"/>
      <c r="R83" s="5">
        <f t="shared" ref="R83:R85" si="64">IF(P$12=0,0,P83/P$12)</f>
        <v>6.0761731156958598E-2</v>
      </c>
      <c r="S83" s="1"/>
      <c r="T83" s="1">
        <f>SUM(OSRRefT22_14x_0)</f>
        <v>592</v>
      </c>
      <c r="U83" s="1"/>
      <c r="V83" s="5">
        <f t="shared" ref="V83:V85" si="65">IF(T$12=0,0,T83/T$12)</f>
        <v>1.7470857311494763E-2</v>
      </c>
      <c r="W83" s="1"/>
      <c r="X83" s="1">
        <f t="shared" ref="X83:X85" si="66">+P83-T83</f>
        <v>222</v>
      </c>
      <c r="Y83" s="1"/>
      <c r="Z83" s="5">
        <f t="shared" ref="Z83:Z85" si="67">IF(T83=0,0,X83/T83)</f>
        <v>0.375</v>
      </c>
    </row>
    <row r="84" spans="1:26" s="24" customFormat="1" hidden="1" outlineLevel="2" x14ac:dyDescent="0.25">
      <c r="A84" s="29"/>
      <c r="B84" s="11" t="str">
        <f>CONCATENATE("          ", "6303", " - ", "DATA PHONE LINES")</f>
        <v xml:space="preserve">          6303 - DATA PHONE LINES</v>
      </c>
      <c r="C84" s="11"/>
      <c r="D84" s="6"/>
      <c r="E84" s="2"/>
      <c r="F84" s="7">
        <f t="shared" si="60"/>
        <v>0</v>
      </c>
      <c r="G84" s="2"/>
      <c r="H84" s="6">
        <v>200</v>
      </c>
      <c r="I84" s="2"/>
      <c r="J84" s="7">
        <f t="shared" si="61"/>
        <v>9.4998337529093244E-3</v>
      </c>
      <c r="K84" s="2"/>
      <c r="L84" s="6">
        <f t="shared" si="62"/>
        <v>-200</v>
      </c>
      <c r="M84" s="2"/>
      <c r="N84" s="7">
        <f t="shared" si="63"/>
        <v>-1</v>
      </c>
      <c r="O84" s="11"/>
      <c r="P84" s="6"/>
      <c r="Q84" s="2"/>
      <c r="R84" s="7">
        <f t="shared" si="64"/>
        <v>0</v>
      </c>
      <c r="S84" s="2"/>
      <c r="T84" s="6">
        <v>442</v>
      </c>
      <c r="U84" s="2"/>
      <c r="V84" s="7">
        <f t="shared" si="65"/>
        <v>1.3044119817028183E-2</v>
      </c>
      <c r="W84" s="2"/>
      <c r="X84" s="6">
        <f t="shared" si="66"/>
        <v>-442</v>
      </c>
      <c r="Y84" s="2"/>
      <c r="Z84" s="7">
        <f t="shared" si="67"/>
        <v>-1</v>
      </c>
    </row>
    <row r="85" spans="1:26" s="24" customFormat="1" hidden="1" outlineLevel="2" x14ac:dyDescent="0.25">
      <c r="A85" s="29"/>
      <c r="B85" s="11" t="str">
        <f>CONCATENATE("          ", "6309", " - ", "TELEPHONE")</f>
        <v xml:space="preserve">          6309 - TELEPHONE</v>
      </c>
      <c r="C85" s="11"/>
      <c r="D85" s="6">
        <v>350</v>
      </c>
      <c r="E85" s="2"/>
      <c r="F85" s="7">
        <f t="shared" si="60"/>
        <v>4.0333500429263681E-2</v>
      </c>
      <c r="G85" s="2"/>
      <c r="H85" s="6"/>
      <c r="I85" s="2"/>
      <c r="J85" s="7">
        <f t="shared" si="61"/>
        <v>0</v>
      </c>
      <c r="K85" s="2"/>
      <c r="L85" s="6">
        <f t="shared" si="62"/>
        <v>350</v>
      </c>
      <c r="M85" s="2"/>
      <c r="N85" s="7">
        <f t="shared" si="63"/>
        <v>0</v>
      </c>
      <c r="O85" s="11"/>
      <c r="P85" s="6">
        <v>814</v>
      </c>
      <c r="Q85" s="2"/>
      <c r="R85" s="7">
        <f t="shared" si="64"/>
        <v>6.0761731156958598E-2</v>
      </c>
      <c r="S85" s="2"/>
      <c r="T85" s="6">
        <v>150</v>
      </c>
      <c r="U85" s="2"/>
      <c r="V85" s="7">
        <f t="shared" si="65"/>
        <v>4.426737494466578E-3</v>
      </c>
      <c r="W85" s="2"/>
      <c r="X85" s="6">
        <f t="shared" si="66"/>
        <v>664</v>
      </c>
      <c r="Y85" s="2"/>
      <c r="Z85" s="7">
        <f t="shared" si="67"/>
        <v>4.4266666666666667</v>
      </c>
    </row>
    <row r="86" spans="1:26" s="28" customFormat="1" outlineLevel="1" collapsed="1" x14ac:dyDescent="0.25">
      <c r="A86" s="27"/>
      <c r="B86" s="14" t="str">
        <f>CONCATENATE("     ","Utilities                                         ")</f>
        <v xml:space="preserve">     Utilities                                         </v>
      </c>
      <c r="C86" s="14"/>
      <c r="D86" s="1">
        <f>SUM(OSRRefD22_15x_0)</f>
        <v>2300</v>
      </c>
      <c r="E86" s="1"/>
      <c r="F86" s="5">
        <f t="shared" ref="F86:F87" si="68">IF(D$12=0,0,D86/D$12)</f>
        <v>0.26504871710658995</v>
      </c>
      <c r="G86" s="1"/>
      <c r="H86" s="1">
        <f>SUM(OSRRefH22_15x_0)</f>
        <v>2300</v>
      </c>
      <c r="I86" s="1"/>
      <c r="J86" s="5">
        <f t="shared" ref="J86:J87" si="69">IF(H$12=0,0,H86/H$12)</f>
        <v>0.10924808815845723</v>
      </c>
      <c r="K86" s="1"/>
      <c r="L86" s="1">
        <f t="shared" ref="L86:L87" si="70">+D86-H86</f>
        <v>0</v>
      </c>
      <c r="M86" s="1"/>
      <c r="N86" s="5">
        <f t="shared" ref="N86:N87" si="71">IF(H86=0,0,L86/H86)</f>
        <v>0</v>
      </c>
      <c r="O86" s="14"/>
      <c r="P86" s="1">
        <f>SUM(OSRRefP22_15x_0)</f>
        <v>6900</v>
      </c>
      <c r="Q86" s="1"/>
      <c r="R86" s="5">
        <f t="shared" ref="R86:R87" si="72">IF(P$12=0,0,P86/P$12)</f>
        <v>0.51505644346807655</v>
      </c>
      <c r="S86" s="1"/>
      <c r="T86" s="1">
        <f>SUM(OSRRefT22_15x_0)</f>
        <v>6900</v>
      </c>
      <c r="U86" s="1"/>
      <c r="V86" s="5">
        <f t="shared" ref="V86:V87" si="73">IF(T$12=0,0,T86/T$12)</f>
        <v>0.2036299247454626</v>
      </c>
      <c r="W86" s="1"/>
      <c r="X86" s="1">
        <f t="shared" ref="X86:X87" si="74">+P86-T86</f>
        <v>0</v>
      </c>
      <c r="Y86" s="1"/>
      <c r="Z86" s="5">
        <f t="shared" ref="Z86:Z87" si="75">IF(T86=0,0,X86/T86)</f>
        <v>0</v>
      </c>
    </row>
    <row r="87" spans="1:26" s="24" customFormat="1" hidden="1" outlineLevel="2" x14ac:dyDescent="0.25">
      <c r="A87" s="29"/>
      <c r="B87" s="11" t="str">
        <f>CONCATENATE("          ", "6274", " - ", "UTILITIES")</f>
        <v xml:space="preserve">          6274 - UTILITIES</v>
      </c>
      <c r="C87" s="11"/>
      <c r="D87" s="6">
        <v>2300</v>
      </c>
      <c r="E87" s="2"/>
      <c r="F87" s="7">
        <f t="shared" si="68"/>
        <v>0.26504871710658995</v>
      </c>
      <c r="G87" s="2"/>
      <c r="H87" s="6">
        <v>2300</v>
      </c>
      <c r="I87" s="2"/>
      <c r="J87" s="7">
        <f t="shared" si="69"/>
        <v>0.10924808815845723</v>
      </c>
      <c r="K87" s="2"/>
      <c r="L87" s="6">
        <f t="shared" si="70"/>
        <v>0</v>
      </c>
      <c r="M87" s="2"/>
      <c r="N87" s="7">
        <f t="shared" si="71"/>
        <v>0</v>
      </c>
      <c r="O87" s="11"/>
      <c r="P87" s="6">
        <v>6900</v>
      </c>
      <c r="Q87" s="2"/>
      <c r="R87" s="7">
        <f t="shared" si="72"/>
        <v>0.51505644346807655</v>
      </c>
      <c r="S87" s="2"/>
      <c r="T87" s="6">
        <v>6900</v>
      </c>
      <c r="U87" s="2"/>
      <c r="V87" s="7">
        <f t="shared" si="73"/>
        <v>0.2036299247454626</v>
      </c>
      <c r="W87" s="2"/>
      <c r="X87" s="6">
        <f t="shared" si="74"/>
        <v>0</v>
      </c>
      <c r="Y87" s="2"/>
      <c r="Z87" s="7">
        <f t="shared" si="75"/>
        <v>0</v>
      </c>
    </row>
    <row r="88" spans="1:26" s="61" customFormat="1" x14ac:dyDescent="0.25">
      <c r="A88" s="36"/>
      <c r="B88" s="36"/>
      <c r="C88" s="36"/>
      <c r="D88" s="1"/>
      <c r="E88" s="1"/>
      <c r="F88" s="5"/>
      <c r="G88" s="1"/>
      <c r="H88" s="1"/>
      <c r="I88" s="1"/>
      <c r="J88" s="5"/>
      <c r="K88" s="1"/>
      <c r="L88" s="1"/>
      <c r="M88" s="1"/>
      <c r="N88" s="5"/>
      <c r="O88" s="36"/>
      <c r="P88" s="1"/>
      <c r="Q88" s="1"/>
      <c r="R88" s="5"/>
      <c r="S88" s="1"/>
      <c r="T88" s="1"/>
      <c r="U88" s="1"/>
      <c r="V88" s="5"/>
      <c r="W88" s="1"/>
      <c r="X88" s="1"/>
      <c r="Y88" s="1"/>
      <c r="Z88" s="5"/>
    </row>
    <row r="89" spans="1:26" s="23" customFormat="1" x14ac:dyDescent="0.25">
      <c r="A89" s="10"/>
      <c r="B89" s="25" t="s">
        <v>0</v>
      </c>
      <c r="C89" s="10"/>
      <c r="D89" s="4">
        <f>SUM(0)</f>
        <v>0</v>
      </c>
      <c r="E89" s="4"/>
      <c r="F89" s="12">
        <f>IF(D$12=0,0,D89/D$12)</f>
        <v>0</v>
      </c>
      <c r="G89" s="4"/>
      <c r="H89" s="4">
        <f>SUM(0)</f>
        <v>0</v>
      </c>
      <c r="I89" s="4"/>
      <c r="J89" s="12">
        <f>IF(H$12=0,0,H89/H$12)</f>
        <v>0</v>
      </c>
      <c r="K89" s="4"/>
      <c r="L89" s="4">
        <f>+D89-H89</f>
        <v>0</v>
      </c>
      <c r="M89" s="4"/>
      <c r="N89" s="12">
        <f>IF(H89=0,0,L89/H89)</f>
        <v>0</v>
      </c>
      <c r="O89" s="10"/>
      <c r="P89" s="4">
        <f>SUM(0)</f>
        <v>0</v>
      </c>
      <c r="Q89" s="4"/>
      <c r="R89" s="12">
        <f>IF(P$12=0,0,P89/P$12)</f>
        <v>0</v>
      </c>
      <c r="S89" s="4"/>
      <c r="T89" s="4">
        <f>SUM(0)</f>
        <v>0</v>
      </c>
      <c r="U89" s="4"/>
      <c r="V89" s="12">
        <f>IF(T$12=0,0,T89/T$12)</f>
        <v>0</v>
      </c>
      <c r="W89" s="4"/>
      <c r="X89" s="4">
        <f>+P89-T89</f>
        <v>0</v>
      </c>
      <c r="Y89" s="4"/>
      <c r="Z89" s="12">
        <f>IF(T89=0,0,X89/T89)</f>
        <v>0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x14ac:dyDescent="0.25">
      <c r="A91" s="10"/>
      <c r="B91" s="26" t="s">
        <v>3</v>
      </c>
      <c r="C91" s="26"/>
      <c r="D91" s="20">
        <f>+D23-D25+D89</f>
        <v>-58698.53</v>
      </c>
      <c r="E91" s="13"/>
      <c r="F91" s="21">
        <f>IF(D$12=0,0,D91/D$12)</f>
        <v>-6.7643348141489925</v>
      </c>
      <c r="G91" s="13"/>
      <c r="H91" s="20">
        <f>+H23-H25+H89</f>
        <v>-37087.741085092312</v>
      </c>
      <c r="I91" s="13"/>
      <c r="J91" s="21">
        <f>IF(H$12=0,0,H91/H$12)</f>
        <v>-1.7616368728966092</v>
      </c>
      <c r="K91" s="16"/>
      <c r="L91" s="20">
        <f>+D91-H91</f>
        <v>-21610.788914907687</v>
      </c>
      <c r="M91" s="16"/>
      <c r="N91" s="21">
        <f>IF(H91=0,0,L91/H91)</f>
        <v>0.5826935877632704</v>
      </c>
      <c r="O91" s="25"/>
      <c r="P91" s="20">
        <f>+P23-P25+P89</f>
        <v>-182664.23999999996</v>
      </c>
      <c r="Q91" s="13"/>
      <c r="R91" s="21">
        <f>IF(P$12=0,0,P91/P$12)</f>
        <v>-13.63512953669553</v>
      </c>
      <c r="S91" s="13"/>
      <c r="T91" s="20">
        <f>+T23-T25+T89</f>
        <v>-136462.72513655</v>
      </c>
      <c r="U91" s="13"/>
      <c r="V91" s="21">
        <f>IF(T$12=0,0,T91/T$12)</f>
        <v>-4.0272310797270174</v>
      </c>
      <c r="W91" s="16"/>
      <c r="X91" s="20">
        <f>+P91-T91</f>
        <v>-46201.514863449964</v>
      </c>
      <c r="Y91" s="16"/>
      <c r="Z91" s="21">
        <f>IF(T91=0,0,X91/T91)</f>
        <v>0.33856509033671212</v>
      </c>
    </row>
    <row r="92" spans="1:26" x14ac:dyDescent="0.25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x14ac:dyDescent="0.25">
      <c r="A93" s="52"/>
      <c r="B93" s="10" t="s">
        <v>14</v>
      </c>
      <c r="C93" s="10"/>
      <c r="D93" s="4">
        <v>1685.06</v>
      </c>
      <c r="E93" s="4"/>
      <c r="F93" s="12">
        <f>IF(D$12=0,0,D93/D$12)</f>
        <v>0.19418390923810017</v>
      </c>
      <c r="G93" s="4"/>
      <c r="H93" s="4">
        <v>2803</v>
      </c>
      <c r="I93" s="4"/>
      <c r="J93" s="12">
        <f>IF(H$12=0,0,H93/H$12)</f>
        <v>0.13314017004702416</v>
      </c>
      <c r="K93" s="4"/>
      <c r="L93" s="4">
        <f>+D93-H93</f>
        <v>-1117.94</v>
      </c>
      <c r="M93" s="4"/>
      <c r="N93" s="12">
        <f>IF(H93=0,0,L93/H93)</f>
        <v>-0.39883696039957189</v>
      </c>
      <c r="O93" s="10"/>
      <c r="P93" s="4">
        <v>2481.79</v>
      </c>
      <c r="Q93" s="4"/>
      <c r="R93" s="12">
        <f>IF(P$12=0,0,P93/P$12)</f>
        <v>0.18525535229487503</v>
      </c>
      <c r="S93" s="4"/>
      <c r="T93" s="4">
        <v>4899</v>
      </c>
      <c r="U93" s="4"/>
      <c r="V93" s="12">
        <f>IF(T$12=0,0,T93/T$12)</f>
        <v>0.14457724656927845</v>
      </c>
      <c r="W93" s="4"/>
      <c r="X93" s="4">
        <f>+P93-T93</f>
        <v>-2417.21</v>
      </c>
      <c r="Y93" s="4"/>
      <c r="Z93" s="12">
        <f>IF(T93=0,0,X93/T93)</f>
        <v>-0.49340885895080627</v>
      </c>
    </row>
    <row r="94" spans="1:26" x14ac:dyDescent="0.25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4</v>
      </c>
      <c r="C95" s="26"/>
      <c r="D95" s="33">
        <f>+D91-D93</f>
        <v>-60383.59</v>
      </c>
      <c r="E95" s="13"/>
      <c r="F95" s="34">
        <f>IF(D$12=0,0,D95/D$12)</f>
        <v>-6.9585187233870922</v>
      </c>
      <c r="G95" s="13"/>
      <c r="H95" s="33">
        <f>+H91-H93</f>
        <v>-39890.741085092312</v>
      </c>
      <c r="I95" s="13"/>
      <c r="J95" s="34">
        <f>IF(H$12=0,0,H95/H$12)</f>
        <v>-1.8947770429436332</v>
      </c>
      <c r="K95" s="16"/>
      <c r="L95" s="33">
        <f>D95-H95</f>
        <v>-20492.848914907685</v>
      </c>
      <c r="M95" s="16"/>
      <c r="N95" s="34">
        <f>IF(H95=0,0,L95/H95)</f>
        <v>0.51372444726443367</v>
      </c>
      <c r="O95" s="25"/>
      <c r="P95" s="33">
        <f>+P91-P93</f>
        <v>-185146.02999999997</v>
      </c>
      <c r="Q95" s="13"/>
      <c r="R95" s="34">
        <f>IF(P$12=0,0,P95/P$12)</f>
        <v>-13.820384888990406</v>
      </c>
      <c r="S95" s="13"/>
      <c r="T95" s="33">
        <f>+T91-T93</f>
        <v>-141361.72513655</v>
      </c>
      <c r="U95" s="13"/>
      <c r="V95" s="34">
        <f>IF(T$12=0,0,T95/T$12)</f>
        <v>-4.1718083262962962</v>
      </c>
      <c r="W95" s="16"/>
      <c r="X95" s="33">
        <f>P95-T95</f>
        <v>-43784.304863449972</v>
      </c>
      <c r="Y95" s="16"/>
      <c r="Z95" s="34">
        <f>IF(T95=0,0,X95/T95)</f>
        <v>0.30973238916797324</v>
      </c>
    </row>
    <row r="96" spans="1:26" ht="15.75" thickTop="1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ht="15.75" thickBot="1" x14ac:dyDescent="0.3">
      <c r="A98" s="10"/>
      <c r="B98" s="26" t="s">
        <v>5</v>
      </c>
      <c r="C98" s="26"/>
      <c r="D98" s="31">
        <f>SUM(D95:D97)</f>
        <v>-60383.59</v>
      </c>
      <c r="E98" s="13"/>
      <c r="F98" s="32">
        <f>IF(D$12=0,0,D98/D$12)</f>
        <v>-6.9585187233870922</v>
      </c>
      <c r="G98" s="13"/>
      <c r="H98" s="31">
        <f>SUM(H95:H97)</f>
        <v>-39890.741085092312</v>
      </c>
      <c r="I98" s="13"/>
      <c r="J98" s="32">
        <f>IF(H$12=0,0,H98/H$12)</f>
        <v>-1.8947770429436332</v>
      </c>
      <c r="K98" s="16"/>
      <c r="L98" s="31">
        <f>+D98-H98</f>
        <v>-20492.848914907685</v>
      </c>
      <c r="M98" s="16"/>
      <c r="N98" s="32">
        <f>IF(H98=0,0,L98/H98)</f>
        <v>0.51372444726443367</v>
      </c>
      <c r="O98" s="25"/>
      <c r="P98" s="31">
        <f>SUM(P95:P97)</f>
        <v>-185146.02999999997</v>
      </c>
      <c r="Q98" s="13"/>
      <c r="R98" s="32">
        <f>IF(P$12=0,0,P98/P$12)</f>
        <v>-13.820384888990406</v>
      </c>
      <c r="S98" s="13"/>
      <c r="T98" s="31">
        <f>SUM(T95:T97)</f>
        <v>-141361.72513655</v>
      </c>
      <c r="U98" s="13"/>
      <c r="V98" s="32">
        <f>IF(T$12=0,0,T98/T$12)</f>
        <v>-4.1718083262962962</v>
      </c>
      <c r="W98" s="16"/>
      <c r="X98" s="31">
        <f>+P98-T98</f>
        <v>-43784.304863449972</v>
      </c>
      <c r="Y98" s="16"/>
      <c r="Z98" s="32">
        <f>IF(T98=0,0,X98/T98)</f>
        <v>0.30973238916797324</v>
      </c>
    </row>
    <row r="99" spans="1:26" ht="15.75" thickTop="1" x14ac:dyDescent="0.25">
      <c r="A99" s="9"/>
      <c r="C99" s="9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6" x14ac:dyDescent="0.25">
      <c r="A100" s="9"/>
      <c r="B100" s="55">
        <v>44123.572374108793</v>
      </c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3" t="s">
        <v>314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62"/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","418", " - ", "Nugget")</f>
        <v>Department 418 - Nugget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0</v>
      </c>
      <c r="Y12" s="4"/>
      <c r="Z12" s="12">
        <f t="shared" ref="Z12:Z14" si="3">IF(T12=0,0,X12/T12)</f>
        <v>0</v>
      </c>
    </row>
    <row r="13" spans="1:26" s="24" customFormat="1" hidden="1" outlineLevel="1" x14ac:dyDescent="0.25">
      <c r="A13" s="51"/>
      <c r="B13" s="11" t="str">
        <f>CONCATENATE("          ", "4000", " - ", "TAXABLE SALES")</f>
        <v xml:space="preserve">          4000 - TAXABLE SALES</v>
      </c>
      <c r="C13" s="11"/>
      <c r="D13" s="2">
        <f t="shared" ref="D13:D14" si="4">0</f>
        <v>0</v>
      </c>
      <c r="E13" s="2"/>
      <c r="F13" s="22"/>
      <c r="G13" s="2"/>
      <c r="H13" s="2">
        <v>0</v>
      </c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 t="shared" ref="P13:P14" si="5">0</f>
        <v>0</v>
      </c>
      <c r="Q13" s="2"/>
      <c r="R13" s="22"/>
      <c r="S13" s="2"/>
      <c r="T13" s="2">
        <v>0</v>
      </c>
      <c r="U13" s="2"/>
      <c r="V13" s="22"/>
      <c r="W13" s="2"/>
      <c r="X13" s="2">
        <f t="shared" si="2"/>
        <v>0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0</v>
      </c>
      <c r="I14" s="2"/>
      <c r="J14" s="22"/>
      <c r="K14" s="2"/>
      <c r="L14" s="2">
        <f t="shared" si="0"/>
        <v>0</v>
      </c>
      <c r="M14" s="2"/>
      <c r="N14" s="22">
        <f t="shared" si="1"/>
        <v>0</v>
      </c>
      <c r="O14" s="11"/>
      <c r="P14" s="2">
        <f t="shared" si="5"/>
        <v>0</v>
      </c>
      <c r="Q14" s="2"/>
      <c r="R14" s="22"/>
      <c r="S14" s="2"/>
      <c r="T14" s="2">
        <v>0</v>
      </c>
      <c r="U14" s="2"/>
      <c r="V14" s="22"/>
      <c r="W14" s="2"/>
      <c r="X14" s="2">
        <f t="shared" si="2"/>
        <v>0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0</v>
      </c>
      <c r="I16" s="4"/>
      <c r="J16" s="12">
        <f t="shared" ref="J16:J17" si="7">IF(H$12=0,0,H16/H$12)</f>
        <v>0</v>
      </c>
      <c r="K16" s="4"/>
      <c r="L16" s="4">
        <f t="shared" ref="L16:L17" si="8">+D16-H16</f>
        <v>0</v>
      </c>
      <c r="M16" s="4"/>
      <c r="N16" s="12">
        <f t="shared" ref="N16:N17" si="9">IF(H16=0,0,L16/H16)</f>
        <v>0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0</v>
      </c>
      <c r="U16" s="4"/>
      <c r="V16" s="12">
        <f t="shared" ref="V16:V17" si="11">IF(T$12=0,0,T16/T$12)</f>
        <v>0</v>
      </c>
      <c r="W16" s="4"/>
      <c r="X16" s="4">
        <f t="shared" ref="X16:X17" si="12">+P16-T16</f>
        <v>0</v>
      </c>
      <c r="Y16" s="4"/>
      <c r="Z16" s="12">
        <f t="shared" ref="Z16:Z17" si="13">IF(T16=0,0,X16/T16)</f>
        <v>0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6"/>
        <v>0</v>
      </c>
      <c r="G17" s="2"/>
      <c r="H17" s="2">
        <v>0</v>
      </c>
      <c r="I17" s="2"/>
      <c r="J17" s="22">
        <f t="shared" si="7"/>
        <v>0</v>
      </c>
      <c r="K17" s="2"/>
      <c r="L17" s="2">
        <f t="shared" si="8"/>
        <v>0</v>
      </c>
      <c r="M17" s="2"/>
      <c r="N17" s="22">
        <f t="shared" si="9"/>
        <v>0</v>
      </c>
      <c r="O17" s="11"/>
      <c r="P17" s="2"/>
      <c r="Q17" s="2"/>
      <c r="R17" s="22">
        <f t="shared" si="10"/>
        <v>0</v>
      </c>
      <c r="S17" s="2"/>
      <c r="T17" s="2">
        <v>0</v>
      </c>
      <c r="U17" s="2"/>
      <c r="V17" s="22">
        <f t="shared" si="11"/>
        <v>0</v>
      </c>
      <c r="W17" s="2"/>
      <c r="X17" s="2">
        <f t="shared" si="12"/>
        <v>0</v>
      </c>
      <c r="Y17" s="2"/>
      <c r="Z17" s="22">
        <f t="shared" si="13"/>
        <v>0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D12-D16</f>
        <v>0</v>
      </c>
      <c r="E19" s="13"/>
      <c r="F19" s="21">
        <f>IF(D$12=0,0,D19/D$12)</f>
        <v>0</v>
      </c>
      <c r="G19" s="13"/>
      <c r="H19" s="20">
        <f>H12-H16</f>
        <v>0</v>
      </c>
      <c r="I19" s="13"/>
      <c r="J19" s="21">
        <f>IF(H$12=0,0,H19/H$12)</f>
        <v>0</v>
      </c>
      <c r="K19" s="16"/>
      <c r="L19" s="20">
        <f>+D19-H19</f>
        <v>0</v>
      </c>
      <c r="M19" s="16"/>
      <c r="N19" s="21">
        <f>IF(H19=0,0,L19/H19)</f>
        <v>0</v>
      </c>
      <c r="O19" s="25"/>
      <c r="P19" s="20">
        <f>P12-P16</f>
        <v>0</v>
      </c>
      <c r="Q19" s="13"/>
      <c r="R19" s="21">
        <f>IF(P$12=0,0,P19/P$12)</f>
        <v>0</v>
      </c>
      <c r="S19" s="13"/>
      <c r="T19" s="20">
        <f>T12-T16</f>
        <v>0</v>
      </c>
      <c r="U19" s="13"/>
      <c r="V19" s="21">
        <f>IF(T$12=0,0,T19/T$12)</f>
        <v>0</v>
      </c>
      <c r="W19" s="16"/>
      <c r="X19" s="20">
        <f>+P19-T19</f>
        <v>0</v>
      </c>
      <c r="Y19" s="16"/>
      <c r="Z19" s="21">
        <f>IF(T19=0,0,X19/T19)</f>
        <v>0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19">
        <f>SUM(OSRRefD22x_0)</f>
        <v>7376.42</v>
      </c>
      <c r="E21" s="19"/>
      <c r="F21" s="35">
        <f t="shared" ref="F21:F30" si="14">IF(D$12=0,0,D21/D$12)</f>
        <v>0</v>
      </c>
      <c r="G21" s="19"/>
      <c r="H21" s="19">
        <f>SUM(OSRRefH22x_0)</f>
        <v>7178</v>
      </c>
      <c r="I21" s="19"/>
      <c r="J21" s="35">
        <f t="shared" ref="J21:J30" si="15">IF(H$12=0,0,H21/H$12)</f>
        <v>0</v>
      </c>
      <c r="K21" s="4"/>
      <c r="L21" s="19">
        <f t="shared" ref="L21:L30" si="16">+D21-H21</f>
        <v>198.42000000000007</v>
      </c>
      <c r="M21" s="4"/>
      <c r="N21" s="35">
        <f t="shared" ref="N21:N30" si="17">IF(H21=0,0,L21/H21)</f>
        <v>2.7642797436611879E-2</v>
      </c>
      <c r="O21" s="10"/>
      <c r="P21" s="19">
        <f>SUM(OSRRefP22x_0)</f>
        <v>31806.040000000005</v>
      </c>
      <c r="Q21" s="19"/>
      <c r="R21" s="35">
        <f t="shared" ref="R21:R30" si="18">IF(P$12=0,0,P21/P$12)</f>
        <v>0</v>
      </c>
      <c r="S21" s="19"/>
      <c r="T21" s="19">
        <f>SUM(OSRRefT22x_0)</f>
        <v>21534</v>
      </c>
      <c r="U21" s="19"/>
      <c r="V21" s="35">
        <f t="shared" ref="V21:V30" si="19">IF(T$12=0,0,T21/T$12)</f>
        <v>0</v>
      </c>
      <c r="W21" s="4"/>
      <c r="X21" s="19">
        <f t="shared" ref="X21:X30" si="20">+P21-T21</f>
        <v>10272.040000000005</v>
      </c>
      <c r="Y21" s="4"/>
      <c r="Z21" s="35">
        <f t="shared" ref="Z21:Z30" si="21">IF(T21=0,0,X21/T21)</f>
        <v>0.47701495309742753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0</v>
      </c>
      <c r="I22" s="1"/>
      <c r="J22" s="5">
        <f t="shared" si="15"/>
        <v>0</v>
      </c>
      <c r="K22" s="1"/>
      <c r="L22" s="1">
        <f t="shared" si="16"/>
        <v>0</v>
      </c>
      <c r="M22" s="1"/>
      <c r="N22" s="5">
        <f t="shared" si="17"/>
        <v>0</v>
      </c>
      <c r="O22" s="14"/>
      <c r="P22" s="1">
        <f>SUM(OSRRefP22_0x_0)</f>
        <v>6083.9599999999991</v>
      </c>
      <c r="Q22" s="1"/>
      <c r="R22" s="5">
        <f t="shared" si="18"/>
        <v>0</v>
      </c>
      <c r="S22" s="1"/>
      <c r="T22" s="1">
        <f>SUM(OSRRefT22_0x_0)</f>
        <v>0</v>
      </c>
      <c r="U22" s="1"/>
      <c r="V22" s="5">
        <f t="shared" si="19"/>
        <v>0</v>
      </c>
      <c r="W22" s="1"/>
      <c r="X22" s="1">
        <f t="shared" si="20"/>
        <v>6083.9599999999991</v>
      </c>
      <c r="Y22" s="1"/>
      <c r="Z22" s="5">
        <f t="shared" si="21"/>
        <v>0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6"/>
      <c r="E23" s="2"/>
      <c r="F23" s="7">
        <f t="shared" si="14"/>
        <v>0</v>
      </c>
      <c r="G23" s="2"/>
      <c r="H23" s="6">
        <v>0</v>
      </c>
      <c r="I23" s="2"/>
      <c r="J23" s="7">
        <f t="shared" si="15"/>
        <v>0</v>
      </c>
      <c r="K23" s="2"/>
      <c r="L23" s="6">
        <f t="shared" si="16"/>
        <v>0</v>
      </c>
      <c r="M23" s="2"/>
      <c r="N23" s="7">
        <f t="shared" si="17"/>
        <v>0</v>
      </c>
      <c r="O23" s="11"/>
      <c r="P23" s="6">
        <v>235.15</v>
      </c>
      <c r="Q23" s="2"/>
      <c r="R23" s="7">
        <f t="shared" si="18"/>
        <v>0</v>
      </c>
      <c r="S23" s="2"/>
      <c r="T23" s="6">
        <v>0</v>
      </c>
      <c r="U23" s="2"/>
      <c r="V23" s="7">
        <f t="shared" si="19"/>
        <v>0</v>
      </c>
      <c r="W23" s="2"/>
      <c r="X23" s="6">
        <f t="shared" si="20"/>
        <v>235.15</v>
      </c>
      <c r="Y23" s="2"/>
      <c r="Z23" s="7">
        <f t="shared" si="21"/>
        <v>0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6"/>
      <c r="E24" s="2"/>
      <c r="F24" s="7">
        <f t="shared" si="14"/>
        <v>0</v>
      </c>
      <c r="G24" s="2"/>
      <c r="H24" s="6">
        <v>0</v>
      </c>
      <c r="I24" s="2"/>
      <c r="J24" s="7">
        <f t="shared" si="15"/>
        <v>0</v>
      </c>
      <c r="K24" s="2"/>
      <c r="L24" s="6">
        <f t="shared" si="16"/>
        <v>0</v>
      </c>
      <c r="M24" s="2"/>
      <c r="N24" s="7">
        <f t="shared" si="17"/>
        <v>0</v>
      </c>
      <c r="O24" s="11"/>
      <c r="P24" s="6"/>
      <c r="Q24" s="2"/>
      <c r="R24" s="7">
        <f t="shared" si="18"/>
        <v>0</v>
      </c>
      <c r="S24" s="2"/>
      <c r="T24" s="6">
        <v>0</v>
      </c>
      <c r="U24" s="2"/>
      <c r="V24" s="7">
        <f t="shared" si="19"/>
        <v>0</v>
      </c>
      <c r="W24" s="2"/>
      <c r="X24" s="6">
        <f t="shared" si="20"/>
        <v>0</v>
      </c>
      <c r="Y24" s="2"/>
      <c r="Z24" s="7">
        <f t="shared" si="21"/>
        <v>0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6"/>
      <c r="E25" s="2"/>
      <c r="F25" s="7">
        <f t="shared" si="14"/>
        <v>0</v>
      </c>
      <c r="G25" s="2"/>
      <c r="H25" s="6">
        <v>0</v>
      </c>
      <c r="I25" s="2"/>
      <c r="J25" s="7">
        <f t="shared" si="15"/>
        <v>0</v>
      </c>
      <c r="K25" s="2"/>
      <c r="L25" s="6">
        <f t="shared" si="16"/>
        <v>0</v>
      </c>
      <c r="M25" s="2"/>
      <c r="N25" s="7">
        <f t="shared" si="17"/>
        <v>0</v>
      </c>
      <c r="O25" s="11"/>
      <c r="P25" s="6">
        <v>4780.67</v>
      </c>
      <c r="Q25" s="2"/>
      <c r="R25" s="7">
        <f t="shared" si="18"/>
        <v>0</v>
      </c>
      <c r="S25" s="2"/>
      <c r="T25" s="6">
        <v>0</v>
      </c>
      <c r="U25" s="2"/>
      <c r="V25" s="7">
        <f t="shared" si="19"/>
        <v>0</v>
      </c>
      <c r="W25" s="2"/>
      <c r="X25" s="6">
        <f t="shared" si="20"/>
        <v>4780.67</v>
      </c>
      <c r="Y25" s="2"/>
      <c r="Z25" s="7">
        <f t="shared" si="21"/>
        <v>0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6"/>
      <c r="E26" s="2"/>
      <c r="F26" s="7">
        <f t="shared" si="14"/>
        <v>0</v>
      </c>
      <c r="G26" s="2"/>
      <c r="H26" s="6">
        <v>0</v>
      </c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0</v>
      </c>
      <c r="U26" s="2"/>
      <c r="V26" s="7">
        <f t="shared" si="19"/>
        <v>0</v>
      </c>
      <c r="W26" s="2"/>
      <c r="X26" s="6">
        <f t="shared" si="20"/>
        <v>0</v>
      </c>
      <c r="Y26" s="2"/>
      <c r="Z26" s="7">
        <f t="shared" si="21"/>
        <v>0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6"/>
      <c r="E27" s="2"/>
      <c r="F27" s="7">
        <f t="shared" si="14"/>
        <v>0</v>
      </c>
      <c r="G27" s="2"/>
      <c r="H27" s="6">
        <v>0</v>
      </c>
      <c r="I27" s="2"/>
      <c r="J27" s="7">
        <f t="shared" si="15"/>
        <v>0</v>
      </c>
      <c r="K27" s="2"/>
      <c r="L27" s="6">
        <f t="shared" si="16"/>
        <v>0</v>
      </c>
      <c r="M27" s="2"/>
      <c r="N27" s="7">
        <f t="shared" si="17"/>
        <v>0</v>
      </c>
      <c r="O27" s="11"/>
      <c r="P27" s="6">
        <v>678.15</v>
      </c>
      <c r="Q27" s="2"/>
      <c r="R27" s="7">
        <f t="shared" si="18"/>
        <v>0</v>
      </c>
      <c r="S27" s="2"/>
      <c r="T27" s="6">
        <v>0</v>
      </c>
      <c r="U27" s="2"/>
      <c r="V27" s="7">
        <f t="shared" si="19"/>
        <v>0</v>
      </c>
      <c r="W27" s="2"/>
      <c r="X27" s="6">
        <f t="shared" si="20"/>
        <v>678.15</v>
      </c>
      <c r="Y27" s="2"/>
      <c r="Z27" s="7">
        <f t="shared" si="21"/>
        <v>0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4"/>
        <v>0</v>
      </c>
      <c r="G28" s="2"/>
      <c r="H28" s="6">
        <v>0</v>
      </c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0</v>
      </c>
      <c r="U28" s="2"/>
      <c r="V28" s="7">
        <f t="shared" si="19"/>
        <v>0</v>
      </c>
      <c r="W28" s="2"/>
      <c r="X28" s="6">
        <f t="shared" si="20"/>
        <v>0</v>
      </c>
      <c r="Y28" s="2"/>
      <c r="Z28" s="7">
        <f t="shared" si="21"/>
        <v>0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>
        <v>0</v>
      </c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>
        <v>248.21</v>
      </c>
      <c r="Q29" s="2"/>
      <c r="R29" s="7">
        <f t="shared" si="18"/>
        <v>0</v>
      </c>
      <c r="S29" s="2"/>
      <c r="T29" s="6">
        <v>0</v>
      </c>
      <c r="U29" s="2"/>
      <c r="V29" s="7">
        <f t="shared" si="19"/>
        <v>0</v>
      </c>
      <c r="W29" s="2"/>
      <c r="X29" s="6">
        <f t="shared" si="20"/>
        <v>248.21</v>
      </c>
      <c r="Y29" s="2"/>
      <c r="Z29" s="7">
        <f t="shared" si="21"/>
        <v>0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>
        <v>0</v>
      </c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>
        <v>141.78</v>
      </c>
      <c r="Q30" s="2"/>
      <c r="R30" s="7">
        <f t="shared" si="18"/>
        <v>0</v>
      </c>
      <c r="S30" s="2"/>
      <c r="T30" s="6">
        <v>0</v>
      </c>
      <c r="U30" s="2"/>
      <c r="V30" s="7">
        <f t="shared" si="19"/>
        <v>0</v>
      </c>
      <c r="W30" s="2"/>
      <c r="X30" s="6">
        <f t="shared" si="20"/>
        <v>141.78</v>
      </c>
      <c r="Y30" s="2"/>
      <c r="Z30" s="7">
        <f t="shared" si="21"/>
        <v>0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41" si="22">IF(D$12=0,0,D31/D$12)</f>
        <v>0</v>
      </c>
      <c r="G31" s="1"/>
      <c r="H31" s="1">
        <f>SUM(OSRRefH22_1x_0)</f>
        <v>0</v>
      </c>
      <c r="I31" s="1"/>
      <c r="J31" s="5">
        <f t="shared" ref="J31:J41" si="23">IF(H$12=0,0,H31/H$12)</f>
        <v>0</v>
      </c>
      <c r="K31" s="1"/>
      <c r="L31" s="1">
        <f t="shared" ref="L31:L41" si="24">+D31-H31</f>
        <v>0</v>
      </c>
      <c r="M31" s="1"/>
      <c r="N31" s="5">
        <f t="shared" ref="N31:N41" si="25">IF(H31=0,0,L31/H31)</f>
        <v>0</v>
      </c>
      <c r="O31" s="14"/>
      <c r="P31" s="1">
        <f>SUM(OSRRefP22_1x_0)</f>
        <v>2151.69</v>
      </c>
      <c r="Q31" s="1"/>
      <c r="R31" s="5">
        <f t="shared" ref="R31:R41" si="26">IF(P$12=0,0,P31/P$12)</f>
        <v>0</v>
      </c>
      <c r="S31" s="1"/>
      <c r="T31" s="1">
        <f>SUM(OSRRefT22_1x_0)</f>
        <v>0</v>
      </c>
      <c r="U31" s="1"/>
      <c r="V31" s="5">
        <f t="shared" ref="V31:V41" si="27">IF(T$12=0,0,T31/T$12)</f>
        <v>0</v>
      </c>
      <c r="W31" s="1"/>
      <c r="X31" s="1">
        <f t="shared" ref="X31:X41" si="28">+P31-T31</f>
        <v>2151.69</v>
      </c>
      <c r="Y31" s="1"/>
      <c r="Z31" s="5">
        <f t="shared" ref="Z31:Z41" si="29">IF(T31=0,0,X31/T31)</f>
        <v>0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6"/>
      <c r="E32" s="2"/>
      <c r="F32" s="7">
        <f t="shared" si="22"/>
        <v>0</v>
      </c>
      <c r="G32" s="2"/>
      <c r="H32" s="6">
        <v>0</v>
      </c>
      <c r="I32" s="2"/>
      <c r="J32" s="7">
        <f t="shared" si="23"/>
        <v>0</v>
      </c>
      <c r="K32" s="2"/>
      <c r="L32" s="6">
        <f t="shared" si="24"/>
        <v>0</v>
      </c>
      <c r="M32" s="2"/>
      <c r="N32" s="7">
        <f t="shared" si="25"/>
        <v>0</v>
      </c>
      <c r="O32" s="11"/>
      <c r="P32" s="6"/>
      <c r="Q32" s="2"/>
      <c r="R32" s="7">
        <f t="shared" si="26"/>
        <v>0</v>
      </c>
      <c r="S32" s="2"/>
      <c r="T32" s="6">
        <v>0</v>
      </c>
      <c r="U32" s="2"/>
      <c r="V32" s="7">
        <f t="shared" si="27"/>
        <v>0</v>
      </c>
      <c r="W32" s="2"/>
      <c r="X32" s="6">
        <f t="shared" si="28"/>
        <v>0</v>
      </c>
      <c r="Y32" s="2"/>
      <c r="Z32" s="7">
        <f t="shared" si="29"/>
        <v>0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>
        <v>0</v>
      </c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>
        <v>2151.69</v>
      </c>
      <c r="Q33" s="2"/>
      <c r="R33" s="7">
        <f t="shared" si="26"/>
        <v>0</v>
      </c>
      <c r="S33" s="2"/>
      <c r="T33" s="6">
        <v>0</v>
      </c>
      <c r="U33" s="2"/>
      <c r="V33" s="7">
        <f t="shared" si="27"/>
        <v>0</v>
      </c>
      <c r="W33" s="2"/>
      <c r="X33" s="6">
        <f t="shared" si="28"/>
        <v>2151.69</v>
      </c>
      <c r="Y33" s="2"/>
      <c r="Z33" s="7">
        <f t="shared" si="29"/>
        <v>0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22"/>
        <v>0</v>
      </c>
      <c r="G34" s="2"/>
      <c r="H34" s="6">
        <v>0</v>
      </c>
      <c r="I34" s="2"/>
      <c r="J34" s="7">
        <f t="shared" si="23"/>
        <v>0</v>
      </c>
      <c r="K34" s="2"/>
      <c r="L34" s="6">
        <f t="shared" si="24"/>
        <v>0</v>
      </c>
      <c r="M34" s="2"/>
      <c r="N34" s="7">
        <f t="shared" si="25"/>
        <v>0</v>
      </c>
      <c r="O34" s="11"/>
      <c r="P34" s="6"/>
      <c r="Q34" s="2"/>
      <c r="R34" s="7">
        <f t="shared" si="26"/>
        <v>0</v>
      </c>
      <c r="S34" s="2"/>
      <c r="T34" s="6">
        <v>0</v>
      </c>
      <c r="U34" s="2"/>
      <c r="V34" s="7">
        <f t="shared" si="27"/>
        <v>0</v>
      </c>
      <c r="W34" s="2"/>
      <c r="X34" s="6">
        <f t="shared" si="28"/>
        <v>0</v>
      </c>
      <c r="Y34" s="2"/>
      <c r="Z34" s="7">
        <f t="shared" si="29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22"/>
        <v>0</v>
      </c>
      <c r="G35" s="2"/>
      <c r="H35" s="6">
        <v>0</v>
      </c>
      <c r="I35" s="2"/>
      <c r="J35" s="7">
        <f t="shared" si="23"/>
        <v>0</v>
      </c>
      <c r="K35" s="2"/>
      <c r="L35" s="6">
        <f t="shared" si="24"/>
        <v>0</v>
      </c>
      <c r="M35" s="2"/>
      <c r="N35" s="7">
        <f t="shared" si="25"/>
        <v>0</v>
      </c>
      <c r="O35" s="11"/>
      <c r="P35" s="6"/>
      <c r="Q35" s="2"/>
      <c r="R35" s="7">
        <f t="shared" si="26"/>
        <v>0</v>
      </c>
      <c r="S35" s="2"/>
      <c r="T35" s="6">
        <v>0</v>
      </c>
      <c r="U35" s="2"/>
      <c r="V35" s="7">
        <f t="shared" si="27"/>
        <v>0</v>
      </c>
      <c r="W35" s="2"/>
      <c r="X35" s="6">
        <f t="shared" si="28"/>
        <v>0</v>
      </c>
      <c r="Y35" s="2"/>
      <c r="Z35" s="7">
        <f t="shared" si="29"/>
        <v>0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6"/>
      <c r="E36" s="2"/>
      <c r="F36" s="7">
        <f t="shared" si="22"/>
        <v>0</v>
      </c>
      <c r="G36" s="2"/>
      <c r="H36" s="6">
        <v>0</v>
      </c>
      <c r="I36" s="2"/>
      <c r="J36" s="7">
        <f t="shared" si="23"/>
        <v>0</v>
      </c>
      <c r="K36" s="2"/>
      <c r="L36" s="6">
        <f t="shared" si="24"/>
        <v>0</v>
      </c>
      <c r="M36" s="2"/>
      <c r="N36" s="7">
        <f t="shared" si="25"/>
        <v>0</v>
      </c>
      <c r="O36" s="11"/>
      <c r="P36" s="6"/>
      <c r="Q36" s="2"/>
      <c r="R36" s="7">
        <f t="shared" si="26"/>
        <v>0</v>
      </c>
      <c r="S36" s="2"/>
      <c r="T36" s="6">
        <v>0</v>
      </c>
      <c r="U36" s="2"/>
      <c r="V36" s="7">
        <f t="shared" si="27"/>
        <v>0</v>
      </c>
      <c r="W36" s="2"/>
      <c r="X36" s="6">
        <f t="shared" si="28"/>
        <v>0</v>
      </c>
      <c r="Y36" s="2"/>
      <c r="Z36" s="7">
        <f t="shared" si="29"/>
        <v>0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22"/>
        <v>0</v>
      </c>
      <c r="G37" s="2"/>
      <c r="H37" s="6">
        <v>0</v>
      </c>
      <c r="I37" s="2"/>
      <c r="J37" s="7">
        <f t="shared" si="23"/>
        <v>0</v>
      </c>
      <c r="K37" s="2"/>
      <c r="L37" s="6">
        <f t="shared" si="24"/>
        <v>0</v>
      </c>
      <c r="M37" s="2"/>
      <c r="N37" s="7">
        <f t="shared" si="25"/>
        <v>0</v>
      </c>
      <c r="O37" s="11"/>
      <c r="P37" s="6"/>
      <c r="Q37" s="2"/>
      <c r="R37" s="7">
        <f t="shared" si="26"/>
        <v>0</v>
      </c>
      <c r="S37" s="2"/>
      <c r="T37" s="6">
        <v>0</v>
      </c>
      <c r="U37" s="2"/>
      <c r="V37" s="7">
        <f t="shared" si="27"/>
        <v>0</v>
      </c>
      <c r="W37" s="2"/>
      <c r="X37" s="6">
        <f t="shared" si="28"/>
        <v>0</v>
      </c>
      <c r="Y37" s="2"/>
      <c r="Z37" s="7">
        <f t="shared" si="29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6"/>
      <c r="E38" s="2"/>
      <c r="F38" s="7">
        <f t="shared" si="22"/>
        <v>0</v>
      </c>
      <c r="G38" s="2"/>
      <c r="H38" s="6">
        <v>0</v>
      </c>
      <c r="I38" s="2"/>
      <c r="J38" s="7">
        <f t="shared" si="23"/>
        <v>0</v>
      </c>
      <c r="K38" s="2"/>
      <c r="L38" s="6">
        <f t="shared" si="24"/>
        <v>0</v>
      </c>
      <c r="M38" s="2"/>
      <c r="N38" s="7">
        <f t="shared" si="25"/>
        <v>0</v>
      </c>
      <c r="O38" s="11"/>
      <c r="P38" s="6"/>
      <c r="Q38" s="2"/>
      <c r="R38" s="7">
        <f t="shared" si="26"/>
        <v>0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0</v>
      </c>
      <c r="Y38" s="2"/>
      <c r="Z38" s="7">
        <f t="shared" si="29"/>
        <v>0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/>
      <c r="E39" s="2"/>
      <c r="F39" s="7">
        <f t="shared" si="22"/>
        <v>0</v>
      </c>
      <c r="G39" s="2"/>
      <c r="H39" s="6">
        <v>0</v>
      </c>
      <c r="I39" s="2"/>
      <c r="J39" s="7">
        <f t="shared" si="23"/>
        <v>0</v>
      </c>
      <c r="K39" s="2"/>
      <c r="L39" s="6">
        <f t="shared" si="24"/>
        <v>0</v>
      </c>
      <c r="M39" s="2"/>
      <c r="N39" s="7">
        <f t="shared" si="25"/>
        <v>0</v>
      </c>
      <c r="O39" s="11"/>
      <c r="P39" s="6"/>
      <c r="Q39" s="2"/>
      <c r="R39" s="7">
        <f t="shared" si="26"/>
        <v>0</v>
      </c>
      <c r="S39" s="2"/>
      <c r="T39" s="6">
        <v>0</v>
      </c>
      <c r="U39" s="2"/>
      <c r="V39" s="7">
        <f t="shared" si="27"/>
        <v>0</v>
      </c>
      <c r="W39" s="2"/>
      <c r="X39" s="6">
        <f t="shared" si="28"/>
        <v>0</v>
      </c>
      <c r="Y39" s="2"/>
      <c r="Z39" s="7">
        <f t="shared" si="29"/>
        <v>0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22"/>
        <v>0</v>
      </c>
      <c r="G40" s="2"/>
      <c r="H40" s="6">
        <v>0</v>
      </c>
      <c r="I40" s="2"/>
      <c r="J40" s="7">
        <f t="shared" si="23"/>
        <v>0</v>
      </c>
      <c r="K40" s="2"/>
      <c r="L40" s="6">
        <f t="shared" si="24"/>
        <v>0</v>
      </c>
      <c r="M40" s="2"/>
      <c r="N40" s="7">
        <f t="shared" si="25"/>
        <v>0</v>
      </c>
      <c r="O40" s="11"/>
      <c r="P40" s="6"/>
      <c r="Q40" s="2"/>
      <c r="R40" s="7">
        <f t="shared" si="26"/>
        <v>0</v>
      </c>
      <c r="S40" s="2"/>
      <c r="T40" s="6">
        <v>0</v>
      </c>
      <c r="U40" s="2"/>
      <c r="V40" s="7">
        <f t="shared" si="27"/>
        <v>0</v>
      </c>
      <c r="W40" s="2"/>
      <c r="X40" s="6">
        <f t="shared" si="28"/>
        <v>0</v>
      </c>
      <c r="Y40" s="2"/>
      <c r="Z40" s="7">
        <f t="shared" si="29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22"/>
        <v>0</v>
      </c>
      <c r="G41" s="2"/>
      <c r="H41" s="6">
        <v>0</v>
      </c>
      <c r="I41" s="2"/>
      <c r="J41" s="7">
        <f t="shared" si="23"/>
        <v>0</v>
      </c>
      <c r="K41" s="2"/>
      <c r="L41" s="6">
        <f t="shared" si="24"/>
        <v>0</v>
      </c>
      <c r="M41" s="2"/>
      <c r="N41" s="7">
        <f t="shared" si="25"/>
        <v>0</v>
      </c>
      <c r="O41" s="11"/>
      <c r="P41" s="6"/>
      <c r="Q41" s="2"/>
      <c r="R41" s="7">
        <f t="shared" si="26"/>
        <v>0</v>
      </c>
      <c r="S41" s="2"/>
      <c r="T41" s="6">
        <v>0</v>
      </c>
      <c r="U41" s="2"/>
      <c r="V41" s="7">
        <f t="shared" si="27"/>
        <v>0</v>
      </c>
      <c r="W41" s="2"/>
      <c r="X41" s="6">
        <f t="shared" si="28"/>
        <v>0</v>
      </c>
      <c r="Y41" s="2"/>
      <c r="Z41" s="7">
        <f t="shared" si="29"/>
        <v>0</v>
      </c>
    </row>
    <row r="42" spans="1:26" s="28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48" si="30">IF(D$12=0,0,D42/D$12)</f>
        <v>0</v>
      </c>
      <c r="G42" s="1"/>
      <c r="H42" s="1">
        <f>SUM(OSRRefH22_2x_0)</f>
        <v>0</v>
      </c>
      <c r="I42" s="1"/>
      <c r="J42" s="5">
        <f t="shared" ref="J42:J48" si="31">IF(H$12=0,0,H42/H$12)</f>
        <v>0</v>
      </c>
      <c r="K42" s="1"/>
      <c r="L42" s="1">
        <f t="shared" ref="L42:L48" si="32">+D42-H42</f>
        <v>0</v>
      </c>
      <c r="M42" s="1"/>
      <c r="N42" s="5">
        <f t="shared" ref="N42:N48" si="33">IF(H42=0,0,L42/H42)</f>
        <v>0</v>
      </c>
      <c r="O42" s="14"/>
      <c r="P42" s="1">
        <f>SUM(OSRRefP22_2x_0)</f>
        <v>0</v>
      </c>
      <c r="Q42" s="1"/>
      <c r="R42" s="5">
        <f t="shared" ref="R42:R48" si="34">IF(P$12=0,0,P42/P$12)</f>
        <v>0</v>
      </c>
      <c r="S42" s="1"/>
      <c r="T42" s="1">
        <f>SUM(OSRRefT22_2x_0)</f>
        <v>0</v>
      </c>
      <c r="U42" s="1"/>
      <c r="V42" s="5">
        <f t="shared" ref="V42:V48" si="35">IF(T$12=0,0,T42/T$12)</f>
        <v>0</v>
      </c>
      <c r="W42" s="1"/>
      <c r="X42" s="1">
        <f t="shared" ref="X42:X48" si="36">+P42-T42</f>
        <v>0</v>
      </c>
      <c r="Y42" s="1"/>
      <c r="Z42" s="5">
        <f t="shared" ref="Z42:Z48" si="37">IF(T42=0,0,X42/T42)</f>
        <v>0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30"/>
        <v>0</v>
      </c>
      <c r="G43" s="2"/>
      <c r="H43" s="6">
        <v>0</v>
      </c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/>
      <c r="Q43" s="2"/>
      <c r="R43" s="7">
        <f t="shared" si="34"/>
        <v>0</v>
      </c>
      <c r="S43" s="2"/>
      <c r="T43" s="6">
        <v>0</v>
      </c>
      <c r="U43" s="2"/>
      <c r="V43" s="7">
        <f t="shared" si="35"/>
        <v>0</v>
      </c>
      <c r="W43" s="2"/>
      <c r="X43" s="6">
        <f t="shared" si="36"/>
        <v>0</v>
      </c>
      <c r="Y43" s="2"/>
      <c r="Z43" s="7">
        <f t="shared" si="37"/>
        <v>0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0</v>
      </c>
      <c r="E44" s="1"/>
      <c r="F44" s="5">
        <f t="shared" si="30"/>
        <v>0</v>
      </c>
      <c r="G44" s="1"/>
      <c r="H44" s="1">
        <f>SUM(OSRRefH22_3x_0)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SUM(OSRRefP22_3x_0)</f>
        <v>0</v>
      </c>
      <c r="Q44" s="1"/>
      <c r="R44" s="5">
        <f t="shared" si="34"/>
        <v>0</v>
      </c>
      <c r="S44" s="1"/>
      <c r="T44" s="1">
        <f>SUM(OSRRefT22_3x_0)</f>
        <v>0</v>
      </c>
      <c r="U44" s="1"/>
      <c r="V44" s="5">
        <f t="shared" si="35"/>
        <v>0</v>
      </c>
      <c r="W44" s="1"/>
      <c r="X44" s="1">
        <f t="shared" si="36"/>
        <v>0</v>
      </c>
      <c r="Y44" s="1"/>
      <c r="Z44" s="5">
        <f t="shared" si="37"/>
        <v>0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6"/>
      <c r="E45" s="2"/>
      <c r="F45" s="7">
        <f t="shared" si="30"/>
        <v>0</v>
      </c>
      <c r="G45" s="2"/>
      <c r="H45" s="6">
        <v>0</v>
      </c>
      <c r="I45" s="2"/>
      <c r="J45" s="7">
        <f t="shared" si="31"/>
        <v>0</v>
      </c>
      <c r="K45" s="2"/>
      <c r="L45" s="6">
        <f t="shared" si="32"/>
        <v>0</v>
      </c>
      <c r="M45" s="2"/>
      <c r="N45" s="7">
        <f t="shared" si="33"/>
        <v>0</v>
      </c>
      <c r="O45" s="11"/>
      <c r="P45" s="6"/>
      <c r="Q45" s="2"/>
      <c r="R45" s="7">
        <f t="shared" si="34"/>
        <v>0</v>
      </c>
      <c r="S45" s="2"/>
      <c r="T45" s="6">
        <v>0</v>
      </c>
      <c r="U45" s="2"/>
      <c r="V45" s="7">
        <f t="shared" si="35"/>
        <v>0</v>
      </c>
      <c r="W45" s="2"/>
      <c r="X45" s="6">
        <f t="shared" si="36"/>
        <v>0</v>
      </c>
      <c r="Y45" s="2"/>
      <c r="Z45" s="7">
        <f t="shared" si="37"/>
        <v>0</v>
      </c>
    </row>
    <row r="46" spans="1:26" s="28" customFormat="1" outlineLevel="1" collapsed="1" x14ac:dyDescent="0.25">
      <c r="A46" s="27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SUM(OSRRefD22_4x_0)</f>
        <v>7177.55</v>
      </c>
      <c r="E46" s="1"/>
      <c r="F46" s="5">
        <f t="shared" si="30"/>
        <v>0</v>
      </c>
      <c r="G46" s="1"/>
      <c r="H46" s="1">
        <f>SUM(OSRRefH22_4x_0)</f>
        <v>7178</v>
      </c>
      <c r="I46" s="1"/>
      <c r="J46" s="5">
        <f t="shared" si="31"/>
        <v>0</v>
      </c>
      <c r="K46" s="1"/>
      <c r="L46" s="1">
        <f t="shared" si="32"/>
        <v>-0.4499999999998181</v>
      </c>
      <c r="M46" s="1"/>
      <c r="N46" s="5">
        <f t="shared" si="33"/>
        <v>-6.2691557536893023E-5</v>
      </c>
      <c r="O46" s="14"/>
      <c r="P46" s="1">
        <f>SUM(OSRRefP22_4x_0)</f>
        <v>21532.65</v>
      </c>
      <c r="Q46" s="1"/>
      <c r="R46" s="5">
        <f t="shared" si="34"/>
        <v>0</v>
      </c>
      <c r="S46" s="1"/>
      <c r="T46" s="1">
        <f>SUM(OSRRefT22_4x_0)</f>
        <v>21534</v>
      </c>
      <c r="U46" s="1"/>
      <c r="V46" s="5">
        <f t="shared" si="35"/>
        <v>0</v>
      </c>
      <c r="W46" s="1"/>
      <c r="X46" s="1">
        <f t="shared" si="36"/>
        <v>-1.3499999999985448</v>
      </c>
      <c r="Y46" s="1"/>
      <c r="Z46" s="5">
        <f t="shared" si="37"/>
        <v>-6.269155753685078E-5</v>
      </c>
    </row>
    <row r="47" spans="1:26" s="24" customFormat="1" hidden="1" outlineLevel="2" x14ac:dyDescent="0.25">
      <c r="A47" s="29"/>
      <c r="B47" s="11" t="str">
        <f>CONCATENATE("          ", "6321", " - ", "BUILDING DEPRECIATION")</f>
        <v xml:space="preserve">          6321 - BUILDING DEPRECIATION</v>
      </c>
      <c r="C47" s="11"/>
      <c r="D47" s="6">
        <v>6537.05</v>
      </c>
      <c r="E47" s="2"/>
      <c r="F47" s="7">
        <f t="shared" si="30"/>
        <v>0</v>
      </c>
      <c r="G47" s="2"/>
      <c r="H47" s="6"/>
      <c r="I47" s="2"/>
      <c r="J47" s="7">
        <f t="shared" si="31"/>
        <v>0</v>
      </c>
      <c r="K47" s="2"/>
      <c r="L47" s="6">
        <f t="shared" si="32"/>
        <v>6537.05</v>
      </c>
      <c r="M47" s="2"/>
      <c r="N47" s="7">
        <f t="shared" si="33"/>
        <v>0</v>
      </c>
      <c r="O47" s="11"/>
      <c r="P47" s="6">
        <v>19611.150000000001</v>
      </c>
      <c r="Q47" s="2"/>
      <c r="R47" s="7">
        <f t="shared" si="34"/>
        <v>0</v>
      </c>
      <c r="S47" s="2"/>
      <c r="T47" s="6"/>
      <c r="U47" s="2"/>
      <c r="V47" s="7">
        <f t="shared" si="35"/>
        <v>0</v>
      </c>
      <c r="W47" s="2"/>
      <c r="X47" s="6">
        <f t="shared" si="36"/>
        <v>19611.150000000001</v>
      </c>
      <c r="Y47" s="2"/>
      <c r="Z47" s="7">
        <f t="shared" si="37"/>
        <v>0</v>
      </c>
    </row>
    <row r="48" spans="1:26" s="24" customFormat="1" hidden="1" outlineLevel="2" x14ac:dyDescent="0.2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640.5</v>
      </c>
      <c r="E48" s="2"/>
      <c r="F48" s="7">
        <f t="shared" si="30"/>
        <v>0</v>
      </c>
      <c r="G48" s="2"/>
      <c r="H48" s="6">
        <v>7178</v>
      </c>
      <c r="I48" s="2"/>
      <c r="J48" s="7">
        <f t="shared" si="31"/>
        <v>0</v>
      </c>
      <c r="K48" s="2"/>
      <c r="L48" s="6">
        <f t="shared" si="32"/>
        <v>-6537.5</v>
      </c>
      <c r="M48" s="2"/>
      <c r="N48" s="7">
        <f t="shared" si="33"/>
        <v>-0.91076901643911956</v>
      </c>
      <c r="O48" s="11"/>
      <c r="P48" s="6">
        <v>1921.5</v>
      </c>
      <c r="Q48" s="2"/>
      <c r="R48" s="7">
        <f t="shared" si="34"/>
        <v>0</v>
      </c>
      <c r="S48" s="2"/>
      <c r="T48" s="6">
        <v>21534</v>
      </c>
      <c r="U48" s="2"/>
      <c r="V48" s="7">
        <f t="shared" si="35"/>
        <v>0</v>
      </c>
      <c r="W48" s="2"/>
      <c r="X48" s="6">
        <f t="shared" si="36"/>
        <v>-19612.5</v>
      </c>
      <c r="Y48" s="2"/>
      <c r="Z48" s="7">
        <f t="shared" si="37"/>
        <v>-0.91076901643911956</v>
      </c>
    </row>
    <row r="49" spans="1:26" s="28" customFormat="1" outlineLevel="1" collapsed="1" x14ac:dyDescent="0.25">
      <c r="A49" s="27"/>
      <c r="B49" s="14" t="str">
        <f>CONCATENATE("     ","Employees' Appreciation                           ")</f>
        <v xml:space="preserve">     Employees' Appreciation                           </v>
      </c>
      <c r="C49" s="14"/>
      <c r="D49" s="1">
        <f>SUM(OSRRefD22_5x_0)</f>
        <v>0</v>
      </c>
      <c r="E49" s="1"/>
      <c r="F49" s="5">
        <f t="shared" ref="F49:F58" si="38">IF(D$12=0,0,D49/D$12)</f>
        <v>0</v>
      </c>
      <c r="G49" s="1"/>
      <c r="H49" s="1">
        <f>SUM(OSRRefH22_5x_0)</f>
        <v>0</v>
      </c>
      <c r="I49" s="1"/>
      <c r="J49" s="5">
        <f t="shared" ref="J49:J58" si="39">IF(H$12=0,0,H49/H$12)</f>
        <v>0</v>
      </c>
      <c r="K49" s="1"/>
      <c r="L49" s="1">
        <f t="shared" ref="L49:L58" si="40">+D49-H49</f>
        <v>0</v>
      </c>
      <c r="M49" s="1"/>
      <c r="N49" s="5">
        <f t="shared" ref="N49:N58" si="41">IF(H49=0,0,L49/H49)</f>
        <v>0</v>
      </c>
      <c r="O49" s="14"/>
      <c r="P49" s="1">
        <f>SUM(OSRRefP22_5x_0)</f>
        <v>0</v>
      </c>
      <c r="Q49" s="1"/>
      <c r="R49" s="5">
        <f t="shared" ref="R49:R58" si="42">IF(P$12=0,0,P49/P$12)</f>
        <v>0</v>
      </c>
      <c r="S49" s="1"/>
      <c r="T49" s="1">
        <f>SUM(OSRRefT22_5x_0)</f>
        <v>0</v>
      </c>
      <c r="U49" s="1"/>
      <c r="V49" s="5">
        <f t="shared" ref="V49:V58" si="43">IF(T$12=0,0,T49/T$12)</f>
        <v>0</v>
      </c>
      <c r="W49" s="1"/>
      <c r="X49" s="1">
        <f t="shared" ref="X49:X58" si="44">+P49-T49</f>
        <v>0</v>
      </c>
      <c r="Y49" s="1"/>
      <c r="Z49" s="5">
        <f t="shared" ref="Z49:Z58" si="45">IF(T49=0,0,X49/T49)</f>
        <v>0</v>
      </c>
    </row>
    <row r="50" spans="1:26" s="24" customFormat="1" hidden="1" outlineLevel="2" x14ac:dyDescent="0.25">
      <c r="A50" s="29"/>
      <c r="B50" s="11" t="str">
        <f>CONCATENATE("          ", "6277", " - ", "EMPLOYEE APPRECIATION")</f>
        <v xml:space="preserve">          6277 - EMPLOYEE APPRECIATION</v>
      </c>
      <c r="C50" s="11"/>
      <c r="D50" s="6"/>
      <c r="E50" s="2"/>
      <c r="F50" s="7">
        <f t="shared" si="38"/>
        <v>0</v>
      </c>
      <c r="G50" s="2"/>
      <c r="H50" s="6">
        <v>0</v>
      </c>
      <c r="I50" s="2"/>
      <c r="J50" s="7">
        <f t="shared" si="39"/>
        <v>0</v>
      </c>
      <c r="K50" s="2"/>
      <c r="L50" s="6">
        <f t="shared" si="40"/>
        <v>0</v>
      </c>
      <c r="M50" s="2"/>
      <c r="N50" s="7">
        <f t="shared" si="41"/>
        <v>0</v>
      </c>
      <c r="O50" s="11"/>
      <c r="P50" s="6"/>
      <c r="Q50" s="2"/>
      <c r="R50" s="7">
        <f t="shared" si="42"/>
        <v>0</v>
      </c>
      <c r="S50" s="2"/>
      <c r="T50" s="6">
        <v>0</v>
      </c>
      <c r="U50" s="2"/>
      <c r="V50" s="7">
        <f t="shared" si="43"/>
        <v>0</v>
      </c>
      <c r="W50" s="2"/>
      <c r="X50" s="6">
        <f t="shared" si="44"/>
        <v>0</v>
      </c>
      <c r="Y50" s="2"/>
      <c r="Z50" s="7">
        <f t="shared" si="45"/>
        <v>0</v>
      </c>
    </row>
    <row r="51" spans="1:26" s="28" customFormat="1" outlineLevel="1" collapsed="1" x14ac:dyDescent="0.2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SUM(OSRRefD22_6x_0)</f>
        <v>0</v>
      </c>
      <c r="E51" s="1"/>
      <c r="F51" s="5">
        <f t="shared" si="38"/>
        <v>0</v>
      </c>
      <c r="G51" s="1"/>
      <c r="H51" s="1">
        <f>SUM(OSRRefH22_6x_0)</f>
        <v>0</v>
      </c>
      <c r="I51" s="1"/>
      <c r="J51" s="5">
        <f t="shared" si="39"/>
        <v>0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SUM(OSRRefP22_6x_0)</f>
        <v>263.72000000000003</v>
      </c>
      <c r="Q51" s="1"/>
      <c r="R51" s="5">
        <f t="shared" si="42"/>
        <v>0</v>
      </c>
      <c r="S51" s="1"/>
      <c r="T51" s="1">
        <f>SUM(OSRRefT22_6x_0)</f>
        <v>0</v>
      </c>
      <c r="U51" s="1"/>
      <c r="V51" s="5">
        <f t="shared" si="43"/>
        <v>0</v>
      </c>
      <c r="W51" s="1"/>
      <c r="X51" s="1">
        <f t="shared" si="44"/>
        <v>263.72000000000003</v>
      </c>
      <c r="Y51" s="1"/>
      <c r="Z51" s="5">
        <f t="shared" si="45"/>
        <v>0</v>
      </c>
    </row>
    <row r="52" spans="1:26" s="24" customFormat="1" hidden="1" outlineLevel="2" x14ac:dyDescent="0.25">
      <c r="A52" s="29"/>
      <c r="B52" s="11" t="str">
        <f>CONCATENATE("          ", "6351", " - ", "EQUIPMENT RENTAL")</f>
        <v xml:space="preserve">          6351 - EQUIPMENT RENTAL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>
        <v>263.72000000000003</v>
      </c>
      <c r="Q52" s="2"/>
      <c r="R52" s="7">
        <f t="shared" si="42"/>
        <v>0</v>
      </c>
      <c r="S52" s="2"/>
      <c r="T52" s="6"/>
      <c r="U52" s="2"/>
      <c r="V52" s="7">
        <f t="shared" si="43"/>
        <v>0</v>
      </c>
      <c r="W52" s="2"/>
      <c r="X52" s="6">
        <f t="shared" si="44"/>
        <v>263.72000000000003</v>
      </c>
      <c r="Y52" s="2"/>
      <c r="Z52" s="7">
        <f t="shared" si="45"/>
        <v>0</v>
      </c>
    </row>
    <row r="53" spans="1:26" s="28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SUM(OSRRefD22_7x_0)</f>
        <v>0</v>
      </c>
      <c r="E53" s="1"/>
      <c r="F53" s="5">
        <f t="shared" si="38"/>
        <v>0</v>
      </c>
      <c r="G53" s="1"/>
      <c r="H53" s="1">
        <f>SUM(OSRRefH22_7x_0)</f>
        <v>0</v>
      </c>
      <c r="I53" s="1"/>
      <c r="J53" s="5">
        <f t="shared" si="39"/>
        <v>0</v>
      </c>
      <c r="K53" s="1"/>
      <c r="L53" s="1">
        <f t="shared" si="40"/>
        <v>0</v>
      </c>
      <c r="M53" s="1"/>
      <c r="N53" s="5">
        <f t="shared" si="41"/>
        <v>0</v>
      </c>
      <c r="O53" s="14"/>
      <c r="P53" s="1">
        <f>SUM(OSRRefP22_7x_0)</f>
        <v>1284.55</v>
      </c>
      <c r="Q53" s="1"/>
      <c r="R53" s="5">
        <f t="shared" si="42"/>
        <v>0</v>
      </c>
      <c r="S53" s="1"/>
      <c r="T53" s="1">
        <f>SUM(OSRRefT22_7x_0)</f>
        <v>0</v>
      </c>
      <c r="U53" s="1"/>
      <c r="V53" s="5">
        <f t="shared" si="43"/>
        <v>0</v>
      </c>
      <c r="W53" s="1"/>
      <c r="X53" s="1">
        <f t="shared" si="44"/>
        <v>1284.55</v>
      </c>
      <c r="Y53" s="1"/>
      <c r="Z53" s="5">
        <f t="shared" si="45"/>
        <v>0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6"/>
      <c r="E54" s="2"/>
      <c r="F54" s="7">
        <f t="shared" si="38"/>
        <v>0</v>
      </c>
      <c r="G54" s="2"/>
      <c r="H54" s="6"/>
      <c r="I54" s="2"/>
      <c r="J54" s="7">
        <f t="shared" si="39"/>
        <v>0</v>
      </c>
      <c r="K54" s="2"/>
      <c r="L54" s="6">
        <f t="shared" si="40"/>
        <v>0</v>
      </c>
      <c r="M54" s="2"/>
      <c r="N54" s="7">
        <f t="shared" si="41"/>
        <v>0</v>
      </c>
      <c r="O54" s="11"/>
      <c r="P54" s="6">
        <v>1284.55</v>
      </c>
      <c r="Q54" s="2"/>
      <c r="R54" s="7">
        <f t="shared" si="42"/>
        <v>0</v>
      </c>
      <c r="S54" s="2"/>
      <c r="T54" s="6">
        <v>0</v>
      </c>
      <c r="U54" s="2"/>
      <c r="V54" s="7">
        <f t="shared" si="43"/>
        <v>0</v>
      </c>
      <c r="W54" s="2"/>
      <c r="X54" s="6">
        <f t="shared" si="44"/>
        <v>1284.55</v>
      </c>
      <c r="Y54" s="2"/>
      <c r="Z54" s="7">
        <f t="shared" si="45"/>
        <v>0</v>
      </c>
    </row>
    <row r="55" spans="1:26" s="28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SUM(OSRRefD22_8x_0)</f>
        <v>198.87</v>
      </c>
      <c r="E55" s="1"/>
      <c r="F55" s="5">
        <f t="shared" si="38"/>
        <v>0</v>
      </c>
      <c r="G55" s="1"/>
      <c r="H55" s="1">
        <f>SUM(OSRRefH22_8x_0)</f>
        <v>0</v>
      </c>
      <c r="I55" s="1"/>
      <c r="J55" s="5">
        <f t="shared" si="39"/>
        <v>0</v>
      </c>
      <c r="K55" s="1"/>
      <c r="L55" s="1">
        <f t="shared" si="40"/>
        <v>198.87</v>
      </c>
      <c r="M55" s="1"/>
      <c r="N55" s="5">
        <f t="shared" si="41"/>
        <v>0</v>
      </c>
      <c r="O55" s="14"/>
      <c r="P55" s="1">
        <f>SUM(OSRRefP22_8x_0)</f>
        <v>277.47000000000003</v>
      </c>
      <c r="Q55" s="1"/>
      <c r="R55" s="5">
        <f t="shared" si="42"/>
        <v>0</v>
      </c>
      <c r="S55" s="1"/>
      <c r="T55" s="1">
        <f>SUM(OSRRefT22_8x_0)</f>
        <v>0</v>
      </c>
      <c r="U55" s="1"/>
      <c r="V55" s="5">
        <f t="shared" si="43"/>
        <v>0</v>
      </c>
      <c r="W55" s="1"/>
      <c r="X55" s="1">
        <f t="shared" si="44"/>
        <v>277.47000000000003</v>
      </c>
      <c r="Y55" s="1"/>
      <c r="Z55" s="5">
        <f t="shared" si="45"/>
        <v>0</v>
      </c>
    </row>
    <row r="56" spans="1:26" s="24" customFormat="1" hidden="1" outlineLevel="2" x14ac:dyDescent="0.25">
      <c r="A56" s="29"/>
      <c r="B56" s="11" t="str">
        <f>CONCATENATE("          ", "6372", " - ", "COMPUTER HARDWARE MAINTENANCE")</f>
        <v xml:space="preserve">          6372 - COMPUTER HARDWARE MAINTENANCE</v>
      </c>
      <c r="C56" s="11"/>
      <c r="D56" s="6"/>
      <c r="E56" s="2"/>
      <c r="F56" s="7">
        <f t="shared" si="38"/>
        <v>0</v>
      </c>
      <c r="G56" s="2"/>
      <c r="H56" s="6"/>
      <c r="I56" s="2"/>
      <c r="J56" s="7">
        <f t="shared" si="39"/>
        <v>0</v>
      </c>
      <c r="K56" s="2"/>
      <c r="L56" s="6">
        <f t="shared" si="40"/>
        <v>0</v>
      </c>
      <c r="M56" s="2"/>
      <c r="N56" s="7">
        <f t="shared" si="41"/>
        <v>0</v>
      </c>
      <c r="O56" s="11"/>
      <c r="P56" s="6"/>
      <c r="Q56" s="2"/>
      <c r="R56" s="7">
        <f t="shared" si="42"/>
        <v>0</v>
      </c>
      <c r="S56" s="2"/>
      <c r="T56" s="6">
        <v>0</v>
      </c>
      <c r="U56" s="2"/>
      <c r="V56" s="7">
        <f t="shared" si="43"/>
        <v>0</v>
      </c>
      <c r="W56" s="2"/>
      <c r="X56" s="6">
        <f t="shared" si="44"/>
        <v>0</v>
      </c>
      <c r="Y56" s="2"/>
      <c r="Z56" s="7">
        <f t="shared" si="45"/>
        <v>0</v>
      </c>
    </row>
    <row r="57" spans="1:26" s="24" customFormat="1" hidden="1" outlineLevel="2" x14ac:dyDescent="0.25">
      <c r="A57" s="29"/>
      <c r="B57" s="11" t="str">
        <f>CONCATENATE("          ", "6373", " - ", "MAINTENANCE CONTRACTS")</f>
        <v xml:space="preserve">          6373 - MAINTENANCE CONTRACTS</v>
      </c>
      <c r="C57" s="11"/>
      <c r="D57" s="6">
        <v>198.87</v>
      </c>
      <c r="E57" s="2"/>
      <c r="F57" s="7">
        <f t="shared" si="38"/>
        <v>0</v>
      </c>
      <c r="G57" s="2"/>
      <c r="H57" s="6"/>
      <c r="I57" s="2"/>
      <c r="J57" s="7">
        <f t="shared" si="39"/>
        <v>0</v>
      </c>
      <c r="K57" s="2"/>
      <c r="L57" s="6">
        <f t="shared" si="40"/>
        <v>198.87</v>
      </c>
      <c r="M57" s="2"/>
      <c r="N57" s="7">
        <f t="shared" si="41"/>
        <v>0</v>
      </c>
      <c r="O57" s="11"/>
      <c r="P57" s="6">
        <v>277.47000000000003</v>
      </c>
      <c r="Q57" s="2"/>
      <c r="R57" s="7">
        <f t="shared" si="42"/>
        <v>0</v>
      </c>
      <c r="S57" s="2"/>
      <c r="T57" s="6">
        <v>0</v>
      </c>
      <c r="U57" s="2"/>
      <c r="V57" s="7">
        <f t="shared" si="43"/>
        <v>0</v>
      </c>
      <c r="W57" s="2"/>
      <c r="X57" s="6">
        <f t="shared" si="44"/>
        <v>277.47000000000003</v>
      </c>
      <c r="Y57" s="2"/>
      <c r="Z57" s="7">
        <f t="shared" si="45"/>
        <v>0</v>
      </c>
    </row>
    <row r="58" spans="1:26" s="24" customFormat="1" hidden="1" outlineLevel="2" x14ac:dyDescent="0.25">
      <c r="A58" s="29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38"/>
        <v>0</v>
      </c>
      <c r="G58" s="2"/>
      <c r="H58" s="6">
        <v>0</v>
      </c>
      <c r="I58" s="2"/>
      <c r="J58" s="7">
        <f t="shared" si="39"/>
        <v>0</v>
      </c>
      <c r="K58" s="2"/>
      <c r="L58" s="6">
        <f t="shared" si="40"/>
        <v>0</v>
      </c>
      <c r="M58" s="2"/>
      <c r="N58" s="7">
        <f t="shared" si="41"/>
        <v>0</v>
      </c>
      <c r="O58" s="11"/>
      <c r="P58" s="6"/>
      <c r="Q58" s="2"/>
      <c r="R58" s="7">
        <f t="shared" si="42"/>
        <v>0</v>
      </c>
      <c r="S58" s="2"/>
      <c r="T58" s="6">
        <v>0</v>
      </c>
      <c r="U58" s="2"/>
      <c r="V58" s="7">
        <f t="shared" si="43"/>
        <v>0</v>
      </c>
      <c r="W58" s="2"/>
      <c r="X58" s="6">
        <f t="shared" si="44"/>
        <v>0</v>
      </c>
      <c r="Y58" s="2"/>
      <c r="Z58" s="7">
        <f t="shared" si="45"/>
        <v>0</v>
      </c>
    </row>
    <row r="59" spans="1:26" s="28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SUM(OSRRefD22_9x_0)</f>
        <v>0</v>
      </c>
      <c r="E59" s="1"/>
      <c r="F59" s="5">
        <f t="shared" ref="F59:F61" si="46">IF(D$12=0,0,D59/D$12)</f>
        <v>0</v>
      </c>
      <c r="G59" s="1"/>
      <c r="H59" s="1">
        <f>SUM(OSRRefH22_9x_0)</f>
        <v>0</v>
      </c>
      <c r="I59" s="1"/>
      <c r="J59" s="5">
        <f t="shared" ref="J59:J61" si="47">IF(H$12=0,0,H59/H$12)</f>
        <v>0</v>
      </c>
      <c r="K59" s="1"/>
      <c r="L59" s="1">
        <f t="shared" ref="L59:L61" si="48">+D59-H59</f>
        <v>0</v>
      </c>
      <c r="M59" s="1"/>
      <c r="N59" s="5">
        <f t="shared" ref="N59:N61" si="49">IF(H59=0,0,L59/H59)</f>
        <v>0</v>
      </c>
      <c r="O59" s="14"/>
      <c r="P59" s="1">
        <f>SUM(OSRRefP22_9x_0)</f>
        <v>0</v>
      </c>
      <c r="Q59" s="1"/>
      <c r="R59" s="5">
        <f t="shared" ref="R59:R61" si="50">IF(P$12=0,0,P59/P$12)</f>
        <v>0</v>
      </c>
      <c r="S59" s="1"/>
      <c r="T59" s="1">
        <f>SUM(OSRRefT22_9x_0)</f>
        <v>0</v>
      </c>
      <c r="U59" s="1"/>
      <c r="V59" s="5">
        <f t="shared" ref="V59:V61" si="51">IF(T$12=0,0,T59/T$12)</f>
        <v>0</v>
      </c>
      <c r="W59" s="1"/>
      <c r="X59" s="1">
        <f t="shared" ref="X59:X61" si="52">+P59-T59</f>
        <v>0</v>
      </c>
      <c r="Y59" s="1"/>
      <c r="Z59" s="5">
        <f t="shared" ref="Z59:Z61" si="53">IF(T59=0,0,X59/T59)</f>
        <v>0</v>
      </c>
    </row>
    <row r="60" spans="1:26" s="24" customFormat="1" hidden="1" outlineLevel="2" x14ac:dyDescent="0.25">
      <c r="A60" s="29"/>
      <c r="B60" s="11" t="str">
        <f>CONCATENATE("          ", "6283", " - ", "PLANT SERVICE")</f>
        <v xml:space="preserve">          6283 - PLANT SERVICE</v>
      </c>
      <c r="C60" s="11"/>
      <c r="D60" s="6"/>
      <c r="E60" s="2"/>
      <c r="F60" s="7">
        <f t="shared" si="46"/>
        <v>0</v>
      </c>
      <c r="G60" s="2"/>
      <c r="H60" s="6">
        <v>0</v>
      </c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/>
      <c r="Q60" s="2"/>
      <c r="R60" s="7">
        <f t="shared" si="50"/>
        <v>0</v>
      </c>
      <c r="S60" s="2"/>
      <c r="T60" s="6">
        <v>0</v>
      </c>
      <c r="U60" s="2"/>
      <c r="V60" s="7">
        <f t="shared" si="51"/>
        <v>0</v>
      </c>
      <c r="W60" s="2"/>
      <c r="X60" s="6">
        <f t="shared" si="52"/>
        <v>0</v>
      </c>
      <c r="Y60" s="2"/>
      <c r="Z60" s="7">
        <f t="shared" si="53"/>
        <v>0</v>
      </c>
    </row>
    <row r="61" spans="1:26" s="24" customFormat="1" hidden="1" outlineLevel="2" x14ac:dyDescent="0.25">
      <c r="A61" s="29"/>
      <c r="B61" s="11" t="str">
        <f>CONCATENATE("          ", "6286", " - ", "LAUNDRY EXPENSE")</f>
        <v xml:space="preserve">          6286 - LAUNDRY EXPENSE</v>
      </c>
      <c r="C61" s="11"/>
      <c r="D61" s="6"/>
      <c r="E61" s="2"/>
      <c r="F61" s="7">
        <f t="shared" si="46"/>
        <v>0</v>
      </c>
      <c r="G61" s="2"/>
      <c r="H61" s="6">
        <v>0</v>
      </c>
      <c r="I61" s="2"/>
      <c r="J61" s="7">
        <f t="shared" si="47"/>
        <v>0</v>
      </c>
      <c r="K61" s="2"/>
      <c r="L61" s="6">
        <f t="shared" si="48"/>
        <v>0</v>
      </c>
      <c r="M61" s="2"/>
      <c r="N61" s="7">
        <f t="shared" si="49"/>
        <v>0</v>
      </c>
      <c r="O61" s="11"/>
      <c r="P61" s="6"/>
      <c r="Q61" s="2"/>
      <c r="R61" s="7">
        <f t="shared" si="50"/>
        <v>0</v>
      </c>
      <c r="S61" s="2"/>
      <c r="T61" s="6">
        <v>0</v>
      </c>
      <c r="U61" s="2"/>
      <c r="V61" s="7">
        <f t="shared" si="51"/>
        <v>0</v>
      </c>
      <c r="W61" s="2"/>
      <c r="X61" s="6">
        <f t="shared" si="52"/>
        <v>0</v>
      </c>
      <c r="Y61" s="2"/>
      <c r="Z61" s="7">
        <f t="shared" si="53"/>
        <v>0</v>
      </c>
    </row>
    <row r="62" spans="1:26" s="28" customFormat="1" outlineLevel="1" collapsed="1" x14ac:dyDescent="0.25">
      <c r="A62" s="27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SUM(OSRRefD22_10x_0)</f>
        <v>0</v>
      </c>
      <c r="E62" s="1"/>
      <c r="F62" s="5">
        <f t="shared" ref="F62:F74" si="54">IF(D$12=0,0,D62/D$12)</f>
        <v>0</v>
      </c>
      <c r="G62" s="1"/>
      <c r="H62" s="1">
        <f>SUM(OSRRefH22_10x_0)</f>
        <v>0</v>
      </c>
      <c r="I62" s="1"/>
      <c r="J62" s="5">
        <f t="shared" ref="J62:J74" si="55">IF(H$12=0,0,H62/H$12)</f>
        <v>0</v>
      </c>
      <c r="K62" s="1"/>
      <c r="L62" s="1">
        <f t="shared" ref="L62:L74" si="56">+D62-H62</f>
        <v>0</v>
      </c>
      <c r="M62" s="1"/>
      <c r="N62" s="5">
        <f t="shared" ref="N62:N74" si="57">IF(H62=0,0,L62/H62)</f>
        <v>0</v>
      </c>
      <c r="O62" s="14"/>
      <c r="P62" s="1">
        <f>SUM(OSRRefP22_10x_0)</f>
        <v>0</v>
      </c>
      <c r="Q62" s="1"/>
      <c r="R62" s="5">
        <f t="shared" ref="R62:R74" si="58">IF(P$12=0,0,P62/P$12)</f>
        <v>0</v>
      </c>
      <c r="S62" s="1"/>
      <c r="T62" s="1">
        <f>SUM(OSRRefT22_10x_0)</f>
        <v>0</v>
      </c>
      <c r="U62" s="1"/>
      <c r="V62" s="5">
        <f t="shared" ref="V62:V74" si="59">IF(T$12=0,0,T62/T$12)</f>
        <v>0</v>
      </c>
      <c r="W62" s="1"/>
      <c r="X62" s="1">
        <f t="shared" ref="X62:X74" si="60">+P62-T62</f>
        <v>0</v>
      </c>
      <c r="Y62" s="1"/>
      <c r="Z62" s="5">
        <f t="shared" ref="Z62:Z74" si="61">IF(T62=0,0,X62/T62)</f>
        <v>0</v>
      </c>
    </row>
    <row r="63" spans="1:26" s="24" customFormat="1" hidden="1" outlineLevel="2" x14ac:dyDescent="0.25">
      <c r="A63" s="29"/>
      <c r="B63" s="11" t="str">
        <f>CONCATENATE("          ", "6275", " - ", "SUBSCRIPTIONS")</f>
        <v xml:space="preserve">          6275 - SUBSCRIPTIONS</v>
      </c>
      <c r="C63" s="11"/>
      <c r="D63" s="6"/>
      <c r="E63" s="2"/>
      <c r="F63" s="7">
        <f t="shared" si="54"/>
        <v>0</v>
      </c>
      <c r="G63" s="2"/>
      <c r="H63" s="6">
        <v>0</v>
      </c>
      <c r="I63" s="2"/>
      <c r="J63" s="7">
        <f t="shared" si="55"/>
        <v>0</v>
      </c>
      <c r="K63" s="2"/>
      <c r="L63" s="6">
        <f t="shared" si="56"/>
        <v>0</v>
      </c>
      <c r="M63" s="2"/>
      <c r="N63" s="7">
        <f t="shared" si="57"/>
        <v>0</v>
      </c>
      <c r="O63" s="11"/>
      <c r="P63" s="6"/>
      <c r="Q63" s="2"/>
      <c r="R63" s="7">
        <f t="shared" si="58"/>
        <v>0</v>
      </c>
      <c r="S63" s="2"/>
      <c r="T63" s="6">
        <v>0</v>
      </c>
      <c r="U63" s="2"/>
      <c r="V63" s="7">
        <f t="shared" si="59"/>
        <v>0</v>
      </c>
      <c r="W63" s="2"/>
      <c r="X63" s="6">
        <f t="shared" si="60"/>
        <v>0</v>
      </c>
      <c r="Y63" s="2"/>
      <c r="Z63" s="7">
        <f t="shared" si="61"/>
        <v>0</v>
      </c>
    </row>
    <row r="64" spans="1:26" s="28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SUM(OSRRefD22_11x_0)</f>
        <v>0</v>
      </c>
      <c r="E64" s="1"/>
      <c r="F64" s="5">
        <f t="shared" si="54"/>
        <v>0</v>
      </c>
      <c r="G64" s="1"/>
      <c r="H64" s="1">
        <f>SUM(OSRRefH22_11x_0)</f>
        <v>0</v>
      </c>
      <c r="I64" s="1"/>
      <c r="J64" s="5">
        <f t="shared" si="55"/>
        <v>0</v>
      </c>
      <c r="K64" s="1"/>
      <c r="L64" s="1">
        <f t="shared" si="56"/>
        <v>0</v>
      </c>
      <c r="M64" s="1"/>
      <c r="N64" s="5">
        <f t="shared" si="57"/>
        <v>0</v>
      </c>
      <c r="O64" s="14"/>
      <c r="P64" s="1">
        <f>SUM(OSRRefP22_11x_0)</f>
        <v>0</v>
      </c>
      <c r="Q64" s="1"/>
      <c r="R64" s="5">
        <f t="shared" si="58"/>
        <v>0</v>
      </c>
      <c r="S64" s="1"/>
      <c r="T64" s="1">
        <f>SUM(OSRRefT22_11x_0)</f>
        <v>0</v>
      </c>
      <c r="U64" s="1"/>
      <c r="V64" s="5">
        <f t="shared" si="59"/>
        <v>0</v>
      </c>
      <c r="W64" s="1"/>
      <c r="X64" s="1">
        <f t="shared" si="60"/>
        <v>0</v>
      </c>
      <c r="Y64" s="1"/>
      <c r="Z64" s="5">
        <f t="shared" si="61"/>
        <v>0</v>
      </c>
    </row>
    <row r="65" spans="1:26" s="24" customFormat="1" hidden="1" outlineLevel="2" x14ac:dyDescent="0.25">
      <c r="A65" s="29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54"/>
        <v>0</v>
      </c>
      <c r="G65" s="2"/>
      <c r="H65" s="6"/>
      <c r="I65" s="2"/>
      <c r="J65" s="7">
        <f t="shared" si="55"/>
        <v>0</v>
      </c>
      <c r="K65" s="2"/>
      <c r="L65" s="6">
        <f t="shared" si="56"/>
        <v>0</v>
      </c>
      <c r="M65" s="2"/>
      <c r="N65" s="7">
        <f t="shared" si="57"/>
        <v>0</v>
      </c>
      <c r="O65" s="11"/>
      <c r="P65" s="6"/>
      <c r="Q65" s="2"/>
      <c r="R65" s="7">
        <f t="shared" si="58"/>
        <v>0</v>
      </c>
      <c r="S65" s="2"/>
      <c r="T65" s="6">
        <v>0</v>
      </c>
      <c r="U65" s="2"/>
      <c r="V65" s="7">
        <f t="shared" si="59"/>
        <v>0</v>
      </c>
      <c r="W65" s="2"/>
      <c r="X65" s="6">
        <f t="shared" si="60"/>
        <v>0</v>
      </c>
      <c r="Y65" s="2"/>
      <c r="Z65" s="7">
        <f t="shared" si="61"/>
        <v>0</v>
      </c>
    </row>
    <row r="66" spans="1:26" s="24" customFormat="1" hidden="1" outlineLevel="2" x14ac:dyDescent="0.25">
      <c r="A66" s="29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54"/>
        <v>0</v>
      </c>
      <c r="G66" s="2"/>
      <c r="H66" s="6">
        <v>0</v>
      </c>
      <c r="I66" s="2"/>
      <c r="J66" s="7">
        <f t="shared" si="55"/>
        <v>0</v>
      </c>
      <c r="K66" s="2"/>
      <c r="L66" s="6">
        <f t="shared" si="56"/>
        <v>0</v>
      </c>
      <c r="M66" s="2"/>
      <c r="N66" s="7">
        <f t="shared" si="57"/>
        <v>0</v>
      </c>
      <c r="O66" s="11"/>
      <c r="P66" s="6"/>
      <c r="Q66" s="2"/>
      <c r="R66" s="7">
        <f t="shared" si="58"/>
        <v>0</v>
      </c>
      <c r="S66" s="2"/>
      <c r="T66" s="6">
        <v>0</v>
      </c>
      <c r="U66" s="2"/>
      <c r="V66" s="7">
        <f t="shared" si="59"/>
        <v>0</v>
      </c>
      <c r="W66" s="2"/>
      <c r="X66" s="6">
        <f t="shared" si="60"/>
        <v>0</v>
      </c>
      <c r="Y66" s="2"/>
      <c r="Z66" s="7">
        <f t="shared" si="61"/>
        <v>0</v>
      </c>
    </row>
    <row r="67" spans="1:26" s="24" customFormat="1" hidden="1" outlineLevel="2" x14ac:dyDescent="0.25">
      <c r="A67" s="29"/>
      <c r="B67" s="11" t="str">
        <f>CONCATENATE("          ", "6237", " - ", "JANITORIAL SUPPLIES")</f>
        <v xml:space="preserve">          6237 - JANITORIAL SUPPLIES</v>
      </c>
      <c r="C67" s="11"/>
      <c r="D67" s="6"/>
      <c r="E67" s="2"/>
      <c r="F67" s="7">
        <f t="shared" si="54"/>
        <v>0</v>
      </c>
      <c r="G67" s="2"/>
      <c r="H67" s="6">
        <v>0</v>
      </c>
      <c r="I67" s="2"/>
      <c r="J67" s="7">
        <f t="shared" si="55"/>
        <v>0</v>
      </c>
      <c r="K67" s="2"/>
      <c r="L67" s="6">
        <f t="shared" si="56"/>
        <v>0</v>
      </c>
      <c r="M67" s="2"/>
      <c r="N67" s="7">
        <f t="shared" si="57"/>
        <v>0</v>
      </c>
      <c r="O67" s="11"/>
      <c r="P67" s="6"/>
      <c r="Q67" s="2"/>
      <c r="R67" s="7">
        <f t="shared" si="58"/>
        <v>0</v>
      </c>
      <c r="S67" s="2"/>
      <c r="T67" s="6">
        <v>0</v>
      </c>
      <c r="U67" s="2"/>
      <c r="V67" s="7">
        <f t="shared" si="59"/>
        <v>0</v>
      </c>
      <c r="W67" s="2"/>
      <c r="X67" s="6">
        <f t="shared" si="60"/>
        <v>0</v>
      </c>
      <c r="Y67" s="2"/>
      <c r="Z67" s="7">
        <f t="shared" si="61"/>
        <v>0</v>
      </c>
    </row>
    <row r="68" spans="1:26" s="24" customFormat="1" hidden="1" outlineLevel="2" x14ac:dyDescent="0.25">
      <c r="A68" s="29"/>
      <c r="B68" s="11" t="str">
        <f>CONCATENATE("          ", "6239", " - ", "KITCHEN SUPPLIES")</f>
        <v xml:space="preserve">          6239 - KITCHEN SUPPLIES</v>
      </c>
      <c r="C68" s="11"/>
      <c r="D68" s="6"/>
      <c r="E68" s="2"/>
      <c r="F68" s="7">
        <f t="shared" si="54"/>
        <v>0</v>
      </c>
      <c r="G68" s="2"/>
      <c r="H68" s="6"/>
      <c r="I68" s="2"/>
      <c r="J68" s="7">
        <f t="shared" si="55"/>
        <v>0</v>
      </c>
      <c r="K68" s="2"/>
      <c r="L68" s="6">
        <f t="shared" si="56"/>
        <v>0</v>
      </c>
      <c r="M68" s="2"/>
      <c r="N68" s="7">
        <f t="shared" si="57"/>
        <v>0</v>
      </c>
      <c r="O68" s="11"/>
      <c r="P68" s="6"/>
      <c r="Q68" s="2"/>
      <c r="R68" s="7">
        <f t="shared" si="58"/>
        <v>0</v>
      </c>
      <c r="S68" s="2"/>
      <c r="T68" s="6">
        <v>0</v>
      </c>
      <c r="U68" s="2"/>
      <c r="V68" s="7">
        <f t="shared" si="59"/>
        <v>0</v>
      </c>
      <c r="W68" s="2"/>
      <c r="X68" s="6">
        <f t="shared" si="60"/>
        <v>0</v>
      </c>
      <c r="Y68" s="2"/>
      <c r="Z68" s="7">
        <f t="shared" si="61"/>
        <v>0</v>
      </c>
    </row>
    <row r="69" spans="1:26" s="24" customFormat="1" hidden="1" outlineLevel="2" x14ac:dyDescent="0.25">
      <c r="A69" s="29"/>
      <c r="B69" s="11" t="str">
        <f>CONCATENATE("          ", "6241", " - ", "OFFICE EXPENSE")</f>
        <v xml:space="preserve">          6241 - OFFICE EXPENSE</v>
      </c>
      <c r="C69" s="11"/>
      <c r="D69" s="6"/>
      <c r="E69" s="2"/>
      <c r="F69" s="7">
        <f t="shared" si="54"/>
        <v>0</v>
      </c>
      <c r="G69" s="2"/>
      <c r="H69" s="6">
        <v>0</v>
      </c>
      <c r="I69" s="2"/>
      <c r="J69" s="7">
        <f t="shared" si="55"/>
        <v>0</v>
      </c>
      <c r="K69" s="2"/>
      <c r="L69" s="6">
        <f t="shared" si="56"/>
        <v>0</v>
      </c>
      <c r="M69" s="2"/>
      <c r="N69" s="7">
        <f t="shared" si="57"/>
        <v>0</v>
      </c>
      <c r="O69" s="11"/>
      <c r="P69" s="6"/>
      <c r="Q69" s="2"/>
      <c r="R69" s="7">
        <f t="shared" si="58"/>
        <v>0</v>
      </c>
      <c r="S69" s="2"/>
      <c r="T69" s="6">
        <v>0</v>
      </c>
      <c r="U69" s="2"/>
      <c r="V69" s="7">
        <f t="shared" si="59"/>
        <v>0</v>
      </c>
      <c r="W69" s="2"/>
      <c r="X69" s="6">
        <f t="shared" si="60"/>
        <v>0</v>
      </c>
      <c r="Y69" s="2"/>
      <c r="Z69" s="7">
        <f t="shared" si="61"/>
        <v>0</v>
      </c>
    </row>
    <row r="70" spans="1:26" s="24" customFormat="1" hidden="1" outlineLevel="2" x14ac:dyDescent="0.25">
      <c r="A70" s="29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54"/>
        <v>0</v>
      </c>
      <c r="G70" s="2"/>
      <c r="H70" s="6">
        <v>0</v>
      </c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/>
      <c r="Q70" s="2"/>
      <c r="R70" s="7">
        <f t="shared" si="58"/>
        <v>0</v>
      </c>
      <c r="S70" s="2"/>
      <c r="T70" s="6">
        <v>0</v>
      </c>
      <c r="U70" s="2"/>
      <c r="V70" s="7">
        <f t="shared" si="59"/>
        <v>0</v>
      </c>
      <c r="W70" s="2"/>
      <c r="X70" s="6">
        <f t="shared" si="60"/>
        <v>0</v>
      </c>
      <c r="Y70" s="2"/>
      <c r="Z70" s="7">
        <f t="shared" si="61"/>
        <v>0</v>
      </c>
    </row>
    <row r="71" spans="1:26" s="24" customFormat="1" hidden="1" outlineLevel="2" x14ac:dyDescent="0.25">
      <c r="A71" s="29"/>
      <c r="B71" s="11" t="str">
        <f>CONCATENATE("          ", "6244", " - ", "SAFETY SUPPLY EXPENSE")</f>
        <v xml:space="preserve">          6244 - SAFETY SUPPLY EXPENSE</v>
      </c>
      <c r="C71" s="11"/>
      <c r="D71" s="6"/>
      <c r="E71" s="2"/>
      <c r="F71" s="7">
        <f t="shared" si="54"/>
        <v>0</v>
      </c>
      <c r="G71" s="2"/>
      <c r="H71" s="6">
        <v>0</v>
      </c>
      <c r="I71" s="2"/>
      <c r="J71" s="7">
        <f t="shared" si="55"/>
        <v>0</v>
      </c>
      <c r="K71" s="2"/>
      <c r="L71" s="6">
        <f t="shared" si="56"/>
        <v>0</v>
      </c>
      <c r="M71" s="2"/>
      <c r="N71" s="7">
        <f t="shared" si="57"/>
        <v>0</v>
      </c>
      <c r="O71" s="11"/>
      <c r="P71" s="6"/>
      <c r="Q71" s="2"/>
      <c r="R71" s="7">
        <f t="shared" si="58"/>
        <v>0</v>
      </c>
      <c r="S71" s="2"/>
      <c r="T71" s="6">
        <v>0</v>
      </c>
      <c r="U71" s="2"/>
      <c r="V71" s="7">
        <f t="shared" si="59"/>
        <v>0</v>
      </c>
      <c r="W71" s="2"/>
      <c r="X71" s="6">
        <f t="shared" si="60"/>
        <v>0</v>
      </c>
      <c r="Y71" s="2"/>
      <c r="Z71" s="7">
        <f t="shared" si="61"/>
        <v>0</v>
      </c>
    </row>
    <row r="72" spans="1:26" s="24" customFormat="1" hidden="1" outlineLevel="2" x14ac:dyDescent="0.25">
      <c r="A72" s="29"/>
      <c r="B72" s="11" t="str">
        <f>CONCATENATE("          ", "6245", " - ", "PRINTING")</f>
        <v xml:space="preserve">          6245 - PRINTING</v>
      </c>
      <c r="C72" s="11"/>
      <c r="D72" s="6"/>
      <c r="E72" s="2"/>
      <c r="F72" s="7">
        <f t="shared" si="54"/>
        <v>0</v>
      </c>
      <c r="G72" s="2"/>
      <c r="H72" s="6">
        <v>0</v>
      </c>
      <c r="I72" s="2"/>
      <c r="J72" s="7">
        <f t="shared" si="55"/>
        <v>0</v>
      </c>
      <c r="K72" s="2"/>
      <c r="L72" s="6">
        <f t="shared" si="56"/>
        <v>0</v>
      </c>
      <c r="M72" s="2"/>
      <c r="N72" s="7">
        <f t="shared" si="57"/>
        <v>0</v>
      </c>
      <c r="O72" s="11"/>
      <c r="P72" s="6"/>
      <c r="Q72" s="2"/>
      <c r="R72" s="7">
        <f t="shared" si="58"/>
        <v>0</v>
      </c>
      <c r="S72" s="2"/>
      <c r="T72" s="6">
        <v>0</v>
      </c>
      <c r="U72" s="2"/>
      <c r="V72" s="7">
        <f t="shared" si="59"/>
        <v>0</v>
      </c>
      <c r="W72" s="2"/>
      <c r="X72" s="6">
        <f t="shared" si="60"/>
        <v>0</v>
      </c>
      <c r="Y72" s="2"/>
      <c r="Z72" s="7">
        <f t="shared" si="61"/>
        <v>0</v>
      </c>
    </row>
    <row r="73" spans="1:26" s="24" customFormat="1" hidden="1" outlineLevel="2" x14ac:dyDescent="0.25">
      <c r="A73" s="29"/>
      <c r="B73" s="11" t="str">
        <f>CONCATENATE("          ", "6246", " - ", "REPLACEMENTS")</f>
        <v xml:space="preserve">          6246 - REPLACEMENTS</v>
      </c>
      <c r="C73" s="11"/>
      <c r="D73" s="6"/>
      <c r="E73" s="2"/>
      <c r="F73" s="7">
        <f t="shared" si="54"/>
        <v>0</v>
      </c>
      <c r="G73" s="2"/>
      <c r="H73" s="6"/>
      <c r="I73" s="2"/>
      <c r="J73" s="7">
        <f t="shared" si="55"/>
        <v>0</v>
      </c>
      <c r="K73" s="2"/>
      <c r="L73" s="6">
        <f t="shared" si="56"/>
        <v>0</v>
      </c>
      <c r="M73" s="2"/>
      <c r="N73" s="7">
        <f t="shared" si="57"/>
        <v>0</v>
      </c>
      <c r="O73" s="11"/>
      <c r="P73" s="6"/>
      <c r="Q73" s="2"/>
      <c r="R73" s="7">
        <f t="shared" si="58"/>
        <v>0</v>
      </c>
      <c r="S73" s="2"/>
      <c r="T73" s="6">
        <v>0</v>
      </c>
      <c r="U73" s="2"/>
      <c r="V73" s="7">
        <f t="shared" si="59"/>
        <v>0</v>
      </c>
      <c r="W73" s="2"/>
      <c r="X73" s="6">
        <f t="shared" si="60"/>
        <v>0</v>
      </c>
      <c r="Y73" s="2"/>
      <c r="Z73" s="7">
        <f t="shared" si="61"/>
        <v>0</v>
      </c>
    </row>
    <row r="74" spans="1:26" s="24" customFormat="1" hidden="1" outlineLevel="2" x14ac:dyDescent="0.25">
      <c r="A74" s="29"/>
      <c r="B74" s="11" t="str">
        <f>CONCATENATE("          ", "6248", " - ", "UNIFORMS")</f>
        <v xml:space="preserve">          6248 - UNIFORMS</v>
      </c>
      <c r="C74" s="11"/>
      <c r="D74" s="6"/>
      <c r="E74" s="2"/>
      <c r="F74" s="7">
        <f t="shared" si="54"/>
        <v>0</v>
      </c>
      <c r="G74" s="2"/>
      <c r="H74" s="6"/>
      <c r="I74" s="2"/>
      <c r="J74" s="7">
        <f t="shared" si="55"/>
        <v>0</v>
      </c>
      <c r="K74" s="2"/>
      <c r="L74" s="6">
        <f t="shared" si="56"/>
        <v>0</v>
      </c>
      <c r="M74" s="2"/>
      <c r="N74" s="7">
        <f t="shared" si="57"/>
        <v>0</v>
      </c>
      <c r="O74" s="11"/>
      <c r="P74" s="6"/>
      <c r="Q74" s="2"/>
      <c r="R74" s="7">
        <f t="shared" si="58"/>
        <v>0</v>
      </c>
      <c r="S74" s="2"/>
      <c r="T74" s="6">
        <v>0</v>
      </c>
      <c r="U74" s="2"/>
      <c r="V74" s="7">
        <f t="shared" si="59"/>
        <v>0</v>
      </c>
      <c r="W74" s="2"/>
      <c r="X74" s="6">
        <f t="shared" si="60"/>
        <v>0</v>
      </c>
      <c r="Y74" s="2"/>
      <c r="Z74" s="7">
        <f t="shared" si="61"/>
        <v>0</v>
      </c>
    </row>
    <row r="75" spans="1:26" s="28" customFormat="1" outlineLevel="1" collapsed="1" x14ac:dyDescent="0.25">
      <c r="A75" s="27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SUM(OSRRefD22_12x_0)</f>
        <v>0</v>
      </c>
      <c r="E75" s="1"/>
      <c r="F75" s="5">
        <f t="shared" ref="F75:F77" si="62">IF(D$12=0,0,D75/D$12)</f>
        <v>0</v>
      </c>
      <c r="G75" s="1"/>
      <c r="H75" s="1">
        <f>SUM(OSRRefH22_12x_0)</f>
        <v>0</v>
      </c>
      <c r="I75" s="1"/>
      <c r="J75" s="5">
        <f t="shared" ref="J75:J77" si="63">IF(H$12=0,0,H75/H$12)</f>
        <v>0</v>
      </c>
      <c r="K75" s="1"/>
      <c r="L75" s="1">
        <f t="shared" ref="L75:L77" si="64">+D75-H75</f>
        <v>0</v>
      </c>
      <c r="M75" s="1"/>
      <c r="N75" s="5">
        <f t="shared" ref="N75:N77" si="65">IF(H75=0,0,L75/H75)</f>
        <v>0</v>
      </c>
      <c r="O75" s="14"/>
      <c r="P75" s="1">
        <f>SUM(OSRRefP22_12x_0)</f>
        <v>212</v>
      </c>
      <c r="Q75" s="1"/>
      <c r="R75" s="5">
        <f t="shared" ref="R75:R77" si="66">IF(P$12=0,0,P75/P$12)</f>
        <v>0</v>
      </c>
      <c r="S75" s="1"/>
      <c r="T75" s="1">
        <f>SUM(OSRRefT22_12x_0)</f>
        <v>0</v>
      </c>
      <c r="U75" s="1"/>
      <c r="V75" s="5">
        <f t="shared" ref="V75:V77" si="67">IF(T$12=0,0,T75/T$12)</f>
        <v>0</v>
      </c>
      <c r="W75" s="1"/>
      <c r="X75" s="1">
        <f t="shared" ref="X75:X77" si="68">+P75-T75</f>
        <v>212</v>
      </c>
      <c r="Y75" s="1"/>
      <c r="Z75" s="5">
        <f t="shared" ref="Z75:Z77" si="69">IF(T75=0,0,X75/T75)</f>
        <v>0</v>
      </c>
    </row>
    <row r="76" spans="1:26" s="24" customFormat="1" hidden="1" outlineLevel="2" x14ac:dyDescent="0.25">
      <c r="A76" s="29"/>
      <c r="B76" s="11" t="str">
        <f>CONCATENATE("          ", "6303", " - ", "DATA PHONE LINES")</f>
        <v xml:space="preserve">          6303 - DATA PHONE LINES</v>
      </c>
      <c r="C76" s="11"/>
      <c r="D76" s="6"/>
      <c r="E76" s="2"/>
      <c r="F76" s="7">
        <f t="shared" si="62"/>
        <v>0</v>
      </c>
      <c r="G76" s="2"/>
      <c r="H76" s="6">
        <v>0</v>
      </c>
      <c r="I76" s="2"/>
      <c r="J76" s="7">
        <f t="shared" si="63"/>
        <v>0</v>
      </c>
      <c r="K76" s="2"/>
      <c r="L76" s="6">
        <f t="shared" si="64"/>
        <v>0</v>
      </c>
      <c r="M76" s="2"/>
      <c r="N76" s="7">
        <f t="shared" si="65"/>
        <v>0</v>
      </c>
      <c r="O76" s="11"/>
      <c r="P76" s="6"/>
      <c r="Q76" s="2"/>
      <c r="R76" s="7">
        <f t="shared" si="66"/>
        <v>0</v>
      </c>
      <c r="S76" s="2"/>
      <c r="T76" s="6">
        <v>0</v>
      </c>
      <c r="U76" s="2"/>
      <c r="V76" s="7">
        <f t="shared" si="67"/>
        <v>0</v>
      </c>
      <c r="W76" s="2"/>
      <c r="X76" s="6">
        <f t="shared" si="68"/>
        <v>0</v>
      </c>
      <c r="Y76" s="2"/>
      <c r="Z76" s="7">
        <f t="shared" si="69"/>
        <v>0</v>
      </c>
    </row>
    <row r="77" spans="1:26" s="24" customFormat="1" hidden="1" outlineLevel="2" x14ac:dyDescent="0.25">
      <c r="A77" s="29"/>
      <c r="B77" s="11" t="str">
        <f>CONCATENATE("          ", "6309", " - ", "TELEPHONE")</f>
        <v xml:space="preserve">          6309 - TELEPHONE</v>
      </c>
      <c r="C77" s="11"/>
      <c r="D77" s="6"/>
      <c r="E77" s="2"/>
      <c r="F77" s="7">
        <f t="shared" si="62"/>
        <v>0</v>
      </c>
      <c r="G77" s="2"/>
      <c r="H77" s="6"/>
      <c r="I77" s="2"/>
      <c r="J77" s="7">
        <f t="shared" si="63"/>
        <v>0</v>
      </c>
      <c r="K77" s="2"/>
      <c r="L77" s="6">
        <f t="shared" si="64"/>
        <v>0</v>
      </c>
      <c r="M77" s="2"/>
      <c r="N77" s="7">
        <f t="shared" si="65"/>
        <v>0</v>
      </c>
      <c r="O77" s="11"/>
      <c r="P77" s="6">
        <v>212</v>
      </c>
      <c r="Q77" s="2"/>
      <c r="R77" s="7">
        <f t="shared" si="66"/>
        <v>0</v>
      </c>
      <c r="S77" s="2"/>
      <c r="T77" s="6"/>
      <c r="U77" s="2"/>
      <c r="V77" s="7">
        <f t="shared" si="67"/>
        <v>0</v>
      </c>
      <c r="W77" s="2"/>
      <c r="X77" s="6">
        <f t="shared" si="68"/>
        <v>212</v>
      </c>
      <c r="Y77" s="2"/>
      <c r="Z77" s="7">
        <f t="shared" si="69"/>
        <v>0</v>
      </c>
    </row>
    <row r="78" spans="1:26" s="28" customFormat="1" outlineLevel="1" collapsed="1" x14ac:dyDescent="0.25">
      <c r="A78" s="27"/>
      <c r="B78" s="14" t="str">
        <f>CONCATENATE("     ","Training                                          ")</f>
        <v xml:space="preserve">     Training                                          </v>
      </c>
      <c r="C78" s="14"/>
      <c r="D78" s="1">
        <f>SUM(OSRRefD22_13x_0)</f>
        <v>0</v>
      </c>
      <c r="E78" s="1"/>
      <c r="F78" s="5">
        <f t="shared" ref="F78:F79" si="70">IF(D$12=0,0,D78/D$12)</f>
        <v>0</v>
      </c>
      <c r="G78" s="1"/>
      <c r="H78" s="1">
        <f>SUM(OSRRefH22_13x_0)</f>
        <v>0</v>
      </c>
      <c r="I78" s="1"/>
      <c r="J78" s="5">
        <f t="shared" ref="J78:J79" si="71">IF(H$12=0,0,H78/H$12)</f>
        <v>0</v>
      </c>
      <c r="K78" s="1"/>
      <c r="L78" s="1">
        <f t="shared" ref="L78:L79" si="72">+D78-H78</f>
        <v>0</v>
      </c>
      <c r="M78" s="1"/>
      <c r="N78" s="5">
        <f t="shared" ref="N78:N79" si="73">IF(H78=0,0,L78/H78)</f>
        <v>0</v>
      </c>
      <c r="O78" s="14"/>
      <c r="P78" s="1">
        <f>SUM(OSRRefP22_13x_0)</f>
        <v>0</v>
      </c>
      <c r="Q78" s="1"/>
      <c r="R78" s="5">
        <f t="shared" ref="R78:R79" si="74">IF(P$12=0,0,P78/P$12)</f>
        <v>0</v>
      </c>
      <c r="S78" s="1"/>
      <c r="T78" s="1">
        <f>SUM(OSRRefT22_13x_0)</f>
        <v>0</v>
      </c>
      <c r="U78" s="1"/>
      <c r="V78" s="5">
        <f t="shared" ref="V78:V79" si="75">IF(T$12=0,0,T78/T$12)</f>
        <v>0</v>
      </c>
      <c r="W78" s="1"/>
      <c r="X78" s="1">
        <f t="shared" ref="X78:X79" si="76">+P78-T78</f>
        <v>0</v>
      </c>
      <c r="Y78" s="1"/>
      <c r="Z78" s="5">
        <f t="shared" ref="Z78:Z79" si="77">IF(T78=0,0,X78/T78)</f>
        <v>0</v>
      </c>
    </row>
    <row r="79" spans="1:26" s="24" customFormat="1" hidden="1" outlineLevel="2" x14ac:dyDescent="0.25">
      <c r="A79" s="29"/>
      <c r="B79" s="11" t="str">
        <f>CONCATENATE("          ", "6376", " - ", "TRAINING")</f>
        <v xml:space="preserve">          6376 - TRAINING</v>
      </c>
      <c r="C79" s="11"/>
      <c r="D79" s="6"/>
      <c r="E79" s="2"/>
      <c r="F79" s="7">
        <f t="shared" si="70"/>
        <v>0</v>
      </c>
      <c r="G79" s="2"/>
      <c r="H79" s="6">
        <v>0</v>
      </c>
      <c r="I79" s="2"/>
      <c r="J79" s="7">
        <f t="shared" si="71"/>
        <v>0</v>
      </c>
      <c r="K79" s="2"/>
      <c r="L79" s="6">
        <f t="shared" si="72"/>
        <v>0</v>
      </c>
      <c r="M79" s="2"/>
      <c r="N79" s="7">
        <f t="shared" si="73"/>
        <v>0</v>
      </c>
      <c r="O79" s="11"/>
      <c r="P79" s="6"/>
      <c r="Q79" s="2"/>
      <c r="R79" s="7">
        <f t="shared" si="74"/>
        <v>0</v>
      </c>
      <c r="S79" s="2"/>
      <c r="T79" s="6">
        <v>0</v>
      </c>
      <c r="U79" s="2"/>
      <c r="V79" s="7">
        <f t="shared" si="75"/>
        <v>0</v>
      </c>
      <c r="W79" s="2"/>
      <c r="X79" s="6">
        <f t="shared" si="76"/>
        <v>0</v>
      </c>
      <c r="Y79" s="2"/>
      <c r="Z79" s="7">
        <f t="shared" si="77"/>
        <v>0</v>
      </c>
    </row>
    <row r="80" spans="1:26" s="61" customFormat="1" x14ac:dyDescent="0.25">
      <c r="A80" s="36"/>
      <c r="B80" s="36"/>
      <c r="C80" s="36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6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collapsed="1" x14ac:dyDescent="0.25">
      <c r="A81" s="10"/>
      <c r="B81" s="25" t="s">
        <v>0</v>
      </c>
      <c r="C81" s="10"/>
      <c r="D81" s="4">
        <f>SUM(OSRRefD25x_0)</f>
        <v>0</v>
      </c>
      <c r="E81" s="4"/>
      <c r="F81" s="12">
        <f t="shared" ref="F81:F82" si="78">IF(D$12=0,0,D81/D$12)</f>
        <v>0</v>
      </c>
      <c r="G81" s="4"/>
      <c r="H81" s="4">
        <f>SUM(OSRRefH25x_0)</f>
        <v>0</v>
      </c>
      <c r="I81" s="4"/>
      <c r="J81" s="12">
        <f t="shared" ref="J81:J82" si="79">IF(H$12=0,0,H81/H$12)</f>
        <v>0</v>
      </c>
      <c r="K81" s="4"/>
      <c r="L81" s="4">
        <f t="shared" ref="L81:L82" si="80">+D81-H81</f>
        <v>0</v>
      </c>
      <c r="M81" s="4"/>
      <c r="N81" s="12">
        <f t="shared" ref="N81:N82" si="81">IF(H81=0,0,L81/H81)</f>
        <v>0</v>
      </c>
      <c r="O81" s="10"/>
      <c r="P81" s="4">
        <f>SUM(OSRRefP25x_0)</f>
        <v>111.42</v>
      </c>
      <c r="Q81" s="4"/>
      <c r="R81" s="12">
        <f t="shared" ref="R81:R82" si="82">IF(P$12=0,0,P81/P$12)</f>
        <v>0</v>
      </c>
      <c r="S81" s="4"/>
      <c r="T81" s="4">
        <f>SUM(OSRRefT25x_0)</f>
        <v>0</v>
      </c>
      <c r="U81" s="4"/>
      <c r="V81" s="12">
        <f t="shared" ref="V81:V82" si="83">IF(T$12=0,0,T81/T$12)</f>
        <v>0</v>
      </c>
      <c r="W81" s="4"/>
      <c r="X81" s="4">
        <f t="shared" ref="X81:X82" si="84">+P81-T81</f>
        <v>111.42</v>
      </c>
      <c r="Y81" s="4"/>
      <c r="Z81" s="12">
        <f t="shared" ref="Z81:Z82" si="85">IF(T81=0,0,X81/T81)</f>
        <v>0</v>
      </c>
    </row>
    <row r="82" spans="1:26" s="24" customFormat="1" hidden="1" outlineLevel="1" x14ac:dyDescent="0.25">
      <c r="A82" s="51"/>
      <c r="B82" s="11" t="str">
        <f>CONCATENATE("          ", "9150", " - ", "MISC. INCOME")</f>
        <v xml:space="preserve">          9150 - MISC. INCOME</v>
      </c>
      <c r="C82" s="11"/>
      <c r="D82" s="2">
        <f>0</f>
        <v>0</v>
      </c>
      <c r="E82" s="2"/>
      <c r="F82" s="22">
        <f t="shared" si="78"/>
        <v>0</v>
      </c>
      <c r="G82" s="2"/>
      <c r="H82" s="2"/>
      <c r="I82" s="2"/>
      <c r="J82" s="22">
        <f t="shared" si="79"/>
        <v>0</v>
      </c>
      <c r="K82" s="2"/>
      <c r="L82" s="2">
        <f t="shared" si="80"/>
        <v>0</v>
      </c>
      <c r="M82" s="2"/>
      <c r="N82" s="22">
        <f t="shared" si="81"/>
        <v>0</v>
      </c>
      <c r="O82" s="11"/>
      <c r="P82" s="2">
        <f>--111.42</f>
        <v>111.42</v>
      </c>
      <c r="Q82" s="2"/>
      <c r="R82" s="22">
        <f t="shared" si="82"/>
        <v>0</v>
      </c>
      <c r="S82" s="2"/>
      <c r="T82" s="2"/>
      <c r="U82" s="2"/>
      <c r="V82" s="22">
        <f t="shared" si="83"/>
        <v>0</v>
      </c>
      <c r="W82" s="2"/>
      <c r="X82" s="2">
        <f t="shared" si="84"/>
        <v>111.42</v>
      </c>
      <c r="Y82" s="2"/>
      <c r="Z82" s="22">
        <f t="shared" si="85"/>
        <v>0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25">
      <c r="A84" s="10"/>
      <c r="B84" s="26" t="s">
        <v>3</v>
      </c>
      <c r="C84" s="26"/>
      <c r="D84" s="20">
        <f>+D19-D21+D81</f>
        <v>-7376.42</v>
      </c>
      <c r="E84" s="13"/>
      <c r="F84" s="21">
        <f>IF(D$12=0,0,D84/D$12)</f>
        <v>0</v>
      </c>
      <c r="G84" s="13"/>
      <c r="H84" s="20">
        <f>+H19-H21+H81</f>
        <v>-7178</v>
      </c>
      <c r="I84" s="13"/>
      <c r="J84" s="21">
        <f>IF(H$12=0,0,H84/H$12)</f>
        <v>0</v>
      </c>
      <c r="K84" s="16"/>
      <c r="L84" s="20">
        <f>+D84-H84</f>
        <v>-198.42000000000007</v>
      </c>
      <c r="M84" s="16"/>
      <c r="N84" s="21">
        <f>IF(H84=0,0,L84/H84)</f>
        <v>2.7642797436611879E-2</v>
      </c>
      <c r="O84" s="25"/>
      <c r="P84" s="20">
        <f>+P19-P21+P81</f>
        <v>-31694.620000000006</v>
      </c>
      <c r="Q84" s="13"/>
      <c r="R84" s="21">
        <f>IF(P$12=0,0,P84/P$12)</f>
        <v>0</v>
      </c>
      <c r="S84" s="13"/>
      <c r="T84" s="20">
        <f>+T19-T21+T81</f>
        <v>-21534</v>
      </c>
      <c r="U84" s="13"/>
      <c r="V84" s="21">
        <f>IF(T$12=0,0,T84/T$12)</f>
        <v>0</v>
      </c>
      <c r="W84" s="16"/>
      <c r="X84" s="20">
        <f>+P84-T84</f>
        <v>-10160.620000000006</v>
      </c>
      <c r="Y84" s="16"/>
      <c r="Z84" s="21">
        <f>IF(T84=0,0,X84/T84)</f>
        <v>0.4718408098820473</v>
      </c>
    </row>
    <row r="85" spans="1:26" x14ac:dyDescent="0.25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52"/>
      <c r="B86" s="10" t="s">
        <v>14</v>
      </c>
      <c r="C86" s="10"/>
      <c r="D86" s="4"/>
      <c r="E86" s="4"/>
      <c r="F86" s="12">
        <f>IF(D$12=0,0,D86/D$12)</f>
        <v>0</v>
      </c>
      <c r="G86" s="4"/>
      <c r="H86" s="4"/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/>
      <c r="Q86" s="4"/>
      <c r="R86" s="12">
        <f>IF(P$12=0,0,P86/P$12)</f>
        <v>0</v>
      </c>
      <c r="S86" s="4"/>
      <c r="T86" s="4"/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4</v>
      </c>
      <c r="C88" s="26"/>
      <c r="D88" s="33">
        <f>+D84-D86</f>
        <v>-7376.42</v>
      </c>
      <c r="E88" s="13"/>
      <c r="F88" s="34">
        <f>IF(D$12=0,0,D88/D$12)</f>
        <v>0</v>
      </c>
      <c r="G88" s="13"/>
      <c r="H88" s="33">
        <f>+H84-H86</f>
        <v>-7178</v>
      </c>
      <c r="I88" s="13"/>
      <c r="J88" s="34">
        <f>IF(H$12=0,0,H88/H$12)</f>
        <v>0</v>
      </c>
      <c r="K88" s="16"/>
      <c r="L88" s="33">
        <f>D88-H88</f>
        <v>-198.42000000000007</v>
      </c>
      <c r="M88" s="16"/>
      <c r="N88" s="34">
        <f>IF(H88=0,0,L88/H88)</f>
        <v>2.7642797436611879E-2</v>
      </c>
      <c r="O88" s="25"/>
      <c r="P88" s="33">
        <f>+P84-P86</f>
        <v>-31694.620000000006</v>
      </c>
      <c r="Q88" s="13"/>
      <c r="R88" s="34">
        <f>IF(P$12=0,0,P88/P$12)</f>
        <v>0</v>
      </c>
      <c r="S88" s="13"/>
      <c r="T88" s="33">
        <f>+T84-T86</f>
        <v>-21534</v>
      </c>
      <c r="U88" s="13"/>
      <c r="V88" s="34">
        <f>IF(T$12=0,0,T88/T$12)</f>
        <v>0</v>
      </c>
      <c r="W88" s="16"/>
      <c r="X88" s="33">
        <f>P88-T88</f>
        <v>-10160.620000000006</v>
      </c>
      <c r="Y88" s="16"/>
      <c r="Z88" s="34">
        <f>IF(T88=0,0,X88/T88)</f>
        <v>0.4718408098820473</v>
      </c>
    </row>
    <row r="89" spans="1:26" ht="15.75" thickTop="1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25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5</v>
      </c>
      <c r="C91" s="26"/>
      <c r="D91" s="31">
        <f>SUM(D88:D90)</f>
        <v>-7376.42</v>
      </c>
      <c r="E91" s="13"/>
      <c r="F91" s="32">
        <f>IF(D$12=0,0,D91/D$12)</f>
        <v>0</v>
      </c>
      <c r="G91" s="13"/>
      <c r="H91" s="31">
        <f>SUM(H88:H90)</f>
        <v>-7178</v>
      </c>
      <c r="I91" s="13"/>
      <c r="J91" s="32">
        <f>IF(H$12=0,0,H91/H$12)</f>
        <v>0</v>
      </c>
      <c r="K91" s="16"/>
      <c r="L91" s="31">
        <f>+D91-H91</f>
        <v>-198.42000000000007</v>
      </c>
      <c r="M91" s="16"/>
      <c r="N91" s="32">
        <f>IF(H91=0,0,L91/H91)</f>
        <v>2.7642797436611879E-2</v>
      </c>
      <c r="O91" s="25"/>
      <c r="P91" s="31">
        <f>SUM(P88:P90)</f>
        <v>-31694.620000000006</v>
      </c>
      <c r="Q91" s="13"/>
      <c r="R91" s="32">
        <f>IF(P$12=0,0,P91/P$12)</f>
        <v>0</v>
      </c>
      <c r="S91" s="13"/>
      <c r="T91" s="31">
        <f>SUM(T88:T90)</f>
        <v>-21534</v>
      </c>
      <c r="U91" s="13"/>
      <c r="V91" s="32">
        <f>IF(T$12=0,0,T91/T$12)</f>
        <v>0</v>
      </c>
      <c r="W91" s="16"/>
      <c r="X91" s="31">
        <f>+P91-T91</f>
        <v>-10160.620000000006</v>
      </c>
      <c r="Y91" s="16"/>
      <c r="Z91" s="32">
        <f>IF(T91=0,0,X91/T91)</f>
        <v>0.4718408098820473</v>
      </c>
    </row>
    <row r="92" spans="1:26" ht="15.75" thickTop="1" x14ac:dyDescent="0.25">
      <c r="A92" s="9"/>
      <c r="C92" s="9"/>
      <c r="D92" s="17"/>
      <c r="E92" s="17"/>
      <c r="G92" s="17"/>
      <c r="H92" s="17"/>
      <c r="I92" s="17"/>
      <c r="J92" s="43"/>
      <c r="K92" s="17"/>
      <c r="L92" s="17"/>
      <c r="M92" s="17"/>
      <c r="P92" s="17"/>
      <c r="Q92" s="17"/>
      <c r="R92" s="43"/>
      <c r="S92" s="17"/>
      <c r="T92" s="17"/>
      <c r="U92" s="17"/>
      <c r="V92" s="43"/>
      <c r="W92" s="17"/>
      <c r="X92" s="17"/>
    </row>
    <row r="93" spans="1:26" x14ac:dyDescent="0.25">
      <c r="A93" s="9"/>
      <c r="B93" s="55">
        <v>44123.572408182874</v>
      </c>
      <c r="D93" s="17"/>
      <c r="E93" s="17"/>
      <c r="G93" s="17"/>
      <c r="H93" s="17"/>
      <c r="I93" s="17"/>
      <c r="J93" s="43"/>
      <c r="K93" s="17"/>
      <c r="L93" s="17"/>
      <c r="M93" s="17"/>
      <c r="P93" s="17"/>
      <c r="Q93" s="17"/>
      <c r="R93" s="43"/>
      <c r="S93" s="17"/>
      <c r="T93" s="17"/>
      <c r="U93" s="17"/>
      <c r="V93" s="43"/>
      <c r="W93" s="17"/>
      <c r="X93" s="17"/>
    </row>
    <row r="94" spans="1:26" x14ac:dyDescent="0.25">
      <c r="A94" s="9"/>
      <c r="B94" s="53" t="s">
        <v>314</v>
      </c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62"/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","423", " - ", "Contract Revenue")</f>
        <v>Department 423 - Contract Revenue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200</v>
      </c>
      <c r="E18" s="19"/>
      <c r="F18" s="35">
        <f t="shared" ref="F18:F27" si="0">IF(D$12=0,0,D18/D$12)</f>
        <v>0</v>
      </c>
      <c r="G18" s="19"/>
      <c r="H18" s="19">
        <f>SUM(OSRRefH22x_0)</f>
        <v>14543.621307692309</v>
      </c>
      <c r="I18" s="19"/>
      <c r="J18" s="35">
        <f t="shared" ref="J18:J27" si="1">IF(H$12=0,0,H18/H$12)</f>
        <v>0</v>
      </c>
      <c r="K18" s="4"/>
      <c r="L18" s="19">
        <f t="shared" ref="L18:L27" si="2">+D18-H18</f>
        <v>-14343.621307692309</v>
      </c>
      <c r="M18" s="4"/>
      <c r="N18" s="35">
        <f t="shared" ref="N18:N27" si="3">IF(H18=0,0,L18/H18)</f>
        <v>-0.9862482667989837</v>
      </c>
      <c r="O18" s="10"/>
      <c r="P18" s="19">
        <f>SUM(OSRRefP22x_0)</f>
        <v>2694.43</v>
      </c>
      <c r="Q18" s="19"/>
      <c r="R18" s="35">
        <f t="shared" ref="R18:R27" si="4">IF(P$12=0,0,P18/P$12)</f>
        <v>0</v>
      </c>
      <c r="S18" s="19"/>
      <c r="T18" s="19">
        <f>SUM(OSRRefT22x_0)</f>
        <v>49564.26924999999</v>
      </c>
      <c r="U18" s="19"/>
      <c r="V18" s="35">
        <f t="shared" ref="V18:V27" si="5">IF(T$12=0,0,T18/T$12)</f>
        <v>0</v>
      </c>
      <c r="W18" s="4"/>
      <c r="X18" s="19">
        <f t="shared" ref="X18:X27" si="6">+P18-T18</f>
        <v>-46869.83924999999</v>
      </c>
      <c r="Y18" s="4"/>
      <c r="Z18" s="35">
        <f t="shared" ref="Z18:Z27" si="7">IF(T18=0,0,X18/T18)</f>
        <v>-0.9456376530760614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4356.313615384619</v>
      </c>
      <c r="I19" s="1"/>
      <c r="J19" s="5">
        <f t="shared" si="1"/>
        <v>0</v>
      </c>
      <c r="K19" s="1"/>
      <c r="L19" s="1">
        <f t="shared" si="2"/>
        <v>-4356.313615384619</v>
      </c>
      <c r="M19" s="1"/>
      <c r="N19" s="5">
        <f t="shared" si="3"/>
        <v>-1</v>
      </c>
      <c r="O19" s="14"/>
      <c r="P19" s="1">
        <f>SUM(OSRRefP22_0x_0)</f>
        <v>2478.73</v>
      </c>
      <c r="Q19" s="1"/>
      <c r="R19" s="5">
        <f t="shared" si="4"/>
        <v>0</v>
      </c>
      <c r="S19" s="1"/>
      <c r="T19" s="1">
        <f>SUM(OSRRefT22_0x_0)</f>
        <v>13811.769250000012</v>
      </c>
      <c r="U19" s="1"/>
      <c r="V19" s="5">
        <f t="shared" si="5"/>
        <v>0</v>
      </c>
      <c r="W19" s="1"/>
      <c r="X19" s="1">
        <f t="shared" si="6"/>
        <v>-11333.039250000013</v>
      </c>
      <c r="Y19" s="1"/>
      <c r="Z19" s="5">
        <f t="shared" si="7"/>
        <v>-0.82053493979419057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>
        <v>847.12823076923098</v>
      </c>
      <c r="I20" s="2"/>
      <c r="J20" s="7">
        <f t="shared" si="1"/>
        <v>0</v>
      </c>
      <c r="K20" s="2"/>
      <c r="L20" s="6">
        <f t="shared" si="2"/>
        <v>-847.12823076923098</v>
      </c>
      <c r="M20" s="2"/>
      <c r="N20" s="7">
        <f t="shared" si="3"/>
        <v>-1</v>
      </c>
      <c r="O20" s="11"/>
      <c r="P20" s="6"/>
      <c r="Q20" s="2"/>
      <c r="R20" s="7">
        <f t="shared" si="4"/>
        <v>0</v>
      </c>
      <c r="S20" s="2"/>
      <c r="T20" s="6">
        <v>2753.1667500000017</v>
      </c>
      <c r="U20" s="2"/>
      <c r="V20" s="7">
        <f t="shared" si="5"/>
        <v>0</v>
      </c>
      <c r="W20" s="2"/>
      <c r="X20" s="6">
        <f t="shared" si="6"/>
        <v>-2753.1667500000017</v>
      </c>
      <c r="Y20" s="2"/>
      <c r="Z20" s="7">
        <f t="shared" si="7"/>
        <v>-1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/>
      <c r="E21" s="2"/>
      <c r="F21" s="7">
        <f t="shared" si="0"/>
        <v>0</v>
      </c>
      <c r="G21" s="2"/>
      <c r="H21" s="6">
        <v>36.528461538461499</v>
      </c>
      <c r="I21" s="2"/>
      <c r="J21" s="7">
        <f t="shared" si="1"/>
        <v>0</v>
      </c>
      <c r="K21" s="2"/>
      <c r="L21" s="6">
        <f t="shared" si="2"/>
        <v>-36.528461538461499</v>
      </c>
      <c r="M21" s="2"/>
      <c r="N21" s="7">
        <f t="shared" si="3"/>
        <v>-1</v>
      </c>
      <c r="O21" s="11"/>
      <c r="P21" s="6"/>
      <c r="Q21" s="2"/>
      <c r="R21" s="7">
        <f t="shared" si="4"/>
        <v>0</v>
      </c>
      <c r="S21" s="2"/>
      <c r="T21" s="6">
        <v>118.7174999999999</v>
      </c>
      <c r="U21" s="2"/>
      <c r="V21" s="7">
        <f t="shared" si="5"/>
        <v>0</v>
      </c>
      <c r="W21" s="2"/>
      <c r="X21" s="6">
        <f t="shared" si="6"/>
        <v>-118.7174999999999</v>
      </c>
      <c r="Y21" s="2"/>
      <c r="Z21" s="7">
        <f t="shared" si="7"/>
        <v>-1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0"/>
        <v>0</v>
      </c>
      <c r="G22" s="2"/>
      <c r="H22" s="6">
        <v>1385</v>
      </c>
      <c r="I22" s="2"/>
      <c r="J22" s="7">
        <f t="shared" si="1"/>
        <v>0</v>
      </c>
      <c r="K22" s="2"/>
      <c r="L22" s="6">
        <f t="shared" si="2"/>
        <v>-1385</v>
      </c>
      <c r="M22" s="2"/>
      <c r="N22" s="7">
        <f t="shared" si="3"/>
        <v>-1</v>
      </c>
      <c r="O22" s="11"/>
      <c r="P22" s="6">
        <v>1868.2</v>
      </c>
      <c r="Q22" s="2"/>
      <c r="R22" s="7">
        <f t="shared" si="4"/>
        <v>0</v>
      </c>
      <c r="S22" s="2"/>
      <c r="T22" s="6">
        <v>4155</v>
      </c>
      <c r="U22" s="2"/>
      <c r="V22" s="7">
        <f t="shared" si="5"/>
        <v>0</v>
      </c>
      <c r="W22" s="2"/>
      <c r="X22" s="6">
        <f t="shared" si="6"/>
        <v>-2286.8000000000002</v>
      </c>
      <c r="Y22" s="2"/>
      <c r="Z22" s="7">
        <f t="shared" si="7"/>
        <v>-0.55037304452466906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/>
      <c r="E23" s="2"/>
      <c r="F23" s="7">
        <f t="shared" si="0"/>
        <v>0</v>
      </c>
      <c r="G23" s="2"/>
      <c r="H23" s="6">
        <v>28.78</v>
      </c>
      <c r="I23" s="2"/>
      <c r="J23" s="7">
        <f t="shared" si="1"/>
        <v>0</v>
      </c>
      <c r="K23" s="2"/>
      <c r="L23" s="6">
        <f t="shared" si="2"/>
        <v>-28.78</v>
      </c>
      <c r="M23" s="2"/>
      <c r="N23" s="7">
        <f t="shared" si="3"/>
        <v>-1</v>
      </c>
      <c r="O23" s="11"/>
      <c r="P23" s="6"/>
      <c r="Q23" s="2"/>
      <c r="R23" s="7">
        <f t="shared" si="4"/>
        <v>0</v>
      </c>
      <c r="S23" s="2"/>
      <c r="T23" s="6">
        <v>93.534999999999997</v>
      </c>
      <c r="U23" s="2"/>
      <c r="V23" s="7">
        <f t="shared" si="5"/>
        <v>0</v>
      </c>
      <c r="W23" s="2"/>
      <c r="X23" s="6">
        <f t="shared" si="6"/>
        <v>-93.534999999999997</v>
      </c>
      <c r="Y23" s="2"/>
      <c r="Z23" s="7">
        <f t="shared" si="7"/>
        <v>-1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0"/>
        <v>0</v>
      </c>
      <c r="G24" s="2"/>
      <c r="H24" s="6">
        <v>951.95384615384592</v>
      </c>
      <c r="I24" s="2"/>
      <c r="J24" s="7">
        <f t="shared" si="1"/>
        <v>0</v>
      </c>
      <c r="K24" s="2"/>
      <c r="L24" s="6">
        <f t="shared" si="2"/>
        <v>-951.95384615384592</v>
      </c>
      <c r="M24" s="2"/>
      <c r="N24" s="7">
        <f t="shared" si="3"/>
        <v>-1</v>
      </c>
      <c r="O24" s="11"/>
      <c r="P24" s="6">
        <v>610.53</v>
      </c>
      <c r="Q24" s="2"/>
      <c r="R24" s="7">
        <f t="shared" si="4"/>
        <v>0</v>
      </c>
      <c r="S24" s="2"/>
      <c r="T24" s="6">
        <v>3093.8500000000022</v>
      </c>
      <c r="U24" s="2"/>
      <c r="V24" s="7">
        <f t="shared" si="5"/>
        <v>0</v>
      </c>
      <c r="W24" s="2"/>
      <c r="X24" s="6">
        <f t="shared" si="6"/>
        <v>-2483.3200000000024</v>
      </c>
      <c r="Y24" s="2"/>
      <c r="Z24" s="7">
        <f t="shared" si="7"/>
        <v>-0.80266334825541019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6"/>
      <c r="E26" s="2"/>
      <c r="F26" s="7">
        <f t="shared" si="0"/>
        <v>0</v>
      </c>
      <c r="G26" s="2"/>
      <c r="H26" s="6">
        <v>1106.9230769230799</v>
      </c>
      <c r="I26" s="2"/>
      <c r="J26" s="7">
        <f t="shared" si="1"/>
        <v>0</v>
      </c>
      <c r="K26" s="2"/>
      <c r="L26" s="6">
        <f t="shared" si="2"/>
        <v>-1106.9230769230799</v>
      </c>
      <c r="M26" s="2"/>
      <c r="N26" s="7">
        <f t="shared" si="3"/>
        <v>-1</v>
      </c>
      <c r="O26" s="11"/>
      <c r="P26" s="6"/>
      <c r="Q26" s="2"/>
      <c r="R26" s="7">
        <f t="shared" si="4"/>
        <v>0</v>
      </c>
      <c r="S26" s="2"/>
      <c r="T26" s="6">
        <v>3597.50000000001</v>
      </c>
      <c r="U26" s="2"/>
      <c r="V26" s="7">
        <f t="shared" si="5"/>
        <v>0</v>
      </c>
      <c r="W26" s="2"/>
      <c r="X26" s="6">
        <f t="shared" si="6"/>
        <v>-3597.50000000001</v>
      </c>
      <c r="Y26" s="2"/>
      <c r="Z26" s="7">
        <f t="shared" si="7"/>
        <v>-1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6"/>
      <c r="E27" s="2"/>
      <c r="F27" s="7">
        <f t="shared" si="0"/>
        <v>0</v>
      </c>
      <c r="G27" s="2"/>
      <c r="H27" s="6">
        <v>0</v>
      </c>
      <c r="I27" s="2"/>
      <c r="J27" s="7">
        <f t="shared" si="1"/>
        <v>0</v>
      </c>
      <c r="K27" s="2"/>
      <c r="L27" s="6">
        <f t="shared" si="2"/>
        <v>0</v>
      </c>
      <c r="M27" s="2"/>
      <c r="N27" s="7">
        <f t="shared" si="3"/>
        <v>0</v>
      </c>
      <c r="O27" s="11"/>
      <c r="P27" s="6"/>
      <c r="Q27" s="2"/>
      <c r="R27" s="7">
        <f t="shared" si="4"/>
        <v>0</v>
      </c>
      <c r="S27" s="2"/>
      <c r="T27" s="6">
        <v>0</v>
      </c>
      <c r="U27" s="2"/>
      <c r="V27" s="7">
        <f t="shared" si="5"/>
        <v>0</v>
      </c>
      <c r="W27" s="2"/>
      <c r="X27" s="6">
        <f t="shared" si="6"/>
        <v>0</v>
      </c>
      <c r="Y27" s="2"/>
      <c r="Z27" s="7">
        <f t="shared" si="7"/>
        <v>0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0</v>
      </c>
      <c r="E28" s="1"/>
      <c r="F28" s="5">
        <f t="shared" ref="F28:F38" si="8">IF(D$12=0,0,D28/D$12)</f>
        <v>0</v>
      </c>
      <c r="G28" s="1"/>
      <c r="H28" s="1">
        <f>SUM(OSRRefH22_1x_0)</f>
        <v>9962.3076923076896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-9962.3076923076896</v>
      </c>
      <c r="M28" s="1"/>
      <c r="N28" s="5">
        <f t="shared" ref="N28:N38" si="11">IF(H28=0,0,L28/H28)</f>
        <v>-1</v>
      </c>
      <c r="O28" s="14"/>
      <c r="P28" s="1">
        <f>SUM(OSRRefP22_1x_0)</f>
        <v>0</v>
      </c>
      <c r="Q28" s="1"/>
      <c r="R28" s="5">
        <f t="shared" ref="R28:R38" si="12">IF(P$12=0,0,P28/P$12)</f>
        <v>0</v>
      </c>
      <c r="S28" s="1"/>
      <c r="T28" s="1">
        <f>SUM(OSRRefT22_1x_0)</f>
        <v>32377.499999999978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-32377.499999999978</v>
      </c>
      <c r="Y28" s="1"/>
      <c r="Z28" s="5">
        <f t="shared" ref="Z28:Z38" si="15">IF(T28=0,0,X28/T28)</f>
        <v>-1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6"/>
      <c r="E29" s="2"/>
      <c r="F29" s="7">
        <f t="shared" si="8"/>
        <v>0</v>
      </c>
      <c r="G29" s="2"/>
      <c r="H29" s="6">
        <v>9962.3076923076896</v>
      </c>
      <c r="I29" s="2"/>
      <c r="J29" s="7">
        <f t="shared" si="9"/>
        <v>0</v>
      </c>
      <c r="K29" s="2"/>
      <c r="L29" s="6">
        <f t="shared" si="10"/>
        <v>-9962.3076923076896</v>
      </c>
      <c r="M29" s="2"/>
      <c r="N29" s="7">
        <f t="shared" si="11"/>
        <v>-1</v>
      </c>
      <c r="O29" s="11"/>
      <c r="P29" s="6"/>
      <c r="Q29" s="2"/>
      <c r="R29" s="7">
        <f t="shared" si="12"/>
        <v>0</v>
      </c>
      <c r="S29" s="2"/>
      <c r="T29" s="6">
        <v>32377.499999999978</v>
      </c>
      <c r="U29" s="2"/>
      <c r="V29" s="7">
        <f t="shared" si="13"/>
        <v>0</v>
      </c>
      <c r="W29" s="2"/>
      <c r="X29" s="6">
        <f t="shared" si="14"/>
        <v>-32377.499999999978</v>
      </c>
      <c r="Y29" s="2"/>
      <c r="Z29" s="7">
        <f t="shared" si="15"/>
        <v>-1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6"/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0</v>
      </c>
      <c r="Y30" s="2"/>
      <c r="Z30" s="7">
        <f t="shared" si="15"/>
        <v>0</v>
      </c>
    </row>
    <row r="31" spans="1:26" s="24" customFormat="1" hidden="1" outlineLevel="2" x14ac:dyDescent="0.25">
      <c r="A31" s="29"/>
      <c r="B31" s="11" t="str">
        <f>CONCATENATE("          ", "6003", " - ", "STAFF HOURLY-9 MONTH")</f>
        <v xml:space="preserve">          6003 - STAFF HOURLY-9 MONTH</v>
      </c>
      <c r="C31" s="11"/>
      <c r="D31" s="6"/>
      <c r="E31" s="2"/>
      <c r="F31" s="7">
        <f t="shared" si="8"/>
        <v>0</v>
      </c>
      <c r="G31" s="2"/>
      <c r="H31" s="6">
        <v>0</v>
      </c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0</v>
      </c>
      <c r="U31" s="2"/>
      <c r="V31" s="7">
        <f t="shared" si="13"/>
        <v>0</v>
      </c>
      <c r="W31" s="2"/>
      <c r="X31" s="6">
        <f t="shared" si="14"/>
        <v>0</v>
      </c>
      <c r="Y31" s="2"/>
      <c r="Z31" s="7">
        <f t="shared" si="15"/>
        <v>0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9"/>
      <c r="B37" s="11" t="str">
        <f>CONCATENATE("          ", "6009", " - ", "TEMPORARY-SEASONAL")</f>
        <v xml:space="preserve">          6009 - TEMPORARY-SEASONAL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9"/>
      <c r="B38" s="11" t="str">
        <f>CONCATENATE("          ", "6010", " - ", "GRATUITY")</f>
        <v xml:space="preserve">          6010 - GRATUITY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8" customFormat="1" outlineLevel="1" collapsed="1" x14ac:dyDescent="0.25">
      <c r="A39" s="27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SUM(OSRRefD22_2x_0)</f>
        <v>0</v>
      </c>
      <c r="E39" s="1"/>
      <c r="F39" s="5">
        <f t="shared" ref="F39:F43" si="16">IF(D$12=0,0,D39/D$12)</f>
        <v>0</v>
      </c>
      <c r="G39" s="1"/>
      <c r="H39" s="1">
        <f>SUM(OSRRefH22_2x_0)</f>
        <v>0</v>
      </c>
      <c r="I39" s="1"/>
      <c r="J39" s="5">
        <f t="shared" ref="J39:J43" si="17">IF(H$12=0,0,H39/H$12)</f>
        <v>0</v>
      </c>
      <c r="K39" s="1"/>
      <c r="L39" s="1">
        <f t="shared" ref="L39:L43" si="18">+D39-H39</f>
        <v>0</v>
      </c>
      <c r="M39" s="1"/>
      <c r="N39" s="5">
        <f t="shared" ref="N39:N43" si="19">IF(H39=0,0,L39/H39)</f>
        <v>0</v>
      </c>
      <c r="O39" s="14"/>
      <c r="P39" s="1">
        <f>SUM(OSRRefP22_2x_0)</f>
        <v>0</v>
      </c>
      <c r="Q39" s="1"/>
      <c r="R39" s="5">
        <f t="shared" ref="R39:R43" si="20">IF(P$12=0,0,P39/P$12)</f>
        <v>0</v>
      </c>
      <c r="S39" s="1"/>
      <c r="T39" s="1">
        <f>SUM(OSRRefT22_2x_0)</f>
        <v>3000</v>
      </c>
      <c r="U39" s="1"/>
      <c r="V39" s="5">
        <f t="shared" ref="V39:V43" si="21">IF(T$12=0,0,T39/T$12)</f>
        <v>0</v>
      </c>
      <c r="W39" s="1"/>
      <c r="X39" s="1">
        <f t="shared" ref="X39:X43" si="22">+P39-T39</f>
        <v>-3000</v>
      </c>
      <c r="Y39" s="1"/>
      <c r="Z39" s="5">
        <f t="shared" ref="Z39:Z43" si="23">IF(T39=0,0,X39/T39)</f>
        <v>-1</v>
      </c>
    </row>
    <row r="40" spans="1:26" s="24" customFormat="1" hidden="1" outlineLevel="2" x14ac:dyDescent="0.25">
      <c r="A40" s="29"/>
      <c r="B40" s="11" t="str">
        <f>CONCATENATE("          ", "6279", " - ", "GENERAL EXPENSE")</f>
        <v xml:space="preserve">          6279 - GENERAL EXPENSE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3000</v>
      </c>
      <c r="U40" s="2"/>
      <c r="V40" s="7">
        <f t="shared" si="21"/>
        <v>0</v>
      </c>
      <c r="W40" s="2"/>
      <c r="X40" s="6">
        <f t="shared" si="22"/>
        <v>-3000</v>
      </c>
      <c r="Y40" s="2"/>
      <c r="Z40" s="7">
        <f t="shared" si="23"/>
        <v>-1</v>
      </c>
    </row>
    <row r="41" spans="1:26" s="28" customFormat="1" outlineLevel="1" collapsed="1" x14ac:dyDescent="0.25">
      <c r="A41" s="27"/>
      <c r="B41" s="14" t="str">
        <f>CONCATENATE("     ","Services                                          ")</f>
        <v xml:space="preserve">     Services                                          </v>
      </c>
      <c r="C41" s="14"/>
      <c r="D41" s="1">
        <f>SUM(OSRRefD22_3x_0)</f>
        <v>0</v>
      </c>
      <c r="E41" s="1"/>
      <c r="F41" s="5">
        <f t="shared" si="16"/>
        <v>0</v>
      </c>
      <c r="G41" s="1"/>
      <c r="H41" s="1">
        <f>SUM(OSRRefH22_3x_0)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SUM(OSRRefP22_3x_0)</f>
        <v>0</v>
      </c>
      <c r="Q41" s="1"/>
      <c r="R41" s="5">
        <f t="shared" si="20"/>
        <v>0</v>
      </c>
      <c r="S41" s="1"/>
      <c r="T41" s="1">
        <f>SUM(OSRRefT22_3x_0)</f>
        <v>0</v>
      </c>
      <c r="U41" s="1"/>
      <c r="V41" s="5">
        <f t="shared" si="21"/>
        <v>0</v>
      </c>
      <c r="W41" s="1"/>
      <c r="X41" s="1">
        <f t="shared" si="22"/>
        <v>0</v>
      </c>
      <c r="Y41" s="1"/>
      <c r="Z41" s="5">
        <f t="shared" si="23"/>
        <v>0</v>
      </c>
    </row>
    <row r="42" spans="1:26" s="24" customFormat="1" hidden="1" outlineLevel="2" x14ac:dyDescent="0.25">
      <c r="A42" s="29"/>
      <c r="B42" s="11" t="str">
        <f>CONCATENATE("          ", "6282", " - ", "JANITORIAL/EXTERMINATOR EXPENS")</f>
        <v xml:space="preserve">          6282 - JANITORIAL/EXTERMINATOR EXPENS</v>
      </c>
      <c r="C42" s="11"/>
      <c r="D42" s="6"/>
      <c r="E42" s="2"/>
      <c r="F42" s="7">
        <f t="shared" si="16"/>
        <v>0</v>
      </c>
      <c r="G42" s="2"/>
      <c r="H42" s="6">
        <v>0</v>
      </c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/>
      <c r="Q42" s="2"/>
      <c r="R42" s="7">
        <f t="shared" si="20"/>
        <v>0</v>
      </c>
      <c r="S42" s="2"/>
      <c r="T42" s="6">
        <v>0</v>
      </c>
      <c r="U42" s="2"/>
      <c r="V42" s="7">
        <f t="shared" si="21"/>
        <v>0</v>
      </c>
      <c r="W42" s="2"/>
      <c r="X42" s="6">
        <f t="shared" si="22"/>
        <v>0</v>
      </c>
      <c r="Y42" s="2"/>
      <c r="Z42" s="7">
        <f t="shared" si="23"/>
        <v>0</v>
      </c>
    </row>
    <row r="43" spans="1:26" s="24" customFormat="1" hidden="1" outlineLevel="2" x14ac:dyDescent="0.25">
      <c r="A43" s="29"/>
      <c r="B43" s="11" t="str">
        <f>CONCATENATE("          ", "6285", " - ", "JANITORIAL SERVICES")</f>
        <v xml:space="preserve">          6285 - JANITORIAL SERVICES</v>
      </c>
      <c r="C43" s="11"/>
      <c r="D43" s="6"/>
      <c r="E43" s="2"/>
      <c r="F43" s="7">
        <f t="shared" si="16"/>
        <v>0</v>
      </c>
      <c r="G43" s="2"/>
      <c r="H43" s="6">
        <v>0</v>
      </c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/>
      <c r="Q43" s="2"/>
      <c r="R43" s="7">
        <f t="shared" si="20"/>
        <v>0</v>
      </c>
      <c r="S43" s="2"/>
      <c r="T43" s="6">
        <v>0</v>
      </c>
      <c r="U43" s="2"/>
      <c r="V43" s="7">
        <f t="shared" si="21"/>
        <v>0</v>
      </c>
      <c r="W43" s="2"/>
      <c r="X43" s="6">
        <f t="shared" si="22"/>
        <v>0</v>
      </c>
      <c r="Y43" s="2"/>
      <c r="Z43" s="7">
        <f t="shared" si="23"/>
        <v>0</v>
      </c>
    </row>
    <row r="44" spans="1:26" s="28" customFormat="1" outlineLevel="1" collapsed="1" x14ac:dyDescent="0.25">
      <c r="A44" s="27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SUM(OSRRefD22_4x_0)</f>
        <v>0</v>
      </c>
      <c r="E44" s="1"/>
      <c r="F44" s="5">
        <f t="shared" ref="F44:F49" si="24">IF(D$12=0,0,D44/D$12)</f>
        <v>0</v>
      </c>
      <c r="G44" s="1"/>
      <c r="H44" s="1">
        <f>SUM(OSRRefH22_4x_0)</f>
        <v>25</v>
      </c>
      <c r="I44" s="1"/>
      <c r="J44" s="5">
        <f t="shared" ref="J44:J49" si="25">IF(H$12=0,0,H44/H$12)</f>
        <v>0</v>
      </c>
      <c r="K44" s="1"/>
      <c r="L44" s="1">
        <f t="shared" ref="L44:L49" si="26">+D44-H44</f>
        <v>-25</v>
      </c>
      <c r="M44" s="1"/>
      <c r="N44" s="5">
        <f t="shared" ref="N44:N49" si="27">IF(H44=0,0,L44/H44)</f>
        <v>-1</v>
      </c>
      <c r="O44" s="14"/>
      <c r="P44" s="1">
        <f>SUM(OSRRefP22_4x_0)</f>
        <v>-56.3</v>
      </c>
      <c r="Q44" s="1"/>
      <c r="R44" s="5">
        <f t="shared" ref="R44:R49" si="28">IF(P$12=0,0,P44/P$12)</f>
        <v>0</v>
      </c>
      <c r="S44" s="1"/>
      <c r="T44" s="1">
        <f>SUM(OSRRefT22_4x_0)</f>
        <v>75</v>
      </c>
      <c r="U44" s="1"/>
      <c r="V44" s="5">
        <f t="shared" ref="V44:V49" si="29">IF(T$12=0,0,T44/T$12)</f>
        <v>0</v>
      </c>
      <c r="W44" s="1"/>
      <c r="X44" s="1">
        <f t="shared" ref="X44:X49" si="30">+P44-T44</f>
        <v>-131.30000000000001</v>
      </c>
      <c r="Y44" s="1"/>
      <c r="Z44" s="5">
        <f t="shared" ref="Z44:Z49" si="31">IF(T44=0,0,X44/T44)</f>
        <v>-1.7506666666666668</v>
      </c>
    </row>
    <row r="45" spans="1:26" s="24" customFormat="1" hidden="1" outlineLevel="2" x14ac:dyDescent="0.25">
      <c r="A45" s="29"/>
      <c r="B45" s="11" t="str">
        <f>CONCATENATE("          ", "6241", " - ", "OFFICE EXPENSE")</f>
        <v xml:space="preserve">          6241 - OFFICE EXPENSE</v>
      </c>
      <c r="C45" s="11"/>
      <c r="D45" s="6"/>
      <c r="E45" s="2"/>
      <c r="F45" s="7">
        <f t="shared" si="24"/>
        <v>0</v>
      </c>
      <c r="G45" s="2"/>
      <c r="H45" s="6">
        <v>25</v>
      </c>
      <c r="I45" s="2"/>
      <c r="J45" s="7">
        <f t="shared" si="25"/>
        <v>0</v>
      </c>
      <c r="K45" s="2"/>
      <c r="L45" s="6">
        <f t="shared" si="26"/>
        <v>-25</v>
      </c>
      <c r="M45" s="2"/>
      <c r="N45" s="7">
        <f t="shared" si="27"/>
        <v>-1</v>
      </c>
      <c r="O45" s="11"/>
      <c r="P45" s="6">
        <v>-56.3</v>
      </c>
      <c r="Q45" s="2"/>
      <c r="R45" s="7">
        <f t="shared" si="28"/>
        <v>0</v>
      </c>
      <c r="S45" s="2"/>
      <c r="T45" s="6">
        <v>75</v>
      </c>
      <c r="U45" s="2"/>
      <c r="V45" s="7">
        <f t="shared" si="29"/>
        <v>0</v>
      </c>
      <c r="W45" s="2"/>
      <c r="X45" s="6">
        <f t="shared" si="30"/>
        <v>-131.30000000000001</v>
      </c>
      <c r="Y45" s="2"/>
      <c r="Z45" s="7">
        <f t="shared" si="31"/>
        <v>-1.7506666666666668</v>
      </c>
    </row>
    <row r="46" spans="1:26" s="28" customFormat="1" outlineLevel="1" collapsed="1" x14ac:dyDescent="0.25">
      <c r="A46" s="27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SUM(OSRRefD22_5x_0)</f>
        <v>200</v>
      </c>
      <c r="E46" s="1"/>
      <c r="F46" s="5">
        <f t="shared" si="24"/>
        <v>0</v>
      </c>
      <c r="G46" s="1"/>
      <c r="H46" s="1">
        <f>SUM(OSRRefH22_5x_0)</f>
        <v>200</v>
      </c>
      <c r="I46" s="1"/>
      <c r="J46" s="5">
        <f t="shared" si="25"/>
        <v>0</v>
      </c>
      <c r="K46" s="1"/>
      <c r="L46" s="1">
        <f t="shared" si="26"/>
        <v>0</v>
      </c>
      <c r="M46" s="1"/>
      <c r="N46" s="5">
        <f t="shared" si="27"/>
        <v>0</v>
      </c>
      <c r="O46" s="14"/>
      <c r="P46" s="1">
        <f>SUM(OSRRefP22_5x_0)</f>
        <v>272</v>
      </c>
      <c r="Q46" s="1"/>
      <c r="R46" s="5">
        <f t="shared" si="28"/>
        <v>0</v>
      </c>
      <c r="S46" s="1"/>
      <c r="T46" s="1">
        <f>SUM(OSRRefT22_5x_0)</f>
        <v>300</v>
      </c>
      <c r="U46" s="1"/>
      <c r="V46" s="5">
        <f t="shared" si="29"/>
        <v>0</v>
      </c>
      <c r="W46" s="1"/>
      <c r="X46" s="1">
        <f t="shared" si="30"/>
        <v>-28</v>
      </c>
      <c r="Y46" s="1"/>
      <c r="Z46" s="5">
        <f t="shared" si="31"/>
        <v>-9.3333333333333338E-2</v>
      </c>
    </row>
    <row r="47" spans="1:26" s="24" customFormat="1" hidden="1" outlineLevel="2" x14ac:dyDescent="0.25">
      <c r="A47" s="29"/>
      <c r="B47" s="11" t="str">
        <f>CONCATENATE("          ", "6309", " - ", "TELEPHONE")</f>
        <v xml:space="preserve">          6309 - TELEPHONE</v>
      </c>
      <c r="C47" s="11"/>
      <c r="D47" s="6">
        <v>200</v>
      </c>
      <c r="E47" s="2"/>
      <c r="F47" s="7">
        <f t="shared" si="24"/>
        <v>0</v>
      </c>
      <c r="G47" s="2"/>
      <c r="H47" s="6">
        <v>200</v>
      </c>
      <c r="I47" s="2"/>
      <c r="J47" s="7">
        <f t="shared" si="25"/>
        <v>0</v>
      </c>
      <c r="K47" s="2"/>
      <c r="L47" s="6">
        <f t="shared" si="26"/>
        <v>0</v>
      </c>
      <c r="M47" s="2"/>
      <c r="N47" s="7">
        <f t="shared" si="27"/>
        <v>0</v>
      </c>
      <c r="O47" s="11"/>
      <c r="P47" s="6">
        <v>272</v>
      </c>
      <c r="Q47" s="2"/>
      <c r="R47" s="7">
        <f t="shared" si="28"/>
        <v>0</v>
      </c>
      <c r="S47" s="2"/>
      <c r="T47" s="6">
        <v>300</v>
      </c>
      <c r="U47" s="2"/>
      <c r="V47" s="7">
        <f t="shared" si="29"/>
        <v>0</v>
      </c>
      <c r="W47" s="2"/>
      <c r="X47" s="6">
        <f t="shared" si="30"/>
        <v>-28</v>
      </c>
      <c r="Y47" s="2"/>
      <c r="Z47" s="7">
        <f t="shared" si="31"/>
        <v>-9.3333333333333338E-2</v>
      </c>
    </row>
    <row r="48" spans="1:26" s="28" customFormat="1" outlineLevel="1" collapsed="1" x14ac:dyDescent="0.25">
      <c r="A48" s="27"/>
      <c r="B48" s="14" t="str">
        <f>CONCATENATE("     ","Utilities                                         ")</f>
        <v xml:space="preserve">     Utilities                                         </v>
      </c>
      <c r="C48" s="14"/>
      <c r="D48" s="1">
        <f>SUM(OSRRefD22_6x_0)</f>
        <v>0</v>
      </c>
      <c r="E48" s="1"/>
      <c r="F48" s="5">
        <f t="shared" si="24"/>
        <v>0</v>
      </c>
      <c r="G48" s="1"/>
      <c r="H48" s="1">
        <f>SUM(OSRRefH22_6x_0)</f>
        <v>0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SUM(OSRRefP22_6x_0)</f>
        <v>0</v>
      </c>
      <c r="Q48" s="1"/>
      <c r="R48" s="5">
        <f t="shared" si="28"/>
        <v>0</v>
      </c>
      <c r="S48" s="1"/>
      <c r="T48" s="1">
        <f>SUM(OSRRefT22_6x_0)</f>
        <v>0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9"/>
      <c r="B49" s="11" t="str">
        <f>CONCATENATE("          ", "6274", " - ", "UTILITIES")</f>
        <v xml:space="preserve">          6274 - UTILITIES</v>
      </c>
      <c r="C49" s="11"/>
      <c r="D49" s="6"/>
      <c r="E49" s="2"/>
      <c r="F49" s="7">
        <f t="shared" si="24"/>
        <v>0</v>
      </c>
      <c r="G49" s="2"/>
      <c r="H49" s="6">
        <v>0</v>
      </c>
      <c r="I49" s="2"/>
      <c r="J49" s="7">
        <f t="shared" si="25"/>
        <v>0</v>
      </c>
      <c r="K49" s="2"/>
      <c r="L49" s="6">
        <f t="shared" si="26"/>
        <v>0</v>
      </c>
      <c r="M49" s="2"/>
      <c r="N49" s="7">
        <f t="shared" si="27"/>
        <v>0</v>
      </c>
      <c r="O49" s="11"/>
      <c r="P49" s="6"/>
      <c r="Q49" s="2"/>
      <c r="R49" s="7">
        <f t="shared" si="28"/>
        <v>0</v>
      </c>
      <c r="S49" s="2"/>
      <c r="T49" s="6">
        <v>0</v>
      </c>
      <c r="U49" s="2"/>
      <c r="V49" s="7">
        <f t="shared" si="29"/>
        <v>0</v>
      </c>
      <c r="W49" s="2"/>
      <c r="X49" s="6">
        <f t="shared" si="30"/>
        <v>0</v>
      </c>
      <c r="Y49" s="2"/>
      <c r="Z49" s="7">
        <f t="shared" si="31"/>
        <v>0</v>
      </c>
    </row>
    <row r="50" spans="1:26" s="61" customFormat="1" x14ac:dyDescent="0.25">
      <c r="A50" s="36"/>
      <c r="B50" s="36"/>
      <c r="C50" s="36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6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collapsed="1" x14ac:dyDescent="0.25">
      <c r="A51" s="10"/>
      <c r="B51" s="25" t="s">
        <v>0</v>
      </c>
      <c r="C51" s="10"/>
      <c r="D51" s="4">
        <f>SUM(OSRRefD25x_0)</f>
        <v>0</v>
      </c>
      <c r="E51" s="4"/>
      <c r="F51" s="12">
        <f t="shared" ref="F51:F53" si="32">IF(D$12=0,0,D51/D$12)</f>
        <v>0</v>
      </c>
      <c r="G51" s="4"/>
      <c r="H51" s="4">
        <f>SUM(OSRRefH25x_0)</f>
        <v>4235</v>
      </c>
      <c r="I51" s="4"/>
      <c r="J51" s="12">
        <f t="shared" ref="J51:J53" si="33">IF(H$12=0,0,H51/H$12)</f>
        <v>0</v>
      </c>
      <c r="K51" s="4"/>
      <c r="L51" s="4">
        <f t="shared" ref="L51:L53" si="34">+D51-H51</f>
        <v>-4235</v>
      </c>
      <c r="M51" s="4"/>
      <c r="N51" s="12">
        <f t="shared" ref="N51:N53" si="35">IF(H51=0,0,L51/H51)</f>
        <v>-1</v>
      </c>
      <c r="O51" s="10"/>
      <c r="P51" s="4">
        <f>SUM(OSRRefP25x_0)</f>
        <v>0</v>
      </c>
      <c r="Q51" s="4"/>
      <c r="R51" s="12">
        <f t="shared" ref="R51:R53" si="36">IF(P$12=0,0,P51/P$12)</f>
        <v>0</v>
      </c>
      <c r="S51" s="4"/>
      <c r="T51" s="4">
        <f>SUM(OSRRefT25x_0)</f>
        <v>4235</v>
      </c>
      <c r="U51" s="4"/>
      <c r="V51" s="12">
        <f t="shared" ref="V51:V53" si="37">IF(T$12=0,0,T51/T$12)</f>
        <v>0</v>
      </c>
      <c r="W51" s="4"/>
      <c r="X51" s="4">
        <f t="shared" ref="X51:X53" si="38">+P51-T51</f>
        <v>-4235</v>
      </c>
      <c r="Y51" s="4"/>
      <c r="Z51" s="12">
        <f t="shared" ref="Z51:Z53" si="39">IF(T51=0,0,X51/T51)</f>
        <v>-1</v>
      </c>
    </row>
    <row r="52" spans="1:26" s="24" customFormat="1" hidden="1" outlineLevel="1" x14ac:dyDescent="0.25">
      <c r="A52" s="51"/>
      <c r="B52" s="11" t="str">
        <f>CONCATENATE("          ", "9150", " - ", "MISC. INCOME")</f>
        <v xml:space="preserve">          9150 - MISC. INCOME</v>
      </c>
      <c r="C52" s="11"/>
      <c r="D52" s="2">
        <f t="shared" ref="D52:D53" si="40">0</f>
        <v>0</v>
      </c>
      <c r="E52" s="2"/>
      <c r="F52" s="22">
        <f t="shared" si="32"/>
        <v>0</v>
      </c>
      <c r="G52" s="2"/>
      <c r="H52" s="2">
        <v>2036</v>
      </c>
      <c r="I52" s="2"/>
      <c r="J52" s="22">
        <f t="shared" si="33"/>
        <v>0</v>
      </c>
      <c r="K52" s="2"/>
      <c r="L52" s="2">
        <f t="shared" si="34"/>
        <v>-2036</v>
      </c>
      <c r="M52" s="2"/>
      <c r="N52" s="22">
        <f t="shared" si="35"/>
        <v>-1</v>
      </c>
      <c r="O52" s="11"/>
      <c r="P52" s="2">
        <f t="shared" ref="P52:P53" si="41">0</f>
        <v>0</v>
      </c>
      <c r="Q52" s="2"/>
      <c r="R52" s="22">
        <f t="shared" si="36"/>
        <v>0</v>
      </c>
      <c r="S52" s="2"/>
      <c r="T52" s="2">
        <v>2036</v>
      </c>
      <c r="U52" s="2"/>
      <c r="V52" s="22">
        <f t="shared" si="37"/>
        <v>0</v>
      </c>
      <c r="W52" s="2"/>
      <c r="X52" s="2">
        <f t="shared" si="38"/>
        <v>-2036</v>
      </c>
      <c r="Y52" s="2"/>
      <c r="Z52" s="22">
        <f t="shared" si="39"/>
        <v>-1</v>
      </c>
    </row>
    <row r="53" spans="1:26" s="24" customFormat="1" hidden="1" outlineLevel="1" x14ac:dyDescent="0.25">
      <c r="A53" s="51"/>
      <c r="B53" s="11" t="str">
        <f>CONCATENATE("          ", "9151", " - ", "MISC. INCOME")</f>
        <v xml:space="preserve">          9151 - MISC. INCOME</v>
      </c>
      <c r="C53" s="11"/>
      <c r="D53" s="2">
        <f t="shared" si="40"/>
        <v>0</v>
      </c>
      <c r="E53" s="2"/>
      <c r="F53" s="22">
        <f t="shared" si="32"/>
        <v>0</v>
      </c>
      <c r="G53" s="2"/>
      <c r="H53" s="2">
        <v>2199</v>
      </c>
      <c r="I53" s="2"/>
      <c r="J53" s="22">
        <f t="shared" si="33"/>
        <v>0</v>
      </c>
      <c r="K53" s="2"/>
      <c r="L53" s="2">
        <f t="shared" si="34"/>
        <v>-2199</v>
      </c>
      <c r="M53" s="2"/>
      <c r="N53" s="22">
        <f t="shared" si="35"/>
        <v>-1</v>
      </c>
      <c r="O53" s="11"/>
      <c r="P53" s="2">
        <f t="shared" si="41"/>
        <v>0</v>
      </c>
      <c r="Q53" s="2"/>
      <c r="R53" s="22">
        <f t="shared" si="36"/>
        <v>0</v>
      </c>
      <c r="S53" s="2"/>
      <c r="T53" s="2">
        <v>2199</v>
      </c>
      <c r="U53" s="2"/>
      <c r="V53" s="22">
        <f t="shared" si="37"/>
        <v>0</v>
      </c>
      <c r="W53" s="2"/>
      <c r="X53" s="2">
        <f t="shared" si="38"/>
        <v>-2199</v>
      </c>
      <c r="Y53" s="2"/>
      <c r="Z53" s="22">
        <f t="shared" si="39"/>
        <v>-1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6" t="s">
        <v>3</v>
      </c>
      <c r="C55" s="26"/>
      <c r="D55" s="20">
        <f>+D16-D18+D51</f>
        <v>-200</v>
      </c>
      <c r="E55" s="13"/>
      <c r="F55" s="21">
        <f>IF(D$12=0,0,D55/D$12)</f>
        <v>0</v>
      </c>
      <c r="G55" s="13"/>
      <c r="H55" s="20">
        <f>+H16-H18+H51</f>
        <v>-10308.621307692309</v>
      </c>
      <c r="I55" s="13"/>
      <c r="J55" s="21">
        <f>IF(H$12=0,0,H55/H$12)</f>
        <v>0</v>
      </c>
      <c r="K55" s="16"/>
      <c r="L55" s="20">
        <f>+D55-H55</f>
        <v>10108.621307692309</v>
      </c>
      <c r="M55" s="16"/>
      <c r="N55" s="21">
        <f>IF(H55=0,0,L55/H55)</f>
        <v>-0.98059876349800923</v>
      </c>
      <c r="O55" s="25"/>
      <c r="P55" s="20">
        <f>+P16-P18+P51</f>
        <v>-2694.43</v>
      </c>
      <c r="Q55" s="13"/>
      <c r="R55" s="21">
        <f>IF(P$12=0,0,P55/P$12)</f>
        <v>0</v>
      </c>
      <c r="S55" s="13"/>
      <c r="T55" s="20">
        <f>+T16-T18+T51</f>
        <v>-45329.26924999999</v>
      </c>
      <c r="U55" s="13"/>
      <c r="V55" s="21">
        <f>IF(T$12=0,0,T55/T$12)</f>
        <v>0</v>
      </c>
      <c r="W55" s="16"/>
      <c r="X55" s="20">
        <f>+P55-T55</f>
        <v>42634.83924999999</v>
      </c>
      <c r="Y55" s="16"/>
      <c r="Z55" s="21">
        <f>IF(T55=0,0,X55/T55)</f>
        <v>-0.94055871527203139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52"/>
      <c r="B57" s="10" t="s">
        <v>14</v>
      </c>
      <c r="C57" s="10"/>
      <c r="D57" s="4"/>
      <c r="E57" s="4"/>
      <c r="F57" s="12">
        <f>IF(D$12=0,0,D57/D$12)</f>
        <v>0</v>
      </c>
      <c r="G57" s="4"/>
      <c r="H57" s="4"/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/>
      <c r="Q57" s="4"/>
      <c r="R57" s="12">
        <f>IF(P$12=0,0,P57/P$12)</f>
        <v>0</v>
      </c>
      <c r="S57" s="4"/>
      <c r="T57" s="4"/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6" t="s">
        <v>4</v>
      </c>
      <c r="C59" s="26"/>
      <c r="D59" s="33">
        <f>+D55-D57</f>
        <v>-200</v>
      </c>
      <c r="E59" s="13"/>
      <c r="F59" s="34">
        <f>IF(D$12=0,0,D59/D$12)</f>
        <v>0</v>
      </c>
      <c r="G59" s="13"/>
      <c r="H59" s="33">
        <f>+H55-H57</f>
        <v>-10308.621307692309</v>
      </c>
      <c r="I59" s="13"/>
      <c r="J59" s="34">
        <f>IF(H$12=0,0,H59/H$12)</f>
        <v>0</v>
      </c>
      <c r="K59" s="16"/>
      <c r="L59" s="33">
        <f>D59-H59</f>
        <v>10108.621307692309</v>
      </c>
      <c r="M59" s="16"/>
      <c r="N59" s="34">
        <f>IF(H59=0,0,L59/H59)</f>
        <v>-0.98059876349800923</v>
      </c>
      <c r="O59" s="25"/>
      <c r="P59" s="33">
        <f>+P55-P57</f>
        <v>-2694.43</v>
      </c>
      <c r="Q59" s="13"/>
      <c r="R59" s="34">
        <f>IF(P$12=0,0,P59/P$12)</f>
        <v>0</v>
      </c>
      <c r="S59" s="13"/>
      <c r="T59" s="33">
        <f>+T55-T57</f>
        <v>-45329.26924999999</v>
      </c>
      <c r="U59" s="13"/>
      <c r="V59" s="34">
        <f>IF(T$12=0,0,T59/T$12)</f>
        <v>0</v>
      </c>
      <c r="W59" s="16"/>
      <c r="X59" s="33">
        <f>P59-T59</f>
        <v>42634.83924999999</v>
      </c>
      <c r="Y59" s="16"/>
      <c r="Z59" s="34">
        <f>IF(T59=0,0,X59/T59)</f>
        <v>-0.94055871527203139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6" t="s">
        <v>5</v>
      </c>
      <c r="C62" s="26"/>
      <c r="D62" s="31">
        <f>SUM(D59:D61)</f>
        <v>-200</v>
      </c>
      <c r="E62" s="13"/>
      <c r="F62" s="32">
        <f>IF(D$12=0,0,D62/D$12)</f>
        <v>0</v>
      </c>
      <c r="G62" s="13"/>
      <c r="H62" s="31">
        <f>SUM(H59:H61)</f>
        <v>-10308.621307692309</v>
      </c>
      <c r="I62" s="13"/>
      <c r="J62" s="32">
        <f>IF(H$12=0,0,H62/H$12)</f>
        <v>0</v>
      </c>
      <c r="K62" s="16"/>
      <c r="L62" s="31">
        <f>+D62-H62</f>
        <v>10108.621307692309</v>
      </c>
      <c r="M62" s="16"/>
      <c r="N62" s="32">
        <f>IF(H62=0,0,L62/H62)</f>
        <v>-0.98059876349800923</v>
      </c>
      <c r="O62" s="25"/>
      <c r="P62" s="31">
        <f>SUM(P59:P61)</f>
        <v>-2694.43</v>
      </c>
      <c r="Q62" s="13"/>
      <c r="R62" s="32">
        <f>IF(P$12=0,0,P62/P$12)</f>
        <v>0</v>
      </c>
      <c r="S62" s="13"/>
      <c r="T62" s="31">
        <f>SUM(T59:T61)</f>
        <v>-45329.26924999999</v>
      </c>
      <c r="U62" s="13"/>
      <c r="V62" s="32">
        <f>IF(T$12=0,0,T62/T$12)</f>
        <v>0</v>
      </c>
      <c r="W62" s="16"/>
      <c r="X62" s="31">
        <f>+P62-T62</f>
        <v>42634.83924999999</v>
      </c>
      <c r="Y62" s="16"/>
      <c r="Z62" s="32">
        <f>IF(T62=0,0,X62/T62)</f>
        <v>-0.94055871527203139</v>
      </c>
    </row>
    <row r="63" spans="1:26" ht="15.75" thickTop="1" x14ac:dyDescent="0.25">
      <c r="A63" s="9"/>
      <c r="C63" s="9"/>
      <c r="D63" s="17"/>
      <c r="E63" s="17"/>
      <c r="G63" s="17"/>
      <c r="H63" s="17"/>
      <c r="I63" s="17"/>
      <c r="J63" s="43"/>
      <c r="K63" s="17"/>
      <c r="L63" s="17"/>
      <c r="M63" s="17"/>
      <c r="P63" s="17"/>
      <c r="Q63" s="17"/>
      <c r="R63" s="43"/>
      <c r="S63" s="17"/>
      <c r="T63" s="17"/>
      <c r="U63" s="17"/>
      <c r="V63" s="43"/>
      <c r="W63" s="17"/>
      <c r="X63" s="17"/>
    </row>
    <row r="64" spans="1:26" x14ac:dyDescent="0.25">
      <c r="A64" s="9"/>
      <c r="B64" s="55">
        <v>44123.572441354168</v>
      </c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25">
      <c r="A65" s="9"/>
      <c r="B65" s="53" t="s">
        <v>314</v>
      </c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A66" s="9"/>
      <c r="B66" s="62"/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4" x14ac:dyDescent="0.25"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","424", " - ", "Blair Field")</f>
        <v>Department 424 - Blair Field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555.02</v>
      </c>
      <c r="E18" s="19"/>
      <c r="F18" s="35">
        <f t="shared" ref="F18:F26" si="0">IF(D$12=0,0,D18/D$12)</f>
        <v>0</v>
      </c>
      <c r="G18" s="19"/>
      <c r="H18" s="19">
        <f>SUM(OSRRefH22x_0)</f>
        <v>479</v>
      </c>
      <c r="I18" s="19"/>
      <c r="J18" s="35">
        <f t="shared" ref="J18:J26" si="1">IF(H$12=0,0,H18/H$12)</f>
        <v>0</v>
      </c>
      <c r="K18" s="4"/>
      <c r="L18" s="19">
        <f t="shared" ref="L18:L26" si="2">+D18-H18</f>
        <v>76.019999999999982</v>
      </c>
      <c r="M18" s="4"/>
      <c r="N18" s="35">
        <f t="shared" ref="N18:N26" si="3">IF(H18=0,0,L18/H18)</f>
        <v>0.158705636743215</v>
      </c>
      <c r="O18" s="10"/>
      <c r="P18" s="19">
        <f>SUM(OSRRefP22x_0)</f>
        <v>2539.7600000000002</v>
      </c>
      <c r="Q18" s="19"/>
      <c r="R18" s="35">
        <f t="shared" ref="R18:R26" si="4">IF(P$12=0,0,P18/P$12)</f>
        <v>0</v>
      </c>
      <c r="S18" s="19"/>
      <c r="T18" s="19">
        <f>SUM(OSRRefT22x_0)</f>
        <v>1437</v>
      </c>
      <c r="U18" s="19"/>
      <c r="V18" s="35">
        <f t="shared" ref="V18:V26" si="5">IF(T$12=0,0,T18/T$12)</f>
        <v>0</v>
      </c>
      <c r="W18" s="4"/>
      <c r="X18" s="19">
        <f t="shared" ref="X18:X26" si="6">+P18-T18</f>
        <v>1102.7600000000002</v>
      </c>
      <c r="Y18" s="4"/>
      <c r="Z18" s="35">
        <f t="shared" ref="Z18:Z26" si="7">IF(T18=0,0,X18/T18)</f>
        <v>0.76740431454418945</v>
      </c>
    </row>
    <row r="19" spans="1:26" s="28" customFormat="1" outlineLevel="1" collapsed="1" x14ac:dyDescent="0.25">
      <c r="A19" s="27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</v>
      </c>
      <c r="I19" s="1"/>
      <c r="J19" s="5">
        <f t="shared" si="1"/>
        <v>0</v>
      </c>
      <c r="K19" s="1"/>
      <c r="L19" s="1">
        <f t="shared" si="2"/>
        <v>0.29000000000002046</v>
      </c>
      <c r="M19" s="1"/>
      <c r="N19" s="5">
        <f t="shared" si="3"/>
        <v>6.054279749478506E-4</v>
      </c>
      <c r="O19" s="14"/>
      <c r="P19" s="1">
        <f>SUM(OSRRefP22_0x_0)</f>
        <v>1437.87</v>
      </c>
      <c r="Q19" s="1"/>
      <c r="R19" s="5">
        <f t="shared" si="4"/>
        <v>0</v>
      </c>
      <c r="S19" s="1"/>
      <c r="T19" s="1">
        <f>SUM(OSRRefT22_0x_0)</f>
        <v>1437</v>
      </c>
      <c r="U19" s="1"/>
      <c r="V19" s="5">
        <f t="shared" si="5"/>
        <v>0</v>
      </c>
      <c r="W19" s="1"/>
      <c r="X19" s="1">
        <f t="shared" si="6"/>
        <v>0.86999999999989086</v>
      </c>
      <c r="Y19" s="1"/>
      <c r="Z19" s="5">
        <f t="shared" si="7"/>
        <v>6.0542797494773199E-4</v>
      </c>
    </row>
    <row r="20" spans="1:26" s="24" customFormat="1" hidden="1" outlineLevel="2" x14ac:dyDescent="0.25">
      <c r="A20" s="29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479.29</v>
      </c>
      <c r="E20" s="2"/>
      <c r="F20" s="7">
        <f t="shared" si="0"/>
        <v>0</v>
      </c>
      <c r="G20" s="2"/>
      <c r="H20" s="6">
        <v>479</v>
      </c>
      <c r="I20" s="2"/>
      <c r="J20" s="7">
        <f t="shared" si="1"/>
        <v>0</v>
      </c>
      <c r="K20" s="2"/>
      <c r="L20" s="6">
        <f t="shared" si="2"/>
        <v>0.29000000000002046</v>
      </c>
      <c r="M20" s="2"/>
      <c r="N20" s="7">
        <f t="shared" si="3"/>
        <v>6.054279749478506E-4</v>
      </c>
      <c r="O20" s="11"/>
      <c r="P20" s="6">
        <v>1437.87</v>
      </c>
      <c r="Q20" s="2"/>
      <c r="R20" s="7">
        <f t="shared" si="4"/>
        <v>0</v>
      </c>
      <c r="S20" s="2"/>
      <c r="T20" s="6">
        <v>1437</v>
      </c>
      <c r="U20" s="2"/>
      <c r="V20" s="7">
        <f t="shared" si="5"/>
        <v>0</v>
      </c>
      <c r="W20" s="2"/>
      <c r="X20" s="6">
        <f t="shared" si="6"/>
        <v>0.86999999999989086</v>
      </c>
      <c r="Y20" s="2"/>
      <c r="Z20" s="7">
        <f t="shared" si="7"/>
        <v>6.0542797494773199E-4</v>
      </c>
    </row>
    <row r="21" spans="1:26" s="28" customFormat="1" outlineLevel="1" collapsed="1" x14ac:dyDescent="0.25">
      <c r="A21" s="27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519.54999999999995</v>
      </c>
      <c r="Q21" s="1"/>
      <c r="R21" s="5">
        <f t="shared" si="4"/>
        <v>0</v>
      </c>
      <c r="S21" s="1"/>
      <c r="T21" s="1">
        <f>SUM(OSRRefT22_1x_0)</f>
        <v>0</v>
      </c>
      <c r="U21" s="1"/>
      <c r="V21" s="5">
        <f t="shared" si="5"/>
        <v>0</v>
      </c>
      <c r="W21" s="1"/>
      <c r="X21" s="1">
        <f t="shared" si="6"/>
        <v>519.54999999999995</v>
      </c>
      <c r="Y21" s="1"/>
      <c r="Z21" s="5">
        <f t="shared" si="7"/>
        <v>0</v>
      </c>
    </row>
    <row r="22" spans="1:26" s="24" customFormat="1" hidden="1" outlineLevel="2" x14ac:dyDescent="0.25">
      <c r="A22" s="29"/>
      <c r="B22" s="11" t="str">
        <f>CONCATENATE("          ", "6279", " - ", "GENERAL EXPENSE")</f>
        <v xml:space="preserve">          6279 - GENERAL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519.54999999999995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519.54999999999995</v>
      </c>
      <c r="Y22" s="2"/>
      <c r="Z22" s="7">
        <f t="shared" si="7"/>
        <v>0</v>
      </c>
    </row>
    <row r="23" spans="1:26" s="28" customFormat="1" outlineLevel="1" collapsed="1" x14ac:dyDescent="0.25">
      <c r="A23" s="27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75.73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75.73</v>
      </c>
      <c r="M23" s="1"/>
      <c r="N23" s="5">
        <f t="shared" si="3"/>
        <v>0</v>
      </c>
      <c r="O23" s="14"/>
      <c r="P23" s="1">
        <f>SUM(OSRRefP22_2x_0)</f>
        <v>154.33000000000001</v>
      </c>
      <c r="Q23" s="1"/>
      <c r="R23" s="5">
        <f t="shared" si="4"/>
        <v>0</v>
      </c>
      <c r="S23" s="1"/>
      <c r="T23" s="1">
        <f>SUM(OSRRefT22_2x_0)</f>
        <v>0</v>
      </c>
      <c r="U23" s="1"/>
      <c r="V23" s="5">
        <f t="shared" si="5"/>
        <v>0</v>
      </c>
      <c r="W23" s="1"/>
      <c r="X23" s="1">
        <f t="shared" si="6"/>
        <v>154.33000000000001</v>
      </c>
      <c r="Y23" s="1"/>
      <c r="Z23" s="5">
        <f t="shared" si="7"/>
        <v>0</v>
      </c>
    </row>
    <row r="24" spans="1:26" s="24" customFormat="1" hidden="1" outlineLevel="2" x14ac:dyDescent="0.25">
      <c r="A24" s="29"/>
      <c r="B24" s="11" t="str">
        <f>CONCATENATE("          ", "6373", " - ", "MAINTENANCE CONTRACTS")</f>
        <v xml:space="preserve">          6373 - MAINTENANCE CONTRACTS</v>
      </c>
      <c r="C24" s="11"/>
      <c r="D24" s="6">
        <v>75.73</v>
      </c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75.73</v>
      </c>
      <c r="M24" s="2"/>
      <c r="N24" s="7">
        <f t="shared" si="3"/>
        <v>0</v>
      </c>
      <c r="O24" s="11"/>
      <c r="P24" s="6">
        <v>154.33000000000001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154.33000000000001</v>
      </c>
      <c r="Y24" s="2"/>
      <c r="Z24" s="7">
        <f t="shared" si="7"/>
        <v>0</v>
      </c>
    </row>
    <row r="25" spans="1:26" s="28" customFormat="1" outlineLevel="1" collapsed="1" x14ac:dyDescent="0.25">
      <c r="A25" s="27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428.01</v>
      </c>
      <c r="Q25" s="1"/>
      <c r="R25" s="5">
        <f t="shared" si="4"/>
        <v>0</v>
      </c>
      <c r="S25" s="1"/>
      <c r="T25" s="1">
        <f>SUM(OSRRefT22_3x_0)</f>
        <v>0</v>
      </c>
      <c r="U25" s="1"/>
      <c r="V25" s="5">
        <f t="shared" si="5"/>
        <v>0</v>
      </c>
      <c r="W25" s="1"/>
      <c r="X25" s="1">
        <f t="shared" si="6"/>
        <v>428.01</v>
      </c>
      <c r="Y25" s="1"/>
      <c r="Z25" s="5">
        <f t="shared" si="7"/>
        <v>0</v>
      </c>
    </row>
    <row r="26" spans="1:26" s="24" customFormat="1" hidden="1" outlineLevel="2" x14ac:dyDescent="0.25">
      <c r="A26" s="29"/>
      <c r="B26" s="11" t="str">
        <f>CONCATENATE("          ", "6309", " - ", "TELEPHONE")</f>
        <v xml:space="preserve">          6309 - TELEPHONE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428.01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428.01</v>
      </c>
      <c r="Y26" s="2"/>
      <c r="Z26" s="7">
        <f t="shared" si="7"/>
        <v>0</v>
      </c>
    </row>
    <row r="27" spans="1:26" s="61" customFormat="1" x14ac:dyDescent="0.25">
      <c r="A27" s="36"/>
      <c r="B27" s="36"/>
      <c r="C27" s="36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6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3</v>
      </c>
      <c r="C30" s="26"/>
      <c r="D30" s="20">
        <f>+D16-D18+D28</f>
        <v>-555.02</v>
      </c>
      <c r="E30" s="13"/>
      <c r="F30" s="21">
        <f>IF(D$12=0,0,D30/D$12)</f>
        <v>0</v>
      </c>
      <c r="G30" s="13"/>
      <c r="H30" s="20">
        <f>+H16-H18+H28</f>
        <v>-479</v>
      </c>
      <c r="I30" s="13"/>
      <c r="J30" s="21">
        <f>IF(H$12=0,0,H30/H$12)</f>
        <v>0</v>
      </c>
      <c r="K30" s="16"/>
      <c r="L30" s="20">
        <f>+D30-H30</f>
        <v>-76.019999999999982</v>
      </c>
      <c r="M30" s="16"/>
      <c r="N30" s="21">
        <f>IF(H30=0,0,L30/H30)</f>
        <v>0.158705636743215</v>
      </c>
      <c r="O30" s="25"/>
      <c r="P30" s="20">
        <f>+P16-P18+P28</f>
        <v>-2539.7600000000002</v>
      </c>
      <c r="Q30" s="13"/>
      <c r="R30" s="21">
        <f>IF(P$12=0,0,P30/P$12)</f>
        <v>0</v>
      </c>
      <c r="S30" s="13"/>
      <c r="T30" s="20">
        <f>+T16-T18+T28</f>
        <v>-1437</v>
      </c>
      <c r="U30" s="13"/>
      <c r="V30" s="21">
        <f>IF(T$12=0,0,T30/T$12)</f>
        <v>0</v>
      </c>
      <c r="W30" s="16"/>
      <c r="X30" s="20">
        <f>+P30-T30</f>
        <v>-1102.7600000000002</v>
      </c>
      <c r="Y30" s="16"/>
      <c r="Z30" s="21">
        <f>IF(T30=0,0,X30/T30)</f>
        <v>0.76740431454418945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2"/>
      <c r="B32" s="10" t="s">
        <v>14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6" t="s">
        <v>4</v>
      </c>
      <c r="C34" s="26"/>
      <c r="D34" s="33">
        <f>+D30-D32</f>
        <v>-555.02</v>
      </c>
      <c r="E34" s="13"/>
      <c r="F34" s="34">
        <f>IF(D$12=0,0,D34/D$12)</f>
        <v>0</v>
      </c>
      <c r="G34" s="13"/>
      <c r="H34" s="33">
        <f>+H30-H32</f>
        <v>-479</v>
      </c>
      <c r="I34" s="13"/>
      <c r="J34" s="34">
        <f>IF(H$12=0,0,H34/H$12)</f>
        <v>0</v>
      </c>
      <c r="K34" s="16"/>
      <c r="L34" s="33">
        <f>D34-H34</f>
        <v>-76.019999999999982</v>
      </c>
      <c r="M34" s="16"/>
      <c r="N34" s="34">
        <f>IF(H34=0,0,L34/H34)</f>
        <v>0.158705636743215</v>
      </c>
      <c r="O34" s="25"/>
      <c r="P34" s="33">
        <f>+P30-P32</f>
        <v>-2539.7600000000002</v>
      </c>
      <c r="Q34" s="13"/>
      <c r="R34" s="34">
        <f>IF(P$12=0,0,P34/P$12)</f>
        <v>0</v>
      </c>
      <c r="S34" s="13"/>
      <c r="T34" s="33">
        <f>+T30-T32</f>
        <v>-1437</v>
      </c>
      <c r="U34" s="13"/>
      <c r="V34" s="34">
        <f>IF(T$12=0,0,T34/T$12)</f>
        <v>0</v>
      </c>
      <c r="W34" s="16"/>
      <c r="X34" s="33">
        <f>P34-T34</f>
        <v>-1102.7600000000002</v>
      </c>
      <c r="Y34" s="16"/>
      <c r="Z34" s="34">
        <f>IF(T34=0,0,X34/T34)</f>
        <v>0.76740431454418945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6" t="s">
        <v>5</v>
      </c>
      <c r="C37" s="26"/>
      <c r="D37" s="31">
        <f>SUM(D34:D36)</f>
        <v>-555.02</v>
      </c>
      <c r="E37" s="13"/>
      <c r="F37" s="32">
        <f>IF(D$12=0,0,D37/D$12)</f>
        <v>0</v>
      </c>
      <c r="G37" s="13"/>
      <c r="H37" s="31">
        <f>SUM(H34:H36)</f>
        <v>-479</v>
      </c>
      <c r="I37" s="13"/>
      <c r="J37" s="32">
        <f>IF(H$12=0,0,H37/H$12)</f>
        <v>0</v>
      </c>
      <c r="K37" s="16"/>
      <c r="L37" s="31">
        <f>+D37-H37</f>
        <v>-76.019999999999982</v>
      </c>
      <c r="M37" s="16"/>
      <c r="N37" s="32">
        <f>IF(H37=0,0,L37/H37)</f>
        <v>0.158705636743215</v>
      </c>
      <c r="O37" s="25"/>
      <c r="P37" s="31">
        <f>SUM(P34:P36)</f>
        <v>-2539.7600000000002</v>
      </c>
      <c r="Q37" s="13"/>
      <c r="R37" s="32">
        <f>IF(P$12=0,0,P37/P$12)</f>
        <v>0</v>
      </c>
      <c r="S37" s="13"/>
      <c r="T37" s="31">
        <f>SUM(T34:T36)</f>
        <v>-1437</v>
      </c>
      <c r="U37" s="13"/>
      <c r="V37" s="32">
        <f>IF(T$12=0,0,T37/T$12)</f>
        <v>0</v>
      </c>
      <c r="W37" s="16"/>
      <c r="X37" s="31">
        <f>+P37-T37</f>
        <v>-1102.7600000000002</v>
      </c>
      <c r="Y37" s="16"/>
      <c r="Z37" s="32">
        <f>IF(T37=0,0,X37/T37)</f>
        <v>0.76740431454418945</v>
      </c>
    </row>
    <row r="38" spans="1:26" ht="15.75" thickTop="1" x14ac:dyDescent="0.25">
      <c r="A38" s="9"/>
      <c r="C38" s="9"/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5">
        <v>44123.572457326387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53" t="s">
        <v>314</v>
      </c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A41" s="9"/>
      <c r="B41" s="62"/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  <row r="42" spans="1:26" x14ac:dyDescent="0.25">
      <c r="D42" s="17"/>
      <c r="E42" s="17"/>
      <c r="G42" s="17"/>
      <c r="H42" s="17"/>
      <c r="I42" s="17"/>
      <c r="J42" s="43"/>
      <c r="K42" s="17"/>
      <c r="L42" s="17"/>
      <c r="M42" s="17"/>
      <c r="P42" s="17"/>
      <c r="Q42" s="17"/>
      <c r="R42" s="43"/>
      <c r="S42" s="17"/>
      <c r="T42" s="17"/>
      <c r="U42" s="17"/>
      <c r="V42" s="43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","425", " - ", "Events Center")</f>
        <v>Department 425 - Events Center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1000.91</v>
      </c>
      <c r="E18" s="19"/>
      <c r="F18" s="35">
        <f t="shared" ref="F18:F24" si="0">IF(D$12=0,0,D18/D$12)</f>
        <v>0</v>
      </c>
      <c r="G18" s="19"/>
      <c r="H18" s="19">
        <f>SUM(OSRRefH22x_0)</f>
        <v>1001</v>
      </c>
      <c r="I18" s="19"/>
      <c r="J18" s="35">
        <f t="shared" ref="J18:J24" si="1">IF(H$12=0,0,H18/H$12)</f>
        <v>0</v>
      </c>
      <c r="K18" s="4"/>
      <c r="L18" s="19">
        <f t="shared" ref="L18:L24" si="2">+D18-H18</f>
        <v>-9.0000000000031832E-2</v>
      </c>
      <c r="M18" s="4"/>
      <c r="N18" s="35">
        <f t="shared" ref="N18:N24" si="3">IF(H18=0,0,L18/H18)</f>
        <v>-8.9910089910121704E-5</v>
      </c>
      <c r="O18" s="10"/>
      <c r="P18" s="19">
        <f>SUM(OSRRefP22x_0)</f>
        <v>6148.89</v>
      </c>
      <c r="Q18" s="19"/>
      <c r="R18" s="35">
        <f t="shared" ref="R18:R24" si="4">IF(P$12=0,0,P18/P$12)</f>
        <v>0</v>
      </c>
      <c r="S18" s="19"/>
      <c r="T18" s="19">
        <f>SUM(OSRRefT22x_0)</f>
        <v>3003</v>
      </c>
      <c r="U18" s="19"/>
      <c r="V18" s="35">
        <f t="shared" ref="V18:V24" si="5">IF(T$12=0,0,T18/T$12)</f>
        <v>0</v>
      </c>
      <c r="W18" s="4"/>
      <c r="X18" s="19">
        <f t="shared" ref="X18:X24" si="6">+P18-T18</f>
        <v>3145.8900000000003</v>
      </c>
      <c r="Y18" s="4"/>
      <c r="Z18" s="35">
        <f t="shared" ref="Z18:Z24" si="7">IF(T18=0,0,X18/T18)</f>
        <v>1.0475824175824178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1419.75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1419.75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170.79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170.79</v>
      </c>
      <c r="Y20" s="2"/>
      <c r="Z20" s="7">
        <f t="shared" si="7"/>
        <v>0</v>
      </c>
    </row>
    <row r="21" spans="1:26" s="24" customFormat="1" hidden="1" outlineLevel="2" x14ac:dyDescent="0.25">
      <c r="A21" s="29"/>
      <c r="B21" s="11" t="str">
        <f>CONCATENATE("          ", "6113", " - ", "GROUP INSURANCE")</f>
        <v xml:space="preserve">          6113 - GROUP INSURANCE</v>
      </c>
      <c r="C21" s="11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>
        <v>699.3</v>
      </c>
      <c r="Q21" s="2"/>
      <c r="R21" s="7">
        <f t="shared" si="4"/>
        <v>0</v>
      </c>
      <c r="S21" s="2"/>
      <c r="T21" s="6"/>
      <c r="U21" s="2"/>
      <c r="V21" s="7">
        <f t="shared" si="5"/>
        <v>0</v>
      </c>
      <c r="W21" s="2"/>
      <c r="X21" s="6">
        <f t="shared" si="6"/>
        <v>699.3</v>
      </c>
      <c r="Y21" s="2"/>
      <c r="Z21" s="7">
        <f t="shared" si="7"/>
        <v>0</v>
      </c>
    </row>
    <row r="22" spans="1:26" s="24" customFormat="1" hidden="1" outlineLevel="2" x14ac:dyDescent="0.25">
      <c r="A22" s="29"/>
      <c r="B22" s="11" t="str">
        <f>CONCATENATE("          ", "6115", " - ", "P.E.R.S.")</f>
        <v xml:space="preserve">          6115 - P.E.R.S.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355.22</v>
      </c>
      <c r="Q22" s="2"/>
      <c r="R22" s="7">
        <f t="shared" si="4"/>
        <v>0</v>
      </c>
      <c r="S22" s="2"/>
      <c r="T22" s="6"/>
      <c r="U22" s="2"/>
      <c r="V22" s="7">
        <f t="shared" si="5"/>
        <v>0</v>
      </c>
      <c r="W22" s="2"/>
      <c r="X22" s="6">
        <f t="shared" si="6"/>
        <v>355.22</v>
      </c>
      <c r="Y22" s="2"/>
      <c r="Z22" s="7">
        <f t="shared" si="7"/>
        <v>0</v>
      </c>
    </row>
    <row r="23" spans="1:26" s="24" customFormat="1" hidden="1" outlineLevel="2" x14ac:dyDescent="0.25">
      <c r="A23" s="29"/>
      <c r="B23" s="11" t="str">
        <f>CONCATENATE("          ", "6118", " - ", "VACATION")</f>
        <v xml:space="preserve">          6118 - VACATION</v>
      </c>
      <c r="C23" s="11"/>
      <c r="D23" s="6"/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>
        <v>88.46</v>
      </c>
      <c r="Q23" s="2"/>
      <c r="R23" s="7">
        <f t="shared" si="4"/>
        <v>0</v>
      </c>
      <c r="S23" s="2"/>
      <c r="T23" s="6"/>
      <c r="U23" s="2"/>
      <c r="V23" s="7">
        <f t="shared" si="5"/>
        <v>0</v>
      </c>
      <c r="W23" s="2"/>
      <c r="X23" s="6">
        <f t="shared" si="6"/>
        <v>88.46</v>
      </c>
      <c r="Y23" s="2"/>
      <c r="Z23" s="7">
        <f t="shared" si="7"/>
        <v>0</v>
      </c>
    </row>
    <row r="24" spans="1:26" s="24" customFormat="1" hidden="1" outlineLevel="2" x14ac:dyDescent="0.25">
      <c r="A24" s="29"/>
      <c r="B24" s="11" t="str">
        <f>CONCATENATE("          ", "6119", " - ", "SICK LEAVE")</f>
        <v xml:space="preserve">          6119 - SICK LEAVE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105.98</v>
      </c>
      <c r="Q24" s="2"/>
      <c r="R24" s="7">
        <f t="shared" si="4"/>
        <v>0</v>
      </c>
      <c r="S24" s="2"/>
      <c r="T24" s="6"/>
      <c r="U24" s="2"/>
      <c r="V24" s="7">
        <f t="shared" si="5"/>
        <v>0</v>
      </c>
      <c r="W24" s="2"/>
      <c r="X24" s="6">
        <f t="shared" si="6"/>
        <v>105.98</v>
      </c>
      <c r="Y24" s="2"/>
      <c r="Z24" s="7">
        <f t="shared" si="7"/>
        <v>0</v>
      </c>
    </row>
    <row r="25" spans="1:26" s="28" customFormat="1" outlineLevel="1" collapsed="1" x14ac:dyDescent="0.25">
      <c r="A25" s="27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2" si="8">IF(D$12=0,0,D25/D$12)</f>
        <v>0</v>
      </c>
      <c r="G25" s="1"/>
      <c r="H25" s="1">
        <f>SUM(OSRRefH22_1x_0)</f>
        <v>0</v>
      </c>
      <c r="I25" s="1"/>
      <c r="J25" s="5">
        <f t="shared" ref="J25:J32" si="9">IF(H$12=0,0,H25/H$12)</f>
        <v>0</v>
      </c>
      <c r="K25" s="1"/>
      <c r="L25" s="1">
        <f t="shared" ref="L25:L32" si="10">+D25-H25</f>
        <v>0</v>
      </c>
      <c r="M25" s="1"/>
      <c r="N25" s="5">
        <f t="shared" ref="N25:N32" si="11">IF(H25=0,0,L25/H25)</f>
        <v>0</v>
      </c>
      <c r="O25" s="14"/>
      <c r="P25" s="1">
        <f>SUM(OSRRefP22_1x_0)</f>
        <v>1378.61</v>
      </c>
      <c r="Q25" s="1"/>
      <c r="R25" s="5">
        <f t="shared" ref="R25:R32" si="12">IF(P$12=0,0,P25/P$12)</f>
        <v>0</v>
      </c>
      <c r="S25" s="1"/>
      <c r="T25" s="1">
        <f>SUM(OSRRefT22_1x_0)</f>
        <v>0</v>
      </c>
      <c r="U25" s="1"/>
      <c r="V25" s="5">
        <f t="shared" ref="V25:V32" si="13">IF(T$12=0,0,T25/T$12)</f>
        <v>0</v>
      </c>
      <c r="W25" s="1"/>
      <c r="X25" s="1">
        <f t="shared" ref="X25:X32" si="14">+P25-T25</f>
        <v>1378.61</v>
      </c>
      <c r="Y25" s="1"/>
      <c r="Z25" s="5">
        <f t="shared" ref="Z25:Z32" si="15">IF(T25=0,0,X25/T25)</f>
        <v>0</v>
      </c>
    </row>
    <row r="26" spans="1:26" s="24" customFormat="1" hidden="1" outlineLevel="2" x14ac:dyDescent="0.25">
      <c r="A26" s="29"/>
      <c r="B26" s="11" t="str">
        <f>CONCATENATE("          ", "6002", " - ", "STAFF SALARIES")</f>
        <v xml:space="preserve">          6002 - STAFF SALARIES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>
        <v>1378.61</v>
      </c>
      <c r="Q26" s="2"/>
      <c r="R26" s="7">
        <f t="shared" si="12"/>
        <v>0</v>
      </c>
      <c r="S26" s="2"/>
      <c r="T26" s="6"/>
      <c r="U26" s="2"/>
      <c r="V26" s="7">
        <f t="shared" si="13"/>
        <v>0</v>
      </c>
      <c r="W26" s="2"/>
      <c r="X26" s="6">
        <f t="shared" si="14"/>
        <v>1378.61</v>
      </c>
      <c r="Y26" s="2"/>
      <c r="Z26" s="7">
        <f t="shared" si="15"/>
        <v>0</v>
      </c>
    </row>
    <row r="27" spans="1:26" s="28" customFormat="1" outlineLevel="1" collapsed="1" x14ac:dyDescent="0.25">
      <c r="A27" s="27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1000.91</v>
      </c>
      <c r="E27" s="1"/>
      <c r="F27" s="5">
        <f t="shared" si="8"/>
        <v>0</v>
      </c>
      <c r="G27" s="1"/>
      <c r="H27" s="1">
        <f>SUM(OSRRefH22_2x_0)</f>
        <v>1001</v>
      </c>
      <c r="I27" s="1"/>
      <c r="J27" s="5">
        <f t="shared" si="9"/>
        <v>0</v>
      </c>
      <c r="K27" s="1"/>
      <c r="L27" s="1">
        <f t="shared" si="10"/>
        <v>-9.0000000000031832E-2</v>
      </c>
      <c r="M27" s="1"/>
      <c r="N27" s="5">
        <f t="shared" si="11"/>
        <v>-8.9910089910121704E-5</v>
      </c>
      <c r="O27" s="14"/>
      <c r="P27" s="1">
        <f>SUM(OSRRefP22_2x_0)</f>
        <v>3002.73</v>
      </c>
      <c r="Q27" s="1"/>
      <c r="R27" s="5">
        <f t="shared" si="12"/>
        <v>0</v>
      </c>
      <c r="S27" s="1"/>
      <c r="T27" s="1">
        <f>SUM(OSRRefT22_2x_0)</f>
        <v>3003</v>
      </c>
      <c r="U27" s="1"/>
      <c r="V27" s="5">
        <f t="shared" si="13"/>
        <v>0</v>
      </c>
      <c r="W27" s="1"/>
      <c r="X27" s="1">
        <f t="shared" si="14"/>
        <v>-0.26999999999998181</v>
      </c>
      <c r="Y27" s="1"/>
      <c r="Z27" s="5">
        <f t="shared" si="15"/>
        <v>-8.9910089910083852E-5</v>
      </c>
    </row>
    <row r="28" spans="1:26" s="24" customFormat="1" hidden="1" outlineLevel="2" x14ac:dyDescent="0.25">
      <c r="A28" s="29"/>
      <c r="B28" s="11" t="str">
        <f>CONCATENATE("          ", "6322", " - ", "EQUIPMENT DEPRECIATION EXPENSE")</f>
        <v xml:space="preserve">          6322 - EQUIPMENT DEPRECIATION EXPENSE</v>
      </c>
      <c r="C28" s="11"/>
      <c r="D28" s="6">
        <v>1000.91</v>
      </c>
      <c r="E28" s="2"/>
      <c r="F28" s="7">
        <f t="shared" si="8"/>
        <v>0</v>
      </c>
      <c r="G28" s="2"/>
      <c r="H28" s="6">
        <v>1001</v>
      </c>
      <c r="I28" s="2"/>
      <c r="J28" s="7">
        <f t="shared" si="9"/>
        <v>0</v>
      </c>
      <c r="K28" s="2"/>
      <c r="L28" s="6">
        <f t="shared" si="10"/>
        <v>-9.0000000000031832E-2</v>
      </c>
      <c r="M28" s="2"/>
      <c r="N28" s="7">
        <f t="shared" si="11"/>
        <v>-8.9910089910121704E-5</v>
      </c>
      <c r="O28" s="11"/>
      <c r="P28" s="6">
        <v>3002.73</v>
      </c>
      <c r="Q28" s="2"/>
      <c r="R28" s="7">
        <f t="shared" si="12"/>
        <v>0</v>
      </c>
      <c r="S28" s="2"/>
      <c r="T28" s="6">
        <v>3003</v>
      </c>
      <c r="U28" s="2"/>
      <c r="V28" s="7">
        <f t="shared" si="13"/>
        <v>0</v>
      </c>
      <c r="W28" s="2"/>
      <c r="X28" s="6">
        <f t="shared" si="14"/>
        <v>-0.26999999999998181</v>
      </c>
      <c r="Y28" s="2"/>
      <c r="Z28" s="7">
        <f t="shared" si="15"/>
        <v>-8.9910089910083852E-5</v>
      </c>
    </row>
    <row r="29" spans="1:26" s="28" customFormat="1" outlineLevel="1" collapsed="1" x14ac:dyDescent="0.25">
      <c r="A29" s="27"/>
      <c r="B29" s="14" t="str">
        <f>CONCATENATE("     ","Repair and Maintenance                            ")</f>
        <v xml:space="preserve">     Repair and Maintenance                            </v>
      </c>
      <c r="C29" s="14"/>
      <c r="D29" s="1">
        <f>SUM(OSRRefD22_3x_0)</f>
        <v>0</v>
      </c>
      <c r="E29" s="1"/>
      <c r="F29" s="5">
        <f t="shared" si="8"/>
        <v>0</v>
      </c>
      <c r="G29" s="1"/>
      <c r="H29" s="1">
        <f>SUM(OSRRefH22_3x_0)</f>
        <v>0</v>
      </c>
      <c r="I29" s="1"/>
      <c r="J29" s="5">
        <f t="shared" si="9"/>
        <v>0</v>
      </c>
      <c r="K29" s="1"/>
      <c r="L29" s="1">
        <f t="shared" si="10"/>
        <v>0</v>
      </c>
      <c r="M29" s="1"/>
      <c r="N29" s="5">
        <f t="shared" si="11"/>
        <v>0</v>
      </c>
      <c r="O29" s="14"/>
      <c r="P29" s="1">
        <f>SUM(OSRRefP22_3x_0)</f>
        <v>235.8</v>
      </c>
      <c r="Q29" s="1"/>
      <c r="R29" s="5">
        <f t="shared" si="12"/>
        <v>0</v>
      </c>
      <c r="S29" s="1"/>
      <c r="T29" s="1">
        <f>SUM(OSRRefT22_3x_0)</f>
        <v>0</v>
      </c>
      <c r="U29" s="1"/>
      <c r="V29" s="5">
        <f t="shared" si="13"/>
        <v>0</v>
      </c>
      <c r="W29" s="1"/>
      <c r="X29" s="1">
        <f t="shared" si="14"/>
        <v>235.8</v>
      </c>
      <c r="Y29" s="1"/>
      <c r="Z29" s="5">
        <f t="shared" si="15"/>
        <v>0</v>
      </c>
    </row>
    <row r="30" spans="1:26" s="24" customFormat="1" hidden="1" outlineLevel="2" x14ac:dyDescent="0.25">
      <c r="A30" s="29"/>
      <c r="B30" s="11" t="str">
        <f>CONCATENATE("          ", "6373", " - ", "MAINTENANCE CONTRACTS")</f>
        <v xml:space="preserve">          6373 - MAINTENANCE CONTRACTS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235.8</v>
      </c>
      <c r="Q30" s="2"/>
      <c r="R30" s="7">
        <f t="shared" si="12"/>
        <v>0</v>
      </c>
      <c r="S30" s="2"/>
      <c r="T30" s="6"/>
      <c r="U30" s="2"/>
      <c r="V30" s="7">
        <f t="shared" si="13"/>
        <v>0</v>
      </c>
      <c r="W30" s="2"/>
      <c r="X30" s="6">
        <f t="shared" si="14"/>
        <v>235.8</v>
      </c>
      <c r="Y30" s="2"/>
      <c r="Z30" s="7">
        <f t="shared" si="15"/>
        <v>0</v>
      </c>
    </row>
    <row r="31" spans="1:26" s="28" customFormat="1" outlineLevel="1" collapsed="1" x14ac:dyDescent="0.25">
      <c r="A31" s="27"/>
      <c r="B31" s="14" t="str">
        <f>CONCATENATE("     ","Telephone/Data Lines                              ")</f>
        <v xml:space="preserve">     Telephone/Data Lines                              </v>
      </c>
      <c r="C31" s="14"/>
      <c r="D31" s="1">
        <f>SUM(OSRRefD22_4x_0)</f>
        <v>0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0</v>
      </c>
      <c r="M31" s="1"/>
      <c r="N31" s="5">
        <f t="shared" si="11"/>
        <v>0</v>
      </c>
      <c r="O31" s="14"/>
      <c r="P31" s="1">
        <f>SUM(OSRRefP22_4x_0)</f>
        <v>112</v>
      </c>
      <c r="Q31" s="1"/>
      <c r="R31" s="5">
        <f t="shared" si="12"/>
        <v>0</v>
      </c>
      <c r="S31" s="1"/>
      <c r="T31" s="1">
        <f>SUM(OSRRefT22_4x_0)</f>
        <v>0</v>
      </c>
      <c r="U31" s="1"/>
      <c r="V31" s="5">
        <f t="shared" si="13"/>
        <v>0</v>
      </c>
      <c r="W31" s="1"/>
      <c r="X31" s="1">
        <f t="shared" si="14"/>
        <v>112</v>
      </c>
      <c r="Y31" s="1"/>
      <c r="Z31" s="5">
        <f t="shared" si="15"/>
        <v>0</v>
      </c>
    </row>
    <row r="32" spans="1:26" s="24" customFormat="1" hidden="1" outlineLevel="2" x14ac:dyDescent="0.25">
      <c r="A32" s="29"/>
      <c r="B32" s="11" t="str">
        <f>CONCATENATE("          ", "6309", " - ", "TELEPHONE")</f>
        <v xml:space="preserve">          6309 - TELEPHONE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>
        <v>112</v>
      </c>
      <c r="Q32" s="2"/>
      <c r="R32" s="7">
        <f t="shared" si="12"/>
        <v>0</v>
      </c>
      <c r="S32" s="2"/>
      <c r="T32" s="6"/>
      <c r="U32" s="2"/>
      <c r="V32" s="7">
        <f t="shared" si="13"/>
        <v>0</v>
      </c>
      <c r="W32" s="2"/>
      <c r="X32" s="6">
        <f t="shared" si="14"/>
        <v>112</v>
      </c>
      <c r="Y32" s="2"/>
      <c r="Z32" s="7">
        <f t="shared" si="15"/>
        <v>0</v>
      </c>
    </row>
    <row r="33" spans="1:26" s="61" customFormat="1" x14ac:dyDescent="0.25">
      <c r="A33" s="36"/>
      <c r="B33" s="36"/>
      <c r="C33" s="36"/>
      <c r="D33" s="1"/>
      <c r="E33" s="1"/>
      <c r="F33" s="5"/>
      <c r="G33" s="1"/>
      <c r="H33" s="1"/>
      <c r="I33" s="1"/>
      <c r="J33" s="5"/>
      <c r="K33" s="1"/>
      <c r="L33" s="1"/>
      <c r="M33" s="1"/>
      <c r="N33" s="5"/>
      <c r="O33" s="36"/>
      <c r="P33" s="1"/>
      <c r="Q33" s="1"/>
      <c r="R33" s="5"/>
      <c r="S33" s="1"/>
      <c r="T33" s="1"/>
      <c r="U33" s="1"/>
      <c r="V33" s="5"/>
      <c r="W33" s="1"/>
      <c r="X33" s="1"/>
      <c r="Y33" s="1"/>
      <c r="Z33" s="5"/>
    </row>
    <row r="34" spans="1:26" s="23" customFormat="1" x14ac:dyDescent="0.25">
      <c r="A34" s="10"/>
      <c r="B34" s="25" t="s">
        <v>0</v>
      </c>
      <c r="C34" s="10"/>
      <c r="D34" s="4">
        <f>SUM(0)</f>
        <v>0</v>
      </c>
      <c r="E34" s="4"/>
      <c r="F34" s="12">
        <f>IF(D$12=0,0,D34/D$12)</f>
        <v>0</v>
      </c>
      <c r="G34" s="4"/>
      <c r="H34" s="4">
        <f>SUM(0)</f>
        <v>0</v>
      </c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>
        <f>SUM(0)</f>
        <v>0</v>
      </c>
      <c r="Q34" s="4"/>
      <c r="R34" s="12">
        <f>IF(P$12=0,0,P34/P$12)</f>
        <v>0</v>
      </c>
      <c r="S34" s="4"/>
      <c r="T34" s="4">
        <f>SUM(0)</f>
        <v>0</v>
      </c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6" t="s">
        <v>3</v>
      </c>
      <c r="C36" s="26"/>
      <c r="D36" s="20">
        <f>+D16-D18+D34</f>
        <v>-1000.91</v>
      </c>
      <c r="E36" s="13"/>
      <c r="F36" s="21">
        <f>IF(D$12=0,0,D36/D$12)</f>
        <v>0</v>
      </c>
      <c r="G36" s="13"/>
      <c r="H36" s="20">
        <f>+H16-H18+H34</f>
        <v>-1001</v>
      </c>
      <c r="I36" s="13"/>
      <c r="J36" s="21">
        <f>IF(H$12=0,0,H36/H$12)</f>
        <v>0</v>
      </c>
      <c r="K36" s="16"/>
      <c r="L36" s="20">
        <f>+D36-H36</f>
        <v>9.0000000000031832E-2</v>
      </c>
      <c r="M36" s="16"/>
      <c r="N36" s="21">
        <f>IF(H36=0,0,L36/H36)</f>
        <v>-8.9910089910121704E-5</v>
      </c>
      <c r="O36" s="25"/>
      <c r="P36" s="20">
        <f>+P16-P18+P34</f>
        <v>-6148.89</v>
      </c>
      <c r="Q36" s="13"/>
      <c r="R36" s="21">
        <f>IF(P$12=0,0,P36/P$12)</f>
        <v>0</v>
      </c>
      <c r="S36" s="13"/>
      <c r="T36" s="20">
        <f>+T16-T18+T34</f>
        <v>-3003</v>
      </c>
      <c r="U36" s="13"/>
      <c r="V36" s="21">
        <f>IF(T$12=0,0,T36/T$12)</f>
        <v>0</v>
      </c>
      <c r="W36" s="16"/>
      <c r="X36" s="20">
        <f>+P36-T36</f>
        <v>-3145.8900000000003</v>
      </c>
      <c r="Y36" s="16"/>
      <c r="Z36" s="21">
        <f>IF(T36=0,0,X36/T36)</f>
        <v>1.0475824175824178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25">
      <c r="A38" s="52"/>
      <c r="B38" s="10" t="s">
        <v>14</v>
      </c>
      <c r="C38" s="10"/>
      <c r="D38" s="4"/>
      <c r="E38" s="4"/>
      <c r="F38" s="12">
        <f>IF(D$12=0,0,D38/D$12)</f>
        <v>0</v>
      </c>
      <c r="G38" s="4"/>
      <c r="H38" s="4"/>
      <c r="I38" s="4"/>
      <c r="J38" s="12">
        <f>IF(H$12=0,0,H38/H$12)</f>
        <v>0</v>
      </c>
      <c r="K38" s="4"/>
      <c r="L38" s="4">
        <f>+D38-H38</f>
        <v>0</v>
      </c>
      <c r="M38" s="4"/>
      <c r="N38" s="12">
        <f>IF(H38=0,0,L38/H38)</f>
        <v>0</v>
      </c>
      <c r="O38" s="10"/>
      <c r="P38" s="4"/>
      <c r="Q38" s="4"/>
      <c r="R38" s="12">
        <f>IF(P$12=0,0,P38/P$12)</f>
        <v>0</v>
      </c>
      <c r="S38" s="4"/>
      <c r="T38" s="4"/>
      <c r="U38" s="4"/>
      <c r="V38" s="12">
        <f>IF(T$12=0,0,T38/T$12)</f>
        <v>0</v>
      </c>
      <c r="W38" s="4"/>
      <c r="X38" s="4">
        <f>+P38-T38</f>
        <v>0</v>
      </c>
      <c r="Y38" s="4"/>
      <c r="Z38" s="12">
        <f>IF(T38=0,0,X38/T38)</f>
        <v>0</v>
      </c>
    </row>
    <row r="39" spans="1:26" x14ac:dyDescent="0.25">
      <c r="A39" s="9"/>
      <c r="B39" s="10"/>
      <c r="C39" s="10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O39" s="10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.75" thickBot="1" x14ac:dyDescent="0.3">
      <c r="A40" s="10"/>
      <c r="B40" s="26" t="s">
        <v>4</v>
      </c>
      <c r="C40" s="26"/>
      <c r="D40" s="33">
        <f>+D36-D38</f>
        <v>-1000.91</v>
      </c>
      <c r="E40" s="13"/>
      <c r="F40" s="34">
        <f>IF(D$12=0,0,D40/D$12)</f>
        <v>0</v>
      </c>
      <c r="G40" s="13"/>
      <c r="H40" s="33">
        <f>+H36-H38</f>
        <v>-1001</v>
      </c>
      <c r="I40" s="13"/>
      <c r="J40" s="34">
        <f>IF(H$12=0,0,H40/H$12)</f>
        <v>0</v>
      </c>
      <c r="K40" s="16"/>
      <c r="L40" s="33">
        <f>D40-H40</f>
        <v>9.0000000000031832E-2</v>
      </c>
      <c r="M40" s="16"/>
      <c r="N40" s="34">
        <f>IF(H40=0,0,L40/H40)</f>
        <v>-8.9910089910121704E-5</v>
      </c>
      <c r="O40" s="25"/>
      <c r="P40" s="33">
        <f>+P36-P38</f>
        <v>-6148.89</v>
      </c>
      <c r="Q40" s="13"/>
      <c r="R40" s="34">
        <f>IF(P$12=0,0,P40/P$12)</f>
        <v>0</v>
      </c>
      <c r="S40" s="13"/>
      <c r="T40" s="33">
        <f>+T36-T38</f>
        <v>-3003</v>
      </c>
      <c r="U40" s="13"/>
      <c r="V40" s="34">
        <f>IF(T$12=0,0,T40/T$12)</f>
        <v>0</v>
      </c>
      <c r="W40" s="16"/>
      <c r="X40" s="33">
        <f>P40-T40</f>
        <v>-3145.8900000000003</v>
      </c>
      <c r="Y40" s="16"/>
      <c r="Z40" s="34">
        <f>IF(T40=0,0,X40/T40)</f>
        <v>1.0475824175824178</v>
      </c>
    </row>
    <row r="41" spans="1:26" ht="15.75" thickTop="1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x14ac:dyDescent="0.25">
      <c r="A42" s="9"/>
      <c r="B42" s="9"/>
      <c r="C42" s="9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ht="15.75" thickBot="1" x14ac:dyDescent="0.3">
      <c r="A43" s="10"/>
      <c r="B43" s="26" t="s">
        <v>5</v>
      </c>
      <c r="C43" s="26"/>
      <c r="D43" s="31">
        <f>SUM(D40:D42)</f>
        <v>-1000.91</v>
      </c>
      <c r="E43" s="13"/>
      <c r="F43" s="32">
        <f>IF(D$12=0,0,D43/D$12)</f>
        <v>0</v>
      </c>
      <c r="G43" s="13"/>
      <c r="H43" s="31">
        <f>SUM(H40:H42)</f>
        <v>-1001</v>
      </c>
      <c r="I43" s="13"/>
      <c r="J43" s="32">
        <f>IF(H$12=0,0,H43/H$12)</f>
        <v>0</v>
      </c>
      <c r="K43" s="16"/>
      <c r="L43" s="31">
        <f>+D43-H43</f>
        <v>9.0000000000031832E-2</v>
      </c>
      <c r="M43" s="16"/>
      <c r="N43" s="32">
        <f>IF(H43=0,0,L43/H43)</f>
        <v>-8.9910089910121704E-5</v>
      </c>
      <c r="O43" s="25"/>
      <c r="P43" s="31">
        <f>SUM(P40:P42)</f>
        <v>-6148.89</v>
      </c>
      <c r="Q43" s="13"/>
      <c r="R43" s="32">
        <f>IF(P$12=0,0,P43/P$12)</f>
        <v>0</v>
      </c>
      <c r="S43" s="13"/>
      <c r="T43" s="31">
        <f>SUM(T40:T42)</f>
        <v>-3003</v>
      </c>
      <c r="U43" s="13"/>
      <c r="V43" s="32">
        <f>IF(T$12=0,0,T43/T$12)</f>
        <v>0</v>
      </c>
      <c r="W43" s="16"/>
      <c r="X43" s="31">
        <f>+P43-T43</f>
        <v>-3145.8900000000003</v>
      </c>
      <c r="Y43" s="16"/>
      <c r="Z43" s="32">
        <f>IF(T43=0,0,X43/T43)</f>
        <v>1.0475824175824178</v>
      </c>
    </row>
    <row r="44" spans="1:26" ht="15.75" thickTop="1" x14ac:dyDescent="0.25">
      <c r="A44" s="9"/>
      <c r="C44" s="9"/>
      <c r="D44" s="17"/>
      <c r="E44" s="17"/>
      <c r="G44" s="17"/>
      <c r="H44" s="17"/>
      <c r="I44" s="17"/>
      <c r="J44" s="43"/>
      <c r="K44" s="17"/>
      <c r="L44" s="17"/>
      <c r="M44" s="17"/>
      <c r="P44" s="17"/>
      <c r="Q44" s="17"/>
      <c r="R44" s="43"/>
      <c r="S44" s="17"/>
      <c r="T44" s="17"/>
      <c r="U44" s="17"/>
      <c r="V44" s="43"/>
      <c r="W44" s="17"/>
      <c r="X44" s="17"/>
    </row>
    <row r="45" spans="1:26" x14ac:dyDescent="0.25">
      <c r="A45" s="9"/>
      <c r="B45" s="55">
        <v>44123.572473645836</v>
      </c>
      <c r="D45" s="17"/>
      <c r="E45" s="17"/>
      <c r="G45" s="17"/>
      <c r="H45" s="17"/>
      <c r="I45" s="17"/>
      <c r="J45" s="43"/>
      <c r="K45" s="17"/>
      <c r="L45" s="17"/>
      <c r="M45" s="17"/>
      <c r="P45" s="17"/>
      <c r="Q45" s="17"/>
      <c r="R45" s="43"/>
      <c r="S45" s="17"/>
      <c r="T45" s="17"/>
      <c r="U45" s="17"/>
      <c r="V45" s="43"/>
      <c r="W45" s="17"/>
      <c r="X45" s="17"/>
    </row>
    <row r="46" spans="1:26" x14ac:dyDescent="0.25">
      <c r="A46" s="9"/>
      <c r="B46" s="53" t="s">
        <v>314</v>
      </c>
      <c r="D46" s="17"/>
      <c r="E46" s="17"/>
      <c r="G46" s="17"/>
      <c r="H46" s="17"/>
      <c r="I46" s="17"/>
      <c r="J46" s="43"/>
      <c r="K46" s="17"/>
      <c r="L46" s="17"/>
      <c r="M46" s="17"/>
      <c r="P46" s="17"/>
      <c r="Q46" s="17"/>
      <c r="R46" s="43"/>
      <c r="S46" s="17"/>
      <c r="T46" s="17"/>
      <c r="U46" s="17"/>
      <c r="V46" s="43"/>
      <c r="W46" s="17"/>
      <c r="X46" s="17"/>
    </row>
    <row r="47" spans="1:26" x14ac:dyDescent="0.25">
      <c r="A47" s="9"/>
      <c r="B47" s="62"/>
      <c r="D47" s="17"/>
      <c r="E47" s="17"/>
      <c r="G47" s="17"/>
      <c r="H47" s="17"/>
      <c r="I47" s="17"/>
      <c r="J47" s="43"/>
      <c r="K47" s="17"/>
      <c r="L47" s="17"/>
      <c r="M47" s="17"/>
      <c r="P47" s="17"/>
      <c r="Q47" s="17"/>
      <c r="R47" s="43"/>
      <c r="S47" s="17"/>
      <c r="T47" s="17"/>
      <c r="U47" s="17"/>
      <c r="V47" s="43"/>
      <c r="W47" s="17"/>
      <c r="X47" s="17"/>
    </row>
    <row r="48" spans="1:26" x14ac:dyDescent="0.25">
      <c r="D48" s="17"/>
      <c r="E48" s="17"/>
      <c r="G48" s="17"/>
      <c r="H48" s="17"/>
      <c r="I48" s="17"/>
      <c r="J48" s="43"/>
      <c r="K48" s="17"/>
      <c r="L48" s="17"/>
      <c r="M48" s="17"/>
      <c r="P48" s="17"/>
      <c r="Q48" s="17"/>
      <c r="R48" s="43"/>
      <c r="S48" s="17"/>
      <c r="T48" s="17"/>
      <c r="U48" s="17"/>
      <c r="V48" s="43"/>
      <c r="W48" s="17"/>
      <c r="X48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","455", " - ", "Vending")</f>
        <v>Department 455 - Vending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SUM(0)</f>
        <v>0</v>
      </c>
      <c r="E18" s="19"/>
      <c r="F18" s="35">
        <f>IF(D$12=0,0,D18/D$12)</f>
        <v>0</v>
      </c>
      <c r="G18" s="19"/>
      <c r="H18" s="19">
        <f>SUM(0)</f>
        <v>0</v>
      </c>
      <c r="I18" s="19"/>
      <c r="J18" s="35">
        <f>IF(H$12=0,0,H18/H$12)</f>
        <v>0</v>
      </c>
      <c r="K18" s="4"/>
      <c r="L18" s="19">
        <f>+D18-H18</f>
        <v>0</v>
      </c>
      <c r="M18" s="4"/>
      <c r="N18" s="35">
        <f>IF(H18=0,0,L18/H18)</f>
        <v>0</v>
      </c>
      <c r="O18" s="10"/>
      <c r="P18" s="19">
        <f>SUM(0)</f>
        <v>0</v>
      </c>
      <c r="Q18" s="19"/>
      <c r="R18" s="35">
        <f>IF(P$12=0,0,P18/P$12)</f>
        <v>0</v>
      </c>
      <c r="S18" s="19"/>
      <c r="T18" s="19">
        <f>SUM(0)</f>
        <v>0</v>
      </c>
      <c r="U18" s="19"/>
      <c r="V18" s="35">
        <f>IF(T$12=0,0,T18/T$12)</f>
        <v>0</v>
      </c>
      <c r="W18" s="4"/>
      <c r="X18" s="19">
        <f>+P18-T18</f>
        <v>0</v>
      </c>
      <c r="Y18" s="4"/>
      <c r="Z18" s="35">
        <f>IF(T18=0,0,X18/T18)</f>
        <v>0</v>
      </c>
    </row>
    <row r="19" spans="1:26" s="61" customFormat="1" x14ac:dyDescent="0.25">
      <c r="A19" s="36"/>
      <c r="B19" s="36"/>
      <c r="C19" s="36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25">
      <c r="A20" s="10"/>
      <c r="B20" s="25" t="s">
        <v>0</v>
      </c>
      <c r="C20" s="10"/>
      <c r="D20" s="4">
        <f>SUM(OSRRefD25x_0)</f>
        <v>624.67999999999995</v>
      </c>
      <c r="E20" s="4"/>
      <c r="F20" s="12">
        <f t="shared" ref="F20:F22" si="0">IF(D$12=0,0,D20/D$12)</f>
        <v>0</v>
      </c>
      <c r="G20" s="4"/>
      <c r="H20" s="4">
        <f>SUM(OSRRefH25x_0)</f>
        <v>0</v>
      </c>
      <c r="I20" s="4"/>
      <c r="J20" s="12">
        <f t="shared" ref="J20:J22" si="1">IF(H$12=0,0,H20/H$12)</f>
        <v>0</v>
      </c>
      <c r="K20" s="4"/>
      <c r="L20" s="4">
        <f t="shared" ref="L20:L22" si="2">+D20-H20</f>
        <v>624.67999999999995</v>
      </c>
      <c r="M20" s="4"/>
      <c r="N20" s="12">
        <f t="shared" ref="N20:N22" si="3">IF(H20=0,0,L20/H20)</f>
        <v>0</v>
      </c>
      <c r="O20" s="10"/>
      <c r="P20" s="4">
        <f>SUM(OSRRefP25x_0)</f>
        <v>2188.81</v>
      </c>
      <c r="Q20" s="4"/>
      <c r="R20" s="12">
        <f t="shared" ref="R20:R22" si="4">IF(P$12=0,0,P20/P$12)</f>
        <v>0</v>
      </c>
      <c r="S20" s="4"/>
      <c r="T20" s="4">
        <f>SUM(OSRRefT25x_0)</f>
        <v>0</v>
      </c>
      <c r="U20" s="4"/>
      <c r="V20" s="12">
        <f t="shared" ref="V20:V22" si="5">IF(T$12=0,0,T20/T$12)</f>
        <v>0</v>
      </c>
      <c r="W20" s="4"/>
      <c r="X20" s="4">
        <f t="shared" ref="X20:X22" si="6">+P20-T20</f>
        <v>2188.81</v>
      </c>
      <c r="Y20" s="4"/>
      <c r="Z20" s="12">
        <f t="shared" ref="Z20:Z22" si="7">IF(T20=0,0,X20/T20)</f>
        <v>0</v>
      </c>
    </row>
    <row r="21" spans="1:26" s="24" customFormat="1" hidden="1" outlineLevel="1" x14ac:dyDescent="0.25">
      <c r="A21" s="51"/>
      <c r="B21" s="11" t="str">
        <f>CONCATENATE("          ", "9160", " - ", "MISC. INCOME")</f>
        <v xml:space="preserve">          9160 - MISC. INCOME</v>
      </c>
      <c r="C21" s="11"/>
      <c r="D21" s="2">
        <f>0</f>
        <v>0</v>
      </c>
      <c r="E21" s="2"/>
      <c r="F21" s="22">
        <f t="shared" si="0"/>
        <v>0</v>
      </c>
      <c r="G21" s="2"/>
      <c r="H21" s="2"/>
      <c r="I21" s="2"/>
      <c r="J21" s="22">
        <f t="shared" si="1"/>
        <v>0</v>
      </c>
      <c r="K21" s="2"/>
      <c r="L21" s="2">
        <f t="shared" si="2"/>
        <v>0</v>
      </c>
      <c r="M21" s="2"/>
      <c r="N21" s="22">
        <f t="shared" si="3"/>
        <v>0</v>
      </c>
      <c r="O21" s="11"/>
      <c r="P21" s="2">
        <f>--1363.63</f>
        <v>1363.63</v>
      </c>
      <c r="Q21" s="2"/>
      <c r="R21" s="22">
        <f t="shared" si="4"/>
        <v>0</v>
      </c>
      <c r="S21" s="2"/>
      <c r="T21" s="2"/>
      <c r="U21" s="2"/>
      <c r="V21" s="22">
        <f t="shared" si="5"/>
        <v>0</v>
      </c>
      <c r="W21" s="2"/>
      <c r="X21" s="2">
        <f t="shared" si="6"/>
        <v>1363.63</v>
      </c>
      <c r="Y21" s="2"/>
      <c r="Z21" s="22">
        <f t="shared" si="7"/>
        <v>0</v>
      </c>
    </row>
    <row r="22" spans="1:26" s="24" customFormat="1" hidden="1" outlineLevel="1" x14ac:dyDescent="0.25">
      <c r="A22" s="51"/>
      <c r="B22" s="11" t="str">
        <f>CONCATENATE("          ", "9165", " - ", "OTHER INCOME")</f>
        <v xml:space="preserve">          9165 - OTHER INCOME</v>
      </c>
      <c r="C22" s="11"/>
      <c r="D22" s="2">
        <f>--624.68</f>
        <v>624.67999999999995</v>
      </c>
      <c r="E22" s="2"/>
      <c r="F22" s="22">
        <f t="shared" si="0"/>
        <v>0</v>
      </c>
      <c r="G22" s="2"/>
      <c r="H22" s="2"/>
      <c r="I22" s="2"/>
      <c r="J22" s="22">
        <f t="shared" si="1"/>
        <v>0</v>
      </c>
      <c r="K22" s="2"/>
      <c r="L22" s="2">
        <f t="shared" si="2"/>
        <v>624.67999999999995</v>
      </c>
      <c r="M22" s="2"/>
      <c r="N22" s="22">
        <f t="shared" si="3"/>
        <v>0</v>
      </c>
      <c r="O22" s="11"/>
      <c r="P22" s="2">
        <f>--825.18</f>
        <v>825.18</v>
      </c>
      <c r="Q22" s="2"/>
      <c r="R22" s="22">
        <f t="shared" si="4"/>
        <v>0</v>
      </c>
      <c r="S22" s="2"/>
      <c r="T22" s="2"/>
      <c r="U22" s="2"/>
      <c r="V22" s="22">
        <f t="shared" si="5"/>
        <v>0</v>
      </c>
      <c r="W22" s="2"/>
      <c r="X22" s="2">
        <f t="shared" si="6"/>
        <v>825.18</v>
      </c>
      <c r="Y22" s="2"/>
      <c r="Z22" s="22">
        <f t="shared" si="7"/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3</v>
      </c>
      <c r="C24" s="26"/>
      <c r="D24" s="20">
        <f>+D16-D18+D20</f>
        <v>624.67999999999995</v>
      </c>
      <c r="E24" s="13"/>
      <c r="F24" s="21">
        <f>IF(D$12=0,0,D24/D$12)</f>
        <v>0</v>
      </c>
      <c r="G24" s="13"/>
      <c r="H24" s="20">
        <f>+H16-H18+H20</f>
        <v>0</v>
      </c>
      <c r="I24" s="13"/>
      <c r="J24" s="21">
        <f>IF(H$12=0,0,H24/H$12)</f>
        <v>0</v>
      </c>
      <c r="K24" s="16"/>
      <c r="L24" s="20">
        <f>+D24-H24</f>
        <v>624.67999999999995</v>
      </c>
      <c r="M24" s="16"/>
      <c r="N24" s="21">
        <f>IF(H24=0,0,L24/H24)</f>
        <v>0</v>
      </c>
      <c r="O24" s="25"/>
      <c r="P24" s="20">
        <f>+P16-P18+P20</f>
        <v>2188.81</v>
      </c>
      <c r="Q24" s="13"/>
      <c r="R24" s="21">
        <f>IF(P$12=0,0,P24/P$12)</f>
        <v>0</v>
      </c>
      <c r="S24" s="13"/>
      <c r="T24" s="20">
        <f>+T16-T18+T20</f>
        <v>0</v>
      </c>
      <c r="U24" s="13"/>
      <c r="V24" s="21">
        <f>IF(T$12=0,0,T24/T$12)</f>
        <v>0</v>
      </c>
      <c r="W24" s="16"/>
      <c r="X24" s="20">
        <f>+P24-T24</f>
        <v>2188.81</v>
      </c>
      <c r="Y24" s="16"/>
      <c r="Z24" s="21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6" t="s">
        <v>4</v>
      </c>
      <c r="C28" s="26"/>
      <c r="D28" s="33">
        <f>+D24-D26</f>
        <v>624.67999999999995</v>
      </c>
      <c r="E28" s="13"/>
      <c r="F28" s="34">
        <f>IF(D$12=0,0,D28/D$12)</f>
        <v>0</v>
      </c>
      <c r="G28" s="13"/>
      <c r="H28" s="33">
        <f>+H24-H26</f>
        <v>0</v>
      </c>
      <c r="I28" s="13"/>
      <c r="J28" s="34">
        <f>IF(H$12=0,0,H28/H$12)</f>
        <v>0</v>
      </c>
      <c r="K28" s="16"/>
      <c r="L28" s="33">
        <f>D28-H28</f>
        <v>624.67999999999995</v>
      </c>
      <c r="M28" s="16"/>
      <c r="N28" s="34">
        <f>IF(H28=0,0,L28/H28)</f>
        <v>0</v>
      </c>
      <c r="O28" s="25"/>
      <c r="P28" s="33">
        <f>+P24-P26</f>
        <v>2188.81</v>
      </c>
      <c r="Q28" s="13"/>
      <c r="R28" s="34">
        <f>IF(P$12=0,0,P28/P$12)</f>
        <v>0</v>
      </c>
      <c r="S28" s="13"/>
      <c r="T28" s="33">
        <f>+T24-T26</f>
        <v>0</v>
      </c>
      <c r="U28" s="13"/>
      <c r="V28" s="34">
        <f>IF(T$12=0,0,T28/T$12)</f>
        <v>0</v>
      </c>
      <c r="W28" s="16"/>
      <c r="X28" s="33">
        <f>P28-T28</f>
        <v>2188.81</v>
      </c>
      <c r="Y28" s="16"/>
      <c r="Z28" s="34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1">
        <f>SUM(D28:D30)</f>
        <v>624.67999999999995</v>
      </c>
      <c r="E31" s="13"/>
      <c r="F31" s="32">
        <f>IF(D$12=0,0,D31/D$12)</f>
        <v>0</v>
      </c>
      <c r="G31" s="13"/>
      <c r="H31" s="31">
        <f>SUM(H28:H30)</f>
        <v>0</v>
      </c>
      <c r="I31" s="13"/>
      <c r="J31" s="32">
        <f>IF(H$12=0,0,H31/H$12)</f>
        <v>0</v>
      </c>
      <c r="K31" s="16"/>
      <c r="L31" s="31">
        <f>+D31-H31</f>
        <v>624.67999999999995</v>
      </c>
      <c r="M31" s="16"/>
      <c r="N31" s="32">
        <f>IF(H31=0,0,L31/H31)</f>
        <v>0</v>
      </c>
      <c r="O31" s="25"/>
      <c r="P31" s="31">
        <f>SUM(P28:P30)</f>
        <v>2188.81</v>
      </c>
      <c r="Q31" s="13"/>
      <c r="R31" s="32">
        <f>IF(P$12=0,0,P31/P$12)</f>
        <v>0</v>
      </c>
      <c r="S31" s="13"/>
      <c r="T31" s="31">
        <f>SUM(T28:T30)</f>
        <v>0</v>
      </c>
      <c r="U31" s="13"/>
      <c r="V31" s="32">
        <f>IF(T$12=0,0,T31/T$12)</f>
        <v>0</v>
      </c>
      <c r="W31" s="16"/>
      <c r="X31" s="31">
        <f>+P31-T31</f>
        <v>2188.81</v>
      </c>
      <c r="Y31" s="16"/>
      <c r="Z31" s="32">
        <f>IF(T31=0,0,X31/T31)</f>
        <v>0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5">
        <v>44123.572589317133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3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1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302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222354.97999999998</v>
      </c>
      <c r="E12" s="4"/>
      <c r="F12" s="12"/>
      <c r="G12" s="4"/>
      <c r="H12" s="4">
        <f>SUM(OSRRefH13x_0)</f>
        <v>464521</v>
      </c>
      <c r="I12" s="4"/>
      <c r="J12" s="12"/>
      <c r="K12" s="4"/>
      <c r="L12" s="4">
        <f t="shared" ref="L12:L16" si="0">+D12-H12</f>
        <v>-242166.02000000002</v>
      </c>
      <c r="M12" s="4"/>
      <c r="N12" s="12">
        <f t="shared" ref="N12:N16" si="1">IF(H12=0,0,L12/H12)</f>
        <v>-0.52132415972582513</v>
      </c>
      <c r="O12" s="10"/>
      <c r="P12" s="4">
        <f>SUM(OSRRefP13x_0)</f>
        <v>291510.98</v>
      </c>
      <c r="Q12" s="4"/>
      <c r="R12" s="12"/>
      <c r="S12" s="4"/>
      <c r="T12" s="4">
        <f>SUM(OSRRefT13x_0)</f>
        <v>598492</v>
      </c>
      <c r="U12" s="4"/>
      <c r="V12" s="12"/>
      <c r="W12" s="4"/>
      <c r="X12" s="4">
        <f t="shared" ref="X12:X16" si="2">+P12-T12</f>
        <v>-306981.02</v>
      </c>
      <c r="Y12" s="4"/>
      <c r="Z12" s="12">
        <f t="shared" ref="Z12:Z16" si="3">IF(T12=0,0,X12/T12)</f>
        <v>-0.51292418277938556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--62.54</f>
        <v>62.54</v>
      </c>
      <c r="E13" s="2"/>
      <c r="F13" s="22"/>
      <c r="G13" s="2"/>
      <c r="H13" s="2"/>
      <c r="I13" s="2"/>
      <c r="J13" s="22"/>
      <c r="K13" s="2"/>
      <c r="L13" s="2">
        <f t="shared" si="0"/>
        <v>62.54</v>
      </c>
      <c r="M13" s="2"/>
      <c r="N13" s="22">
        <f t="shared" si="1"/>
        <v>0</v>
      </c>
      <c r="O13" s="11"/>
      <c r="P13" s="2">
        <f>--402.44</f>
        <v>402.44</v>
      </c>
      <c r="Q13" s="2"/>
      <c r="R13" s="22"/>
      <c r="S13" s="2"/>
      <c r="T13" s="2"/>
      <c r="U13" s="2"/>
      <c r="V13" s="22"/>
      <c r="W13" s="2"/>
      <c r="X13" s="2">
        <f t="shared" si="2"/>
        <v>402.44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464521</v>
      </c>
      <c r="I14" s="2"/>
      <c r="J14" s="22"/>
      <c r="K14" s="2"/>
      <c r="L14" s="2">
        <f t="shared" si="0"/>
        <v>-464521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598492</v>
      </c>
      <c r="U14" s="2"/>
      <c r="V14" s="22"/>
      <c r="W14" s="2"/>
      <c r="X14" s="2">
        <f t="shared" si="2"/>
        <v>-598492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--219014.08</f>
        <v>219014.08</v>
      </c>
      <c r="E15" s="2"/>
      <c r="F15" s="22"/>
      <c r="G15" s="2"/>
      <c r="H15" s="2"/>
      <c r="I15" s="2"/>
      <c r="J15" s="22"/>
      <c r="K15" s="2"/>
      <c r="L15" s="2">
        <f t="shared" si="0"/>
        <v>219014.08</v>
      </c>
      <c r="M15" s="2"/>
      <c r="N15" s="22">
        <f t="shared" si="1"/>
        <v>0</v>
      </c>
      <c r="O15" s="11"/>
      <c r="P15" s="2">
        <f>--260864.76</f>
        <v>260864.76</v>
      </c>
      <c r="Q15" s="2"/>
      <c r="R15" s="22"/>
      <c r="S15" s="2"/>
      <c r="T15" s="2"/>
      <c r="U15" s="2"/>
      <c r="V15" s="22"/>
      <c r="W15" s="2"/>
      <c r="X15" s="2">
        <f t="shared" si="2"/>
        <v>260864.76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--3278.36</f>
        <v>3278.36</v>
      </c>
      <c r="E16" s="2"/>
      <c r="F16" s="22"/>
      <c r="G16" s="2"/>
      <c r="H16" s="2"/>
      <c r="I16" s="2"/>
      <c r="J16" s="22"/>
      <c r="K16" s="2"/>
      <c r="L16" s="2">
        <f t="shared" si="0"/>
        <v>3278.36</v>
      </c>
      <c r="M16" s="2"/>
      <c r="N16" s="22">
        <f t="shared" si="1"/>
        <v>0</v>
      </c>
      <c r="O16" s="11"/>
      <c r="P16" s="2">
        <f>--30243.78</f>
        <v>30243.78</v>
      </c>
      <c r="Q16" s="2"/>
      <c r="R16" s="22"/>
      <c r="S16" s="2"/>
      <c r="T16" s="2"/>
      <c r="U16" s="2"/>
      <c r="V16" s="22"/>
      <c r="W16" s="2"/>
      <c r="X16" s="2">
        <f t="shared" si="2"/>
        <v>30243.78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43646.619999999995</v>
      </c>
      <c r="E18" s="4"/>
      <c r="F18" s="12">
        <f t="shared" ref="F18:F21" si="4">IF(D$12=0,0,D18/D$12)</f>
        <v>0.19629252288390392</v>
      </c>
      <c r="G18" s="4"/>
      <c r="H18" s="4">
        <f>SUM(OSRRefH16x_0)</f>
        <v>120749</v>
      </c>
      <c r="I18" s="4"/>
      <c r="J18" s="12">
        <f t="shared" ref="J18:J21" si="5">IF(H$12=0,0,H18/H$12)</f>
        <v>0.25994303809730884</v>
      </c>
      <c r="K18" s="4"/>
      <c r="L18" s="4">
        <f t="shared" ref="L18:L21" si="6">+D18-H18</f>
        <v>-77102.38</v>
      </c>
      <c r="M18" s="4"/>
      <c r="N18" s="12">
        <f t="shared" ref="N18:N21" si="7">IF(H18=0,0,L18/H18)</f>
        <v>-0.63853431498397506</v>
      </c>
      <c r="O18" s="10"/>
      <c r="P18" s="4">
        <f>SUM(OSRRefP16x_0)</f>
        <v>101408.83999999998</v>
      </c>
      <c r="Q18" s="4"/>
      <c r="R18" s="12">
        <f t="shared" ref="R18:R21" si="8">IF(P$12=0,0,P18/P$12)</f>
        <v>0.34787314014724247</v>
      </c>
      <c r="S18" s="4"/>
      <c r="T18" s="4">
        <f>SUM(OSRRefT16x_0)</f>
        <v>173029</v>
      </c>
      <c r="U18" s="4"/>
      <c r="V18" s="12">
        <f t="shared" ref="V18:V21" si="9">IF(T$12=0,0,T18/T$12)</f>
        <v>0.28910829217433148</v>
      </c>
      <c r="W18" s="4"/>
      <c r="X18" s="4">
        <f t="shared" ref="X18:X21" si="10">+P18-T18</f>
        <v>-71620.160000000018</v>
      </c>
      <c r="Y18" s="4"/>
      <c r="Z18" s="12">
        <f t="shared" ref="Z18:Z21" si="11">IF(T18=0,0,X18/T18)</f>
        <v>-0.41391997873188896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120749</v>
      </c>
      <c r="I19" s="2"/>
      <c r="J19" s="22">
        <f t="shared" si="5"/>
        <v>0.25994303809730884</v>
      </c>
      <c r="K19" s="2"/>
      <c r="L19" s="2">
        <f t="shared" si="6"/>
        <v>-120749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173029</v>
      </c>
      <c r="U19" s="2"/>
      <c r="V19" s="22">
        <f t="shared" si="9"/>
        <v>0.28910829217433148</v>
      </c>
      <c r="W19" s="2"/>
      <c r="X19" s="2">
        <f t="shared" si="10"/>
        <v>-173029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40326.199999999997</v>
      </c>
      <c r="E20" s="2"/>
      <c r="F20" s="22">
        <f t="shared" si="4"/>
        <v>0.18135955398885154</v>
      </c>
      <c r="G20" s="2"/>
      <c r="H20" s="2"/>
      <c r="I20" s="2"/>
      <c r="J20" s="22">
        <f t="shared" si="5"/>
        <v>0</v>
      </c>
      <c r="K20" s="2"/>
      <c r="L20" s="2">
        <f t="shared" si="6"/>
        <v>40326.199999999997</v>
      </c>
      <c r="M20" s="2"/>
      <c r="N20" s="22">
        <f t="shared" si="7"/>
        <v>0</v>
      </c>
      <c r="O20" s="11"/>
      <c r="P20" s="2">
        <v>124935.41999999998</v>
      </c>
      <c r="Q20" s="2"/>
      <c r="R20" s="22">
        <f t="shared" si="8"/>
        <v>0.42857877943396844</v>
      </c>
      <c r="S20" s="2"/>
      <c r="T20" s="2"/>
      <c r="U20" s="2"/>
      <c r="V20" s="22">
        <f t="shared" si="9"/>
        <v>0</v>
      </c>
      <c r="W20" s="2"/>
      <c r="X20" s="2">
        <f t="shared" si="10"/>
        <v>124935.41999999998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3320.42</v>
      </c>
      <c r="E21" s="2"/>
      <c r="F21" s="22">
        <f t="shared" si="4"/>
        <v>1.4932968895052409E-2</v>
      </c>
      <c r="G21" s="2"/>
      <c r="H21" s="2"/>
      <c r="I21" s="2"/>
      <c r="J21" s="22">
        <f t="shared" si="5"/>
        <v>0</v>
      </c>
      <c r="K21" s="2"/>
      <c r="L21" s="2">
        <f t="shared" si="6"/>
        <v>3320.42</v>
      </c>
      <c r="M21" s="2"/>
      <c r="N21" s="22">
        <f t="shared" si="7"/>
        <v>0</v>
      </c>
      <c r="O21" s="11"/>
      <c r="P21" s="2">
        <v>-23526.58</v>
      </c>
      <c r="Q21" s="2"/>
      <c r="R21" s="22">
        <f t="shared" si="8"/>
        <v>-8.0705639286726027E-2</v>
      </c>
      <c r="S21" s="2"/>
      <c r="T21" s="2"/>
      <c r="U21" s="2"/>
      <c r="V21" s="22">
        <f t="shared" si="9"/>
        <v>0</v>
      </c>
      <c r="W21" s="2"/>
      <c r="X21" s="2">
        <f t="shared" si="10"/>
        <v>-23526.58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0">
        <f>D12-D18</f>
        <v>178708.36</v>
      </c>
      <c r="E23" s="13"/>
      <c r="F23" s="21">
        <f>IF(D$12=0,0,D23/D$12)</f>
        <v>0.80370747711609603</v>
      </c>
      <c r="G23" s="13"/>
      <c r="H23" s="20">
        <f>H12-H18</f>
        <v>343772</v>
      </c>
      <c r="I23" s="13"/>
      <c r="J23" s="21">
        <f>IF(H$12=0,0,H23/H$12)</f>
        <v>0.74005696190269121</v>
      </c>
      <c r="K23" s="16"/>
      <c r="L23" s="20">
        <f>+D23-H23</f>
        <v>-165063.64000000001</v>
      </c>
      <c r="M23" s="16"/>
      <c r="N23" s="21">
        <f>IF(H23=0,0,L23/H23)</f>
        <v>-0.48015440466355613</v>
      </c>
      <c r="O23" s="25"/>
      <c r="P23" s="20">
        <f>P12-P18</f>
        <v>190102.14</v>
      </c>
      <c r="Q23" s="13"/>
      <c r="R23" s="21">
        <f>IF(P$12=0,0,P23/P$12)</f>
        <v>0.65212685985275765</v>
      </c>
      <c r="S23" s="13"/>
      <c r="T23" s="20">
        <f>T12-T18</f>
        <v>425463</v>
      </c>
      <c r="U23" s="13"/>
      <c r="V23" s="21">
        <f>IF(T$12=0,0,T23/T$12)</f>
        <v>0.71089170782566846</v>
      </c>
      <c r="W23" s="16"/>
      <c r="X23" s="20">
        <f>+P23-T23</f>
        <v>-235360.86</v>
      </c>
      <c r="Y23" s="16"/>
      <c r="Z23" s="21">
        <f>IF(T23=0,0,X23/T23)</f>
        <v>-0.55318760973339631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19">
        <f>SUM(OSRRefD22x_0)</f>
        <v>241864.58</v>
      </c>
      <c r="E25" s="19"/>
      <c r="F25" s="35">
        <f t="shared" ref="F25:F36" si="12">IF(D$12=0,0,D25/D$12)</f>
        <v>1.08774078277896</v>
      </c>
      <c r="G25" s="19"/>
      <c r="H25" s="19">
        <f>SUM(OSRRefH22x_0)</f>
        <v>362374.12834412616</v>
      </c>
      <c r="I25" s="19"/>
      <c r="J25" s="35">
        <f t="shared" ref="J25:J36" si="13">IF(H$12=0,0,H25/H$12)</f>
        <v>0.78010279049628795</v>
      </c>
      <c r="K25" s="4"/>
      <c r="L25" s="19">
        <f t="shared" ref="L25:L36" si="14">+D25-H25</f>
        <v>-120509.54834412617</v>
      </c>
      <c r="M25" s="4"/>
      <c r="N25" s="35">
        <f t="shared" ref="N25:N36" si="15">IF(H25=0,0,L25/H25)</f>
        <v>-0.33255560736302092</v>
      </c>
      <c r="O25" s="10"/>
      <c r="P25" s="19">
        <f>SUM(OSRRefP22x_0)</f>
        <v>625926.92999999982</v>
      </c>
      <c r="Q25" s="19"/>
      <c r="R25" s="35">
        <f t="shared" ref="R25:R36" si="16">IF(P$12=0,0,P25/P$12)</f>
        <v>2.1471813171497001</v>
      </c>
      <c r="S25" s="19"/>
      <c r="T25" s="19">
        <f>SUM(OSRRefT22x_0)</f>
        <v>965597.86661815993</v>
      </c>
      <c r="U25" s="19"/>
      <c r="V25" s="35">
        <f t="shared" ref="V25:V36" si="17">IF(T$12=0,0,T25/T$12)</f>
        <v>1.6133847513720483</v>
      </c>
      <c r="W25" s="4"/>
      <c r="X25" s="19">
        <f t="shared" ref="X25:X36" si="18">+P25-T25</f>
        <v>-339670.93661816011</v>
      </c>
      <c r="Y25" s="4"/>
      <c r="Z25" s="35">
        <f t="shared" ref="Z25:Z36" si="19">IF(T25=0,0,X25/T25)</f>
        <v>-0.35177266682226527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76244.08</v>
      </c>
      <c r="E26" s="1"/>
      <c r="F26" s="5">
        <f t="shared" si="12"/>
        <v>0.34289351198700391</v>
      </c>
      <c r="G26" s="1"/>
      <c r="H26" s="1">
        <f>SUM(OSRRefH22_0x_0)</f>
        <v>98444.333065664643</v>
      </c>
      <c r="I26" s="1"/>
      <c r="J26" s="5">
        <f t="shared" si="13"/>
        <v>0.21192655028656324</v>
      </c>
      <c r="K26" s="1"/>
      <c r="L26" s="1">
        <f t="shared" si="14"/>
        <v>-22200.253065664641</v>
      </c>
      <c r="M26" s="1"/>
      <c r="N26" s="5">
        <f t="shared" si="15"/>
        <v>-0.22551072646158882</v>
      </c>
      <c r="O26" s="14"/>
      <c r="P26" s="1">
        <f>SUM(OSRRefP22_0x_0)</f>
        <v>220126.58999999997</v>
      </c>
      <c r="Q26" s="1"/>
      <c r="R26" s="5">
        <f t="shared" si="16"/>
        <v>0.75512280875320714</v>
      </c>
      <c r="S26" s="1"/>
      <c r="T26" s="1">
        <f>SUM(OSRRefT22_0x_0)</f>
        <v>306683.58089816</v>
      </c>
      <c r="U26" s="1"/>
      <c r="V26" s="5">
        <f t="shared" si="17"/>
        <v>0.51242720186428559</v>
      </c>
      <c r="W26" s="1"/>
      <c r="X26" s="1">
        <f t="shared" si="18"/>
        <v>-86556.990898160031</v>
      </c>
      <c r="Y26" s="1"/>
      <c r="Z26" s="5">
        <f t="shared" si="19"/>
        <v>-0.28223549054914321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6">
        <v>8222.0400000000009</v>
      </c>
      <c r="E27" s="2"/>
      <c r="F27" s="7">
        <f t="shared" si="12"/>
        <v>3.6977089516951687E-2</v>
      </c>
      <c r="G27" s="2"/>
      <c r="H27" s="6">
        <v>10035.76913235692</v>
      </c>
      <c r="I27" s="2"/>
      <c r="J27" s="7">
        <f t="shared" si="13"/>
        <v>2.1604554223290055E-2</v>
      </c>
      <c r="K27" s="2"/>
      <c r="L27" s="6">
        <f t="shared" si="14"/>
        <v>-1813.7291323569189</v>
      </c>
      <c r="M27" s="2"/>
      <c r="N27" s="7">
        <f t="shared" si="15"/>
        <v>-0.18072647033192174</v>
      </c>
      <c r="O27" s="11"/>
      <c r="P27" s="6">
        <v>21585.69</v>
      </c>
      <c r="Q27" s="2"/>
      <c r="R27" s="7">
        <f t="shared" si="16"/>
        <v>7.4047605342344225E-2</v>
      </c>
      <c r="S27" s="2"/>
      <c r="T27" s="6">
        <v>32233.06397015999</v>
      </c>
      <c r="U27" s="2"/>
      <c r="V27" s="7">
        <f t="shared" si="17"/>
        <v>5.3857134214258487E-2</v>
      </c>
      <c r="W27" s="2"/>
      <c r="X27" s="6">
        <f t="shared" si="18"/>
        <v>-10647.373970159992</v>
      </c>
      <c r="Y27" s="2"/>
      <c r="Z27" s="7">
        <f t="shared" si="19"/>
        <v>-0.33032460023089588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5274.71</v>
      </c>
      <c r="E28" s="2"/>
      <c r="F28" s="7">
        <f t="shared" si="12"/>
        <v>2.3722023226104495E-2</v>
      </c>
      <c r="G28" s="2"/>
      <c r="H28" s="6">
        <v>7477.2342677999995</v>
      </c>
      <c r="I28" s="2"/>
      <c r="J28" s="7">
        <f t="shared" si="13"/>
        <v>1.60966549796457E-2</v>
      </c>
      <c r="K28" s="2"/>
      <c r="L28" s="6">
        <f t="shared" si="14"/>
        <v>-2202.5242677999995</v>
      </c>
      <c r="M28" s="2"/>
      <c r="N28" s="7">
        <f t="shared" si="15"/>
        <v>-0.29456403115319812</v>
      </c>
      <c r="O28" s="11"/>
      <c r="P28" s="6">
        <v>12709.34</v>
      </c>
      <c r="Q28" s="2"/>
      <c r="R28" s="7">
        <f t="shared" si="16"/>
        <v>4.3598151946111947E-2</v>
      </c>
      <c r="S28" s="2"/>
      <c r="T28" s="6">
        <v>20234.139182399998</v>
      </c>
      <c r="U28" s="2"/>
      <c r="V28" s="7">
        <f t="shared" si="17"/>
        <v>3.3808537428069212E-2</v>
      </c>
      <c r="W28" s="2"/>
      <c r="X28" s="6">
        <f t="shared" si="18"/>
        <v>-7524.7991823999982</v>
      </c>
      <c r="Y28" s="2"/>
      <c r="Z28" s="7">
        <f t="shared" si="19"/>
        <v>-0.37188630139231216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6">
        <v>44390.990000000005</v>
      </c>
      <c r="E29" s="2"/>
      <c r="F29" s="7">
        <f t="shared" si="12"/>
        <v>0.19964018795531366</v>
      </c>
      <c r="G29" s="2"/>
      <c r="H29" s="6">
        <v>59594.230769230795</v>
      </c>
      <c r="I29" s="2"/>
      <c r="J29" s="7">
        <f t="shared" si="13"/>
        <v>0.12829179040179195</v>
      </c>
      <c r="K29" s="2"/>
      <c r="L29" s="6">
        <f t="shared" si="14"/>
        <v>-15203.24076923079</v>
      </c>
      <c r="M29" s="2"/>
      <c r="N29" s="7">
        <f t="shared" si="15"/>
        <v>-0.25511262706121551</v>
      </c>
      <c r="O29" s="11"/>
      <c r="P29" s="6">
        <v>130473.06999999999</v>
      </c>
      <c r="Q29" s="2"/>
      <c r="R29" s="7">
        <f t="shared" si="16"/>
        <v>0.44757514794125425</v>
      </c>
      <c r="S29" s="2"/>
      <c r="T29" s="6">
        <v>188880</v>
      </c>
      <c r="U29" s="2"/>
      <c r="V29" s="7">
        <f t="shared" si="17"/>
        <v>0.3155931908864279</v>
      </c>
      <c r="W29" s="2"/>
      <c r="X29" s="6">
        <f t="shared" si="18"/>
        <v>-58406.930000000008</v>
      </c>
      <c r="Y29" s="2"/>
      <c r="Z29" s="7">
        <f t="shared" si="19"/>
        <v>-0.30922771071579841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319.66000000000003</v>
      </c>
      <c r="E30" s="2"/>
      <c r="F30" s="7">
        <f t="shared" si="12"/>
        <v>1.4376111567188648E-3</v>
      </c>
      <c r="G30" s="2"/>
      <c r="H30" s="6">
        <v>453.16571320000003</v>
      </c>
      <c r="I30" s="2"/>
      <c r="J30" s="7">
        <f t="shared" si="13"/>
        <v>9.7555484725125462E-4</v>
      </c>
      <c r="K30" s="2"/>
      <c r="L30" s="6">
        <f t="shared" si="14"/>
        <v>-133.5057132</v>
      </c>
      <c r="M30" s="2"/>
      <c r="N30" s="7">
        <f t="shared" si="15"/>
        <v>-0.29460682772590657</v>
      </c>
      <c r="O30" s="11"/>
      <c r="P30" s="6">
        <v>851.06</v>
      </c>
      <c r="Q30" s="2"/>
      <c r="R30" s="7">
        <f t="shared" si="16"/>
        <v>2.9194783675043734E-3</v>
      </c>
      <c r="S30" s="2"/>
      <c r="T30" s="6">
        <v>1226.3114656</v>
      </c>
      <c r="U30" s="2"/>
      <c r="V30" s="7">
        <f t="shared" si="17"/>
        <v>2.0490022683678313E-3</v>
      </c>
      <c r="W30" s="2"/>
      <c r="X30" s="6">
        <f t="shared" si="18"/>
        <v>-375.25146560000007</v>
      </c>
      <c r="Y30" s="2"/>
      <c r="Z30" s="7">
        <f t="shared" si="19"/>
        <v>-0.30600012812927585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6">
        <v>3585.18</v>
      </c>
      <c r="E31" s="2"/>
      <c r="F31" s="7">
        <f t="shared" si="12"/>
        <v>1.6123677553792591E-2</v>
      </c>
      <c r="G31" s="2"/>
      <c r="H31" s="6">
        <v>4603.1433846153923</v>
      </c>
      <c r="I31" s="2"/>
      <c r="J31" s="7">
        <f t="shared" si="13"/>
        <v>9.9094408748267408E-3</v>
      </c>
      <c r="K31" s="2"/>
      <c r="L31" s="6">
        <f t="shared" si="14"/>
        <v>-1017.9633846153924</v>
      </c>
      <c r="M31" s="2"/>
      <c r="N31" s="7">
        <f t="shared" si="15"/>
        <v>-0.22114526956028041</v>
      </c>
      <c r="O31" s="11"/>
      <c r="P31" s="6">
        <v>12548.12</v>
      </c>
      <c r="Q31" s="2"/>
      <c r="R31" s="7">
        <f t="shared" si="16"/>
        <v>4.3045102452058587E-2</v>
      </c>
      <c r="S31" s="2"/>
      <c r="T31" s="6">
        <v>14960.216000000022</v>
      </c>
      <c r="U31" s="2"/>
      <c r="V31" s="7">
        <f t="shared" si="17"/>
        <v>2.4996517915026471E-2</v>
      </c>
      <c r="W31" s="2"/>
      <c r="X31" s="6">
        <f t="shared" si="18"/>
        <v>-2412.0960000000214</v>
      </c>
      <c r="Y31" s="2"/>
      <c r="Z31" s="7">
        <f t="shared" si="19"/>
        <v>-0.16123403565830988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6">
        <v>1526.6</v>
      </c>
      <c r="E33" s="2"/>
      <c r="F33" s="7">
        <f t="shared" si="12"/>
        <v>6.8655984228462074E-3</v>
      </c>
      <c r="G33" s="2"/>
      <c r="H33" s="6"/>
      <c r="I33" s="2"/>
      <c r="J33" s="7">
        <f t="shared" si="13"/>
        <v>0</v>
      </c>
      <c r="K33" s="2"/>
      <c r="L33" s="6">
        <f t="shared" si="14"/>
        <v>1526.6</v>
      </c>
      <c r="M33" s="2"/>
      <c r="N33" s="7">
        <f t="shared" si="15"/>
        <v>0</v>
      </c>
      <c r="O33" s="11"/>
      <c r="P33" s="6">
        <v>4869.62</v>
      </c>
      <c r="Q33" s="2"/>
      <c r="R33" s="7">
        <f t="shared" si="16"/>
        <v>1.6704756712766018E-2</v>
      </c>
      <c r="S33" s="2"/>
      <c r="T33" s="6"/>
      <c r="U33" s="2"/>
      <c r="V33" s="7">
        <f t="shared" si="17"/>
        <v>0</v>
      </c>
      <c r="W33" s="2"/>
      <c r="X33" s="6">
        <f t="shared" si="18"/>
        <v>4869.62</v>
      </c>
      <c r="Y33" s="2"/>
      <c r="Z33" s="7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6">
        <v>6416.14</v>
      </c>
      <c r="E34" s="2"/>
      <c r="F34" s="7">
        <f t="shared" si="12"/>
        <v>2.8855391500563651E-2</v>
      </c>
      <c r="G34" s="2"/>
      <c r="H34" s="6">
        <v>6756.0878769230803</v>
      </c>
      <c r="I34" s="2"/>
      <c r="J34" s="7">
        <f t="shared" si="13"/>
        <v>1.454420333402167E-2</v>
      </c>
      <c r="K34" s="2"/>
      <c r="L34" s="6">
        <f t="shared" si="14"/>
        <v>-339.94787692308</v>
      </c>
      <c r="M34" s="2"/>
      <c r="N34" s="7">
        <f t="shared" si="15"/>
        <v>-5.0317266902973175E-2</v>
      </c>
      <c r="O34" s="11"/>
      <c r="P34" s="6">
        <v>17737.41</v>
      </c>
      <c r="Q34" s="2"/>
      <c r="R34" s="7">
        <f t="shared" si="16"/>
        <v>6.0846455937954722E-2</v>
      </c>
      <c r="S34" s="2"/>
      <c r="T34" s="6">
        <v>21957.285599999999</v>
      </c>
      <c r="U34" s="2"/>
      <c r="V34" s="7">
        <f t="shared" si="17"/>
        <v>3.6687684380075254E-2</v>
      </c>
      <c r="W34" s="2"/>
      <c r="X34" s="6">
        <f t="shared" si="18"/>
        <v>-4219.8755999999994</v>
      </c>
      <c r="Y34" s="2"/>
      <c r="Z34" s="7">
        <f t="shared" si="19"/>
        <v>-0.19218566797710185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6">
        <v>4078.56</v>
      </c>
      <c r="E35" s="2"/>
      <c r="F35" s="7">
        <f t="shared" si="12"/>
        <v>1.8342561970053472E-2</v>
      </c>
      <c r="G35" s="2"/>
      <c r="H35" s="6">
        <v>5849.7019215384598</v>
      </c>
      <c r="I35" s="2"/>
      <c r="J35" s="7">
        <f t="shared" si="13"/>
        <v>1.2592976251963765E-2</v>
      </c>
      <c r="K35" s="2"/>
      <c r="L35" s="6">
        <f t="shared" si="14"/>
        <v>-1771.1419215384599</v>
      </c>
      <c r="M35" s="2"/>
      <c r="N35" s="7">
        <f t="shared" si="15"/>
        <v>-0.30277473028448826</v>
      </c>
      <c r="O35" s="11"/>
      <c r="P35" s="6">
        <v>12235.68</v>
      </c>
      <c r="Q35" s="2"/>
      <c r="R35" s="7">
        <f t="shared" si="16"/>
        <v>4.1973307489138148E-2</v>
      </c>
      <c r="S35" s="2"/>
      <c r="T35" s="6">
        <v>16167.564679999989</v>
      </c>
      <c r="U35" s="2"/>
      <c r="V35" s="7">
        <f t="shared" si="17"/>
        <v>2.7013835907581035E-2</v>
      </c>
      <c r="W35" s="2"/>
      <c r="X35" s="6">
        <f t="shared" si="18"/>
        <v>-3931.8846799999883</v>
      </c>
      <c r="Y35" s="2"/>
      <c r="Z35" s="7">
        <f t="shared" si="19"/>
        <v>-0.24319585279679803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6">
        <v>2430.1999999999998</v>
      </c>
      <c r="E36" s="2"/>
      <c r="F36" s="7">
        <f t="shared" si="12"/>
        <v>1.0929370684659278E-2</v>
      </c>
      <c r="G36" s="2"/>
      <c r="H36" s="6">
        <v>3675</v>
      </c>
      <c r="I36" s="2"/>
      <c r="J36" s="7">
        <f t="shared" si="13"/>
        <v>7.9113753737721226E-3</v>
      </c>
      <c r="K36" s="2"/>
      <c r="L36" s="6">
        <f t="shared" si="14"/>
        <v>-1244.8000000000002</v>
      </c>
      <c r="M36" s="2"/>
      <c r="N36" s="7">
        <f t="shared" si="15"/>
        <v>-0.33872108843537418</v>
      </c>
      <c r="O36" s="11"/>
      <c r="P36" s="6">
        <v>7116.6</v>
      </c>
      <c r="Q36" s="2"/>
      <c r="R36" s="7">
        <f t="shared" si="16"/>
        <v>2.4412802564074947E-2</v>
      </c>
      <c r="S36" s="2"/>
      <c r="T36" s="6">
        <v>11025</v>
      </c>
      <c r="U36" s="2"/>
      <c r="V36" s="7">
        <f t="shared" si="17"/>
        <v>1.842129886447939E-2</v>
      </c>
      <c r="W36" s="2"/>
      <c r="X36" s="6">
        <f t="shared" si="18"/>
        <v>-3908.3999999999996</v>
      </c>
      <c r="Y36" s="2"/>
      <c r="Z36" s="7">
        <f t="shared" si="19"/>
        <v>-0.3545034013605442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119920.17000000001</v>
      </c>
      <c r="E37" s="1"/>
      <c r="F37" s="5">
        <f t="shared" ref="F37:F47" si="20">IF(D$12=0,0,D37/D$12)</f>
        <v>0.53931857069268263</v>
      </c>
      <c r="G37" s="1"/>
      <c r="H37" s="1">
        <f>SUM(OSRRefH22_1x_0)</f>
        <v>162379.79527846153</v>
      </c>
      <c r="I37" s="1"/>
      <c r="J37" s="5">
        <f t="shared" ref="J37:J47" si="21">IF(H$12=0,0,H37/H$12)</f>
        <v>0.34956394926916445</v>
      </c>
      <c r="K37" s="1"/>
      <c r="L37" s="1">
        <f t="shared" ref="L37:L47" si="22">+D37-H37</f>
        <v>-42459.625278461521</v>
      </c>
      <c r="M37" s="1"/>
      <c r="N37" s="5">
        <f t="shared" ref="N37:N47" si="23">IF(H37=0,0,L37/H37)</f>
        <v>-0.26148342659041074</v>
      </c>
      <c r="O37" s="14"/>
      <c r="P37" s="1">
        <f>SUM(OSRRefP22_1x_0)</f>
        <v>294613.64999999997</v>
      </c>
      <c r="Q37" s="1"/>
      <c r="R37" s="5">
        <f t="shared" ref="R37:R47" si="24">IF(P$12=0,0,P37/P$12)</f>
        <v>1.0106434069824746</v>
      </c>
      <c r="S37" s="1"/>
      <c r="T37" s="1">
        <f>SUM(OSRRefT22_1x_0)</f>
        <v>434397.28572000004</v>
      </c>
      <c r="U37" s="1"/>
      <c r="V37" s="5">
        <f t="shared" ref="V37:V47" si="25">IF(T$12=0,0,T37/T$12)</f>
        <v>0.72581970305367494</v>
      </c>
      <c r="W37" s="1"/>
      <c r="X37" s="1">
        <f t="shared" ref="X37:X47" si="26">+P37-T37</f>
        <v>-139783.63572000008</v>
      </c>
      <c r="Y37" s="1"/>
      <c r="Z37" s="5">
        <f t="shared" ref="Z37:Z47" si="27">IF(T37=0,0,X37/T37)</f>
        <v>-0.32178754406421539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>
        <v>8959.5400000000009</v>
      </c>
      <c r="E38" s="2"/>
      <c r="F38" s="7">
        <f t="shared" si="20"/>
        <v>4.0293858046264591E-2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8959.5400000000009</v>
      </c>
      <c r="M38" s="2"/>
      <c r="N38" s="7">
        <f t="shared" si="23"/>
        <v>0</v>
      </c>
      <c r="O38" s="11"/>
      <c r="P38" s="6">
        <v>25534.799999999999</v>
      </c>
      <c r="Q38" s="2"/>
      <c r="R38" s="7">
        <f t="shared" si="24"/>
        <v>8.7594642232687092E-2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25534.799999999999</v>
      </c>
      <c r="Y38" s="2"/>
      <c r="Z38" s="7">
        <f t="shared" si="27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6">
        <v>28059.710000000003</v>
      </c>
      <c r="E39" s="2"/>
      <c r="F39" s="7">
        <f t="shared" si="20"/>
        <v>0.12619330585714791</v>
      </c>
      <c r="G39" s="2"/>
      <c r="H39" s="6">
        <v>48283.721538461541</v>
      </c>
      <c r="I39" s="2"/>
      <c r="J39" s="7">
        <f t="shared" si="21"/>
        <v>0.10394303279821912</v>
      </c>
      <c r="K39" s="2"/>
      <c r="L39" s="6">
        <f t="shared" si="22"/>
        <v>-20224.011538461538</v>
      </c>
      <c r="M39" s="2"/>
      <c r="N39" s="7">
        <f t="shared" si="23"/>
        <v>-0.41885776187222074</v>
      </c>
      <c r="O39" s="11"/>
      <c r="P39" s="6">
        <v>89923.83</v>
      </c>
      <c r="Q39" s="2"/>
      <c r="R39" s="7">
        <f t="shared" si="24"/>
        <v>0.30847493291676359</v>
      </c>
      <c r="S39" s="2"/>
      <c r="T39" s="6">
        <v>156922.09499999997</v>
      </c>
      <c r="U39" s="2"/>
      <c r="V39" s="7">
        <f t="shared" si="25"/>
        <v>0.26219581047031537</v>
      </c>
      <c r="W39" s="2"/>
      <c r="X39" s="6">
        <f t="shared" si="26"/>
        <v>-66998.26499999997</v>
      </c>
      <c r="Y39" s="2"/>
      <c r="Z39" s="7">
        <f t="shared" si="27"/>
        <v>-0.42695239953302933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6">
        <v>48764.51</v>
      </c>
      <c r="E41" s="2"/>
      <c r="F41" s="7">
        <f t="shared" si="20"/>
        <v>0.21930927744456188</v>
      </c>
      <c r="G41" s="2"/>
      <c r="H41" s="6">
        <v>71874.449919999999</v>
      </c>
      <c r="I41" s="2"/>
      <c r="J41" s="7">
        <f t="shared" si="21"/>
        <v>0.15472809608177024</v>
      </c>
      <c r="K41" s="2"/>
      <c r="L41" s="6">
        <f t="shared" si="22"/>
        <v>-23109.939919999997</v>
      </c>
      <c r="M41" s="2"/>
      <c r="N41" s="7">
        <f t="shared" si="23"/>
        <v>-0.32153205966407483</v>
      </c>
      <c r="O41" s="11"/>
      <c r="P41" s="6">
        <v>123645.51</v>
      </c>
      <c r="Q41" s="2"/>
      <c r="R41" s="7">
        <f t="shared" si="24"/>
        <v>0.4241538689211638</v>
      </c>
      <c r="S41" s="2"/>
      <c r="T41" s="6">
        <v>214295.96223999999</v>
      </c>
      <c r="U41" s="2"/>
      <c r="V41" s="7">
        <f t="shared" si="25"/>
        <v>0.35805986085027036</v>
      </c>
      <c r="W41" s="2"/>
      <c r="X41" s="6">
        <f t="shared" si="26"/>
        <v>-90650.452239999999</v>
      </c>
      <c r="Y41" s="2"/>
      <c r="Z41" s="7">
        <f t="shared" si="27"/>
        <v>-0.42301521359733485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6">
        <v>13566.64</v>
      </c>
      <c r="E42" s="2"/>
      <c r="F42" s="7">
        <f t="shared" si="20"/>
        <v>6.1013429966803534E-2</v>
      </c>
      <c r="G42" s="2"/>
      <c r="H42" s="6">
        <v>9689.7238200000011</v>
      </c>
      <c r="I42" s="2"/>
      <c r="J42" s="7">
        <f t="shared" si="21"/>
        <v>2.0859603376381264E-2</v>
      </c>
      <c r="K42" s="2"/>
      <c r="L42" s="6">
        <f t="shared" si="22"/>
        <v>3876.9161799999983</v>
      </c>
      <c r="M42" s="2"/>
      <c r="N42" s="7">
        <f t="shared" si="23"/>
        <v>0.40010595265861748</v>
      </c>
      <c r="O42" s="11"/>
      <c r="P42" s="6">
        <v>14519.74</v>
      </c>
      <c r="Q42" s="2"/>
      <c r="R42" s="7">
        <f t="shared" si="24"/>
        <v>4.9808552665837835E-2</v>
      </c>
      <c r="S42" s="2"/>
      <c r="T42" s="6">
        <v>16786.998479999998</v>
      </c>
      <c r="U42" s="2"/>
      <c r="V42" s="7">
        <f t="shared" si="25"/>
        <v>2.8048826851486734E-2</v>
      </c>
      <c r="W42" s="2"/>
      <c r="X42" s="6">
        <f t="shared" si="26"/>
        <v>-2267.2584799999986</v>
      </c>
      <c r="Y42" s="2"/>
      <c r="Z42" s="7">
        <f t="shared" si="27"/>
        <v>-0.13506038513681923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6">
        <v>17483.439999999999</v>
      </c>
      <c r="E44" s="2"/>
      <c r="F44" s="7">
        <f t="shared" si="20"/>
        <v>7.8628506543905602E-2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17483.439999999999</v>
      </c>
      <c r="M44" s="2"/>
      <c r="N44" s="7">
        <f t="shared" si="23"/>
        <v>0</v>
      </c>
      <c r="O44" s="11"/>
      <c r="P44" s="6">
        <v>37287.11</v>
      </c>
      <c r="Q44" s="2"/>
      <c r="R44" s="7">
        <f t="shared" si="24"/>
        <v>0.12790979605639555</v>
      </c>
      <c r="S44" s="2"/>
      <c r="T44" s="6">
        <v>13860.33</v>
      </c>
      <c r="U44" s="2"/>
      <c r="V44" s="7">
        <f t="shared" si="25"/>
        <v>2.3158755672590445E-2</v>
      </c>
      <c r="W44" s="2"/>
      <c r="X44" s="6">
        <f t="shared" si="26"/>
        <v>23426.78</v>
      </c>
      <c r="Y44" s="2"/>
      <c r="Z44" s="7">
        <f t="shared" si="27"/>
        <v>1.6902036243004315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6">
        <v>3086.33</v>
      </c>
      <c r="E45" s="2"/>
      <c r="F45" s="7">
        <f t="shared" si="20"/>
        <v>1.3880192833999041E-2</v>
      </c>
      <c r="G45" s="2"/>
      <c r="H45" s="6">
        <v>32531.900000000005</v>
      </c>
      <c r="I45" s="2"/>
      <c r="J45" s="7">
        <f t="shared" si="21"/>
        <v>7.003321701279383E-2</v>
      </c>
      <c r="K45" s="2"/>
      <c r="L45" s="6">
        <f t="shared" si="22"/>
        <v>-29445.570000000007</v>
      </c>
      <c r="M45" s="2"/>
      <c r="N45" s="7">
        <f t="shared" si="23"/>
        <v>-0.9051291194181712</v>
      </c>
      <c r="O45" s="11"/>
      <c r="P45" s="6">
        <v>3702.66</v>
      </c>
      <c r="Q45" s="2"/>
      <c r="R45" s="7">
        <f t="shared" si="24"/>
        <v>1.2701614189626752E-2</v>
      </c>
      <c r="S45" s="2"/>
      <c r="T45" s="6">
        <v>32531.900000000005</v>
      </c>
      <c r="U45" s="2"/>
      <c r="V45" s="7">
        <f t="shared" si="25"/>
        <v>5.4356449209011989E-2</v>
      </c>
      <c r="W45" s="2"/>
      <c r="X45" s="6">
        <f t="shared" si="26"/>
        <v>-28829.240000000005</v>
      </c>
      <c r="Y45" s="2"/>
      <c r="Z45" s="7">
        <f t="shared" si="27"/>
        <v>-0.88618371506121685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71" si="28">IF(D$12=0,0,D48/D$12)</f>
        <v>0</v>
      </c>
      <c r="G48" s="1"/>
      <c r="H48" s="1">
        <f>SUM(OSRRefH22_2x_0)</f>
        <v>1169</v>
      </c>
      <c r="I48" s="1"/>
      <c r="J48" s="5">
        <f t="shared" ref="J48:J71" si="29">IF(H$12=0,0,H48/H$12)</f>
        <v>2.5165708331808465E-3</v>
      </c>
      <c r="K48" s="1"/>
      <c r="L48" s="1">
        <f t="shared" ref="L48:L71" si="30">+D48-H48</f>
        <v>-1169</v>
      </c>
      <c r="M48" s="1"/>
      <c r="N48" s="5">
        <f t="shared" ref="N48:N71" si="31">IF(H48=0,0,L48/H48)</f>
        <v>-1</v>
      </c>
      <c r="O48" s="14"/>
      <c r="P48" s="1">
        <f>SUM(OSRRefP22_2x_0)</f>
        <v>1429</v>
      </c>
      <c r="Q48" s="1"/>
      <c r="R48" s="5">
        <f t="shared" ref="R48:R71" si="32">IF(P$12=0,0,P48/P$12)</f>
        <v>4.9020451991208022E-3</v>
      </c>
      <c r="S48" s="1"/>
      <c r="T48" s="1">
        <f>SUM(OSRRefT22_2x_0)</f>
        <v>3607</v>
      </c>
      <c r="U48" s="1"/>
      <c r="V48" s="5">
        <f t="shared" ref="V48:V71" si="33">IF(T$12=0,0,T48/T$12)</f>
        <v>6.0268140593357977E-3</v>
      </c>
      <c r="W48" s="1"/>
      <c r="X48" s="1">
        <f t="shared" ref="X48:X71" si="34">+P48-T48</f>
        <v>-2178</v>
      </c>
      <c r="Y48" s="1"/>
      <c r="Z48" s="5">
        <f t="shared" ref="Z48:Z71" si="35">IF(T48=0,0,X48/T48)</f>
        <v>-0.60382589409481568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1169</v>
      </c>
      <c r="I49" s="2"/>
      <c r="J49" s="7">
        <f t="shared" si="29"/>
        <v>2.5165708331808465E-3</v>
      </c>
      <c r="K49" s="2"/>
      <c r="L49" s="6">
        <f t="shared" si="30"/>
        <v>-1169</v>
      </c>
      <c r="M49" s="2"/>
      <c r="N49" s="7">
        <f t="shared" si="31"/>
        <v>-1</v>
      </c>
      <c r="O49" s="11"/>
      <c r="P49" s="6">
        <v>1429</v>
      </c>
      <c r="Q49" s="2"/>
      <c r="R49" s="7">
        <f t="shared" si="32"/>
        <v>4.9020451991208022E-3</v>
      </c>
      <c r="S49" s="2"/>
      <c r="T49" s="6">
        <v>3607</v>
      </c>
      <c r="U49" s="2"/>
      <c r="V49" s="7">
        <f t="shared" si="33"/>
        <v>6.0268140593357977E-3</v>
      </c>
      <c r="W49" s="2"/>
      <c r="X49" s="6">
        <f t="shared" si="34"/>
        <v>-2178</v>
      </c>
      <c r="Y49" s="2"/>
      <c r="Z49" s="7">
        <f t="shared" si="35"/>
        <v>-0.60382589409481568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29.74</v>
      </c>
      <c r="E50" s="1"/>
      <c r="F50" s="5">
        <f t="shared" si="28"/>
        <v>1.3375009635493661E-4</v>
      </c>
      <c r="G50" s="1"/>
      <c r="H50" s="1">
        <f>SUM(OSRRefH22_3x_0)</f>
        <v>31</v>
      </c>
      <c r="I50" s="1"/>
      <c r="J50" s="5">
        <f t="shared" si="29"/>
        <v>6.6735411316173006E-5</v>
      </c>
      <c r="K50" s="1"/>
      <c r="L50" s="1">
        <f t="shared" si="30"/>
        <v>-1.2600000000000016</v>
      </c>
      <c r="M50" s="1"/>
      <c r="N50" s="5">
        <f t="shared" si="31"/>
        <v>-4.0645161290322633E-2</v>
      </c>
      <c r="O50" s="14"/>
      <c r="P50" s="1">
        <f>SUM(OSRRefP22_3x_0)</f>
        <v>61.74</v>
      </c>
      <c r="Q50" s="1"/>
      <c r="R50" s="5">
        <f t="shared" si="32"/>
        <v>2.1179305150015277E-4</v>
      </c>
      <c r="S50" s="1"/>
      <c r="T50" s="1">
        <f>SUM(OSRRefT22_3x_0)</f>
        <v>77</v>
      </c>
      <c r="U50" s="1"/>
      <c r="V50" s="5">
        <f t="shared" si="33"/>
        <v>1.286566904820783E-4</v>
      </c>
      <c r="W50" s="1"/>
      <c r="X50" s="1">
        <f t="shared" si="34"/>
        <v>-15.259999999999998</v>
      </c>
      <c r="Y50" s="1"/>
      <c r="Z50" s="5">
        <f t="shared" si="35"/>
        <v>-0.19818181818181815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6">
        <v>29.74</v>
      </c>
      <c r="E51" s="2"/>
      <c r="F51" s="7">
        <f t="shared" si="28"/>
        <v>1.3375009635493661E-4</v>
      </c>
      <c r="G51" s="2"/>
      <c r="H51" s="6">
        <v>31</v>
      </c>
      <c r="I51" s="2"/>
      <c r="J51" s="7">
        <f t="shared" si="29"/>
        <v>6.6735411316173006E-5</v>
      </c>
      <c r="K51" s="2"/>
      <c r="L51" s="6">
        <f t="shared" si="30"/>
        <v>-1.2600000000000016</v>
      </c>
      <c r="M51" s="2"/>
      <c r="N51" s="7">
        <f t="shared" si="31"/>
        <v>-4.0645161290322633E-2</v>
      </c>
      <c r="O51" s="11"/>
      <c r="P51" s="6">
        <v>61.74</v>
      </c>
      <c r="Q51" s="2"/>
      <c r="R51" s="7">
        <f t="shared" si="32"/>
        <v>2.1179305150015277E-4</v>
      </c>
      <c r="S51" s="2"/>
      <c r="T51" s="6">
        <v>77</v>
      </c>
      <c r="U51" s="2"/>
      <c r="V51" s="7">
        <f t="shared" si="33"/>
        <v>1.286566904820783E-4</v>
      </c>
      <c r="W51" s="2"/>
      <c r="X51" s="6">
        <f t="shared" si="34"/>
        <v>-15.259999999999998</v>
      </c>
      <c r="Y51" s="2"/>
      <c r="Z51" s="7">
        <f t="shared" si="35"/>
        <v>-0.19818181818181815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8"/>
        <v>0</v>
      </c>
      <c r="G52" s="1"/>
      <c r="H52" s="1">
        <f>SUM(OSRRefH22_4x_0)</f>
        <v>530</v>
      </c>
      <c r="I52" s="1"/>
      <c r="J52" s="5">
        <f t="shared" si="29"/>
        <v>1.1409602579861835E-3</v>
      </c>
      <c r="K52" s="1"/>
      <c r="L52" s="1">
        <f t="shared" si="30"/>
        <v>-530</v>
      </c>
      <c r="M52" s="1"/>
      <c r="N52" s="5">
        <f t="shared" si="31"/>
        <v>-1</v>
      </c>
      <c r="O52" s="14"/>
      <c r="P52" s="1">
        <f>SUM(OSRRefP22_4x_0)</f>
        <v>0</v>
      </c>
      <c r="Q52" s="1"/>
      <c r="R52" s="5">
        <f t="shared" si="32"/>
        <v>0</v>
      </c>
      <c r="S52" s="1"/>
      <c r="T52" s="1">
        <f>SUM(OSRRefT22_4x_0)</f>
        <v>1175</v>
      </c>
      <c r="U52" s="1"/>
      <c r="V52" s="5">
        <f t="shared" si="33"/>
        <v>1.9632676794343116E-3</v>
      </c>
      <c r="W52" s="1"/>
      <c r="X52" s="1">
        <f t="shared" si="34"/>
        <v>-1175</v>
      </c>
      <c r="Y52" s="1"/>
      <c r="Z52" s="5">
        <f t="shared" si="35"/>
        <v>-1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8"/>
        <v>0</v>
      </c>
      <c r="G53" s="2"/>
      <c r="H53" s="6">
        <v>530</v>
      </c>
      <c r="I53" s="2"/>
      <c r="J53" s="7">
        <f t="shared" si="29"/>
        <v>1.1409602579861835E-3</v>
      </c>
      <c r="K53" s="2"/>
      <c r="L53" s="6">
        <f t="shared" si="30"/>
        <v>-530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1175</v>
      </c>
      <c r="U53" s="2"/>
      <c r="V53" s="7">
        <f t="shared" si="33"/>
        <v>1.9632676794343116E-3</v>
      </c>
      <c r="W53" s="2"/>
      <c r="X53" s="6">
        <f t="shared" si="34"/>
        <v>-1175</v>
      </c>
      <c r="Y53" s="2"/>
      <c r="Z53" s="7">
        <f t="shared" si="35"/>
        <v>-1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758.5</v>
      </c>
      <c r="E54" s="1"/>
      <c r="F54" s="5">
        <f t="shared" si="28"/>
        <v>3.4112121077746944E-3</v>
      </c>
      <c r="G54" s="1"/>
      <c r="H54" s="1">
        <f>SUM(OSRRefH22_5x_0)</f>
        <v>213</v>
      </c>
      <c r="I54" s="1"/>
      <c r="J54" s="5">
        <f t="shared" si="29"/>
        <v>4.5853685839822094E-4</v>
      </c>
      <c r="K54" s="1"/>
      <c r="L54" s="1">
        <f t="shared" si="30"/>
        <v>545.5</v>
      </c>
      <c r="M54" s="1"/>
      <c r="N54" s="5">
        <f t="shared" si="31"/>
        <v>2.5610328638497655</v>
      </c>
      <c r="O54" s="14"/>
      <c r="P54" s="1">
        <f>SUM(OSRRefP22_5x_0)</f>
        <v>1747.06</v>
      </c>
      <c r="Q54" s="1"/>
      <c r="R54" s="5">
        <f t="shared" si="32"/>
        <v>5.9931190241959325E-3</v>
      </c>
      <c r="S54" s="1"/>
      <c r="T54" s="1">
        <f>SUM(OSRRefT22_5x_0)</f>
        <v>639</v>
      </c>
      <c r="U54" s="1"/>
      <c r="V54" s="5">
        <f t="shared" si="33"/>
        <v>1.0676834443902341E-3</v>
      </c>
      <c r="W54" s="1"/>
      <c r="X54" s="1">
        <f t="shared" si="34"/>
        <v>1108.06</v>
      </c>
      <c r="Y54" s="1"/>
      <c r="Z54" s="5">
        <f t="shared" si="35"/>
        <v>1.7340532081377151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758.5</v>
      </c>
      <c r="E55" s="2"/>
      <c r="F55" s="7">
        <f t="shared" si="28"/>
        <v>3.4112121077746944E-3</v>
      </c>
      <c r="G55" s="2"/>
      <c r="H55" s="6">
        <v>213</v>
      </c>
      <c r="I55" s="2"/>
      <c r="J55" s="7">
        <f t="shared" si="29"/>
        <v>4.5853685839822094E-4</v>
      </c>
      <c r="K55" s="2"/>
      <c r="L55" s="6">
        <f t="shared" si="30"/>
        <v>545.5</v>
      </c>
      <c r="M55" s="2"/>
      <c r="N55" s="7">
        <f t="shared" si="31"/>
        <v>2.5610328638497655</v>
      </c>
      <c r="O55" s="11"/>
      <c r="P55" s="6">
        <v>1747.06</v>
      </c>
      <c r="Q55" s="2"/>
      <c r="R55" s="7">
        <f t="shared" si="32"/>
        <v>5.9931190241959325E-3</v>
      </c>
      <c r="S55" s="2"/>
      <c r="T55" s="6">
        <v>639</v>
      </c>
      <c r="U55" s="2"/>
      <c r="V55" s="7">
        <f t="shared" si="33"/>
        <v>1.0676834443902341E-3</v>
      </c>
      <c r="W55" s="2"/>
      <c r="X55" s="6">
        <f t="shared" si="34"/>
        <v>1108.06</v>
      </c>
      <c r="Y55" s="2"/>
      <c r="Z55" s="7">
        <f t="shared" si="35"/>
        <v>1.7340532081377151</v>
      </c>
    </row>
    <row r="56" spans="1:26" s="28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8888.07</v>
      </c>
      <c r="E56" s="1"/>
      <c r="F56" s="5">
        <f t="shared" si="28"/>
        <v>3.9972435067566287E-2</v>
      </c>
      <c r="G56" s="1"/>
      <c r="H56" s="1">
        <f>SUM(OSRRefH22_6x_0)</f>
        <v>13773</v>
      </c>
      <c r="I56" s="1"/>
      <c r="J56" s="5">
        <f t="shared" si="29"/>
        <v>2.964989742121454E-2</v>
      </c>
      <c r="K56" s="1"/>
      <c r="L56" s="1">
        <f t="shared" si="30"/>
        <v>-4884.93</v>
      </c>
      <c r="M56" s="1"/>
      <c r="N56" s="5">
        <f t="shared" si="31"/>
        <v>-0.3546743628839033</v>
      </c>
      <c r="O56" s="14"/>
      <c r="P56" s="1">
        <f>SUM(OSRRefP22_6x_0)</f>
        <v>11110.09</v>
      </c>
      <c r="Q56" s="1"/>
      <c r="R56" s="5">
        <f t="shared" si="32"/>
        <v>3.8112080718194566E-2</v>
      </c>
      <c r="S56" s="1"/>
      <c r="T56" s="1">
        <f>SUM(OSRRefT22_6x_0)</f>
        <v>24546</v>
      </c>
      <c r="U56" s="1"/>
      <c r="V56" s="5">
        <f t="shared" si="33"/>
        <v>4.1013079539910305E-2</v>
      </c>
      <c r="W56" s="1"/>
      <c r="X56" s="1">
        <f t="shared" si="34"/>
        <v>-13435.91</v>
      </c>
      <c r="Y56" s="1"/>
      <c r="Z56" s="5">
        <f t="shared" si="35"/>
        <v>-0.54737676199788154</v>
      </c>
    </row>
    <row r="57" spans="1:26" s="24" customFormat="1" hidden="1" outlineLevel="2" x14ac:dyDescent="0.25">
      <c r="A57" s="29"/>
      <c r="B57" s="11" t="str">
        <f>CONCATENATE("          ", "6399", " - ", "DONATION-ON CAMPUS")</f>
        <v xml:space="preserve">          6399 - DONATION-ON CAMPUS</v>
      </c>
      <c r="C57" s="11"/>
      <c r="D57" s="6">
        <v>8888.07</v>
      </c>
      <c r="E57" s="2"/>
      <c r="F57" s="7">
        <f t="shared" si="28"/>
        <v>3.9972435067566287E-2</v>
      </c>
      <c r="G57" s="2"/>
      <c r="H57" s="6">
        <v>13773</v>
      </c>
      <c r="I57" s="2"/>
      <c r="J57" s="7">
        <f t="shared" si="29"/>
        <v>2.964989742121454E-2</v>
      </c>
      <c r="K57" s="2"/>
      <c r="L57" s="6">
        <f t="shared" si="30"/>
        <v>-4884.93</v>
      </c>
      <c r="M57" s="2"/>
      <c r="N57" s="7">
        <f t="shared" si="31"/>
        <v>-0.3546743628839033</v>
      </c>
      <c r="O57" s="11"/>
      <c r="P57" s="6">
        <v>11110.09</v>
      </c>
      <c r="Q57" s="2"/>
      <c r="R57" s="7">
        <f t="shared" si="32"/>
        <v>3.8112080718194566E-2</v>
      </c>
      <c r="S57" s="2"/>
      <c r="T57" s="6">
        <v>24546</v>
      </c>
      <c r="U57" s="2"/>
      <c r="V57" s="7">
        <f t="shared" si="33"/>
        <v>4.1013079539910305E-2</v>
      </c>
      <c r="W57" s="2"/>
      <c r="X57" s="6">
        <f t="shared" si="34"/>
        <v>-13435.91</v>
      </c>
      <c r="Y57" s="2"/>
      <c r="Z57" s="7">
        <f t="shared" si="35"/>
        <v>-0.54737676199788154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300</v>
      </c>
      <c r="I58" s="1"/>
      <c r="J58" s="5">
        <f t="shared" si="29"/>
        <v>6.4582656112425487E-4</v>
      </c>
      <c r="K58" s="1"/>
      <c r="L58" s="1">
        <f t="shared" si="30"/>
        <v>-300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700</v>
      </c>
      <c r="U58" s="1"/>
      <c r="V58" s="5">
        <f t="shared" si="33"/>
        <v>1.1696062771098027E-3</v>
      </c>
      <c r="W58" s="1"/>
      <c r="X58" s="1">
        <f t="shared" si="34"/>
        <v>-700</v>
      </c>
      <c r="Y58" s="1"/>
      <c r="Z58" s="5">
        <f t="shared" si="35"/>
        <v>-1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300</v>
      </c>
      <c r="I59" s="2"/>
      <c r="J59" s="7">
        <f t="shared" si="29"/>
        <v>6.4582656112425487E-4</v>
      </c>
      <c r="K59" s="2"/>
      <c r="L59" s="6">
        <f t="shared" si="30"/>
        <v>-300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700</v>
      </c>
      <c r="U59" s="2"/>
      <c r="V59" s="7">
        <f t="shared" si="33"/>
        <v>1.1696062771098027E-3</v>
      </c>
      <c r="W59" s="2"/>
      <c r="X59" s="6">
        <f t="shared" si="34"/>
        <v>-700</v>
      </c>
      <c r="Y59" s="2"/>
      <c r="Z59" s="7">
        <f t="shared" si="35"/>
        <v>-1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601.91999999999996</v>
      </c>
      <c r="E60" s="1"/>
      <c r="F60" s="5">
        <f t="shared" si="28"/>
        <v>2.7070227975105393E-3</v>
      </c>
      <c r="G60" s="1"/>
      <c r="H60" s="1">
        <f>SUM(OSRRefH22_8x_0)</f>
        <v>690</v>
      </c>
      <c r="I60" s="1"/>
      <c r="J60" s="5">
        <f t="shared" si="29"/>
        <v>1.4854010905857862E-3</v>
      </c>
      <c r="K60" s="1"/>
      <c r="L60" s="1">
        <f t="shared" si="30"/>
        <v>-88.080000000000041</v>
      </c>
      <c r="M60" s="1"/>
      <c r="N60" s="5">
        <f t="shared" si="31"/>
        <v>-0.12765217391304354</v>
      </c>
      <c r="O60" s="14"/>
      <c r="P60" s="1">
        <f>SUM(OSRRefP22_8x_0)</f>
        <v>1658.68</v>
      </c>
      <c r="Q60" s="1"/>
      <c r="R60" s="5">
        <f t="shared" si="32"/>
        <v>5.6899400495995043E-3</v>
      </c>
      <c r="S60" s="1"/>
      <c r="T60" s="1">
        <f>SUM(OSRRefT22_8x_0)</f>
        <v>2070</v>
      </c>
      <c r="U60" s="1"/>
      <c r="V60" s="5">
        <f t="shared" si="33"/>
        <v>3.4586928480247023E-3</v>
      </c>
      <c r="W60" s="1"/>
      <c r="X60" s="1">
        <f t="shared" si="34"/>
        <v>-411.31999999999994</v>
      </c>
      <c r="Y60" s="1"/>
      <c r="Z60" s="5">
        <f t="shared" si="35"/>
        <v>-0.19870531400966179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6">
        <v>601.91999999999996</v>
      </c>
      <c r="E61" s="2"/>
      <c r="F61" s="7">
        <f t="shared" si="28"/>
        <v>2.7070227975105393E-3</v>
      </c>
      <c r="G61" s="2"/>
      <c r="H61" s="6">
        <v>690</v>
      </c>
      <c r="I61" s="2"/>
      <c r="J61" s="7">
        <f t="shared" si="29"/>
        <v>1.4854010905857862E-3</v>
      </c>
      <c r="K61" s="2"/>
      <c r="L61" s="6">
        <f t="shared" si="30"/>
        <v>-88.080000000000041</v>
      </c>
      <c r="M61" s="2"/>
      <c r="N61" s="7">
        <f t="shared" si="31"/>
        <v>-0.12765217391304354</v>
      </c>
      <c r="O61" s="11"/>
      <c r="P61" s="6">
        <v>1658.68</v>
      </c>
      <c r="Q61" s="2"/>
      <c r="R61" s="7">
        <f t="shared" si="32"/>
        <v>5.6899400495995043E-3</v>
      </c>
      <c r="S61" s="2"/>
      <c r="T61" s="6">
        <v>2070</v>
      </c>
      <c r="U61" s="2"/>
      <c r="V61" s="7">
        <f t="shared" si="33"/>
        <v>3.4586928480247023E-3</v>
      </c>
      <c r="W61" s="2"/>
      <c r="X61" s="6">
        <f t="shared" si="34"/>
        <v>-411.31999999999994</v>
      </c>
      <c r="Y61" s="2"/>
      <c r="Z61" s="7">
        <f t="shared" si="35"/>
        <v>-0.19870531400966179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1.65</v>
      </c>
      <c r="E62" s="1"/>
      <c r="F62" s="5">
        <f t="shared" si="28"/>
        <v>7.4205668791407324E-6</v>
      </c>
      <c r="G62" s="1"/>
      <c r="H62" s="1">
        <f>SUM(OSRRefH22_9x_0)</f>
        <v>430</v>
      </c>
      <c r="I62" s="1"/>
      <c r="J62" s="5">
        <f t="shared" si="29"/>
        <v>9.2568473761143197E-4</v>
      </c>
      <c r="K62" s="1"/>
      <c r="L62" s="1">
        <f t="shared" si="30"/>
        <v>-428.35</v>
      </c>
      <c r="M62" s="1"/>
      <c r="N62" s="5">
        <f t="shared" si="31"/>
        <v>-0.99616279069767444</v>
      </c>
      <c r="O62" s="14"/>
      <c r="P62" s="1">
        <f>SUM(OSRRefP22_9x_0)</f>
        <v>6380.95</v>
      </c>
      <c r="Q62" s="1"/>
      <c r="R62" s="5">
        <f t="shared" si="32"/>
        <v>2.1889226951245542E-2</v>
      </c>
      <c r="S62" s="1"/>
      <c r="T62" s="1">
        <f>SUM(OSRRefT22_9x_0)</f>
        <v>5710</v>
      </c>
      <c r="U62" s="1"/>
      <c r="V62" s="5">
        <f t="shared" si="33"/>
        <v>9.5406454889956759E-3</v>
      </c>
      <c r="W62" s="1"/>
      <c r="X62" s="1">
        <f t="shared" si="34"/>
        <v>670.94999999999982</v>
      </c>
      <c r="Y62" s="1"/>
      <c r="Z62" s="5">
        <f t="shared" si="35"/>
        <v>0.11750437828371275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6">
        <v>1.65</v>
      </c>
      <c r="E63" s="2"/>
      <c r="F63" s="7">
        <f t="shared" si="28"/>
        <v>7.4205668791407324E-6</v>
      </c>
      <c r="G63" s="2"/>
      <c r="H63" s="6">
        <v>430</v>
      </c>
      <c r="I63" s="2"/>
      <c r="J63" s="7">
        <f t="shared" si="29"/>
        <v>9.2568473761143197E-4</v>
      </c>
      <c r="K63" s="2"/>
      <c r="L63" s="6">
        <f t="shared" si="30"/>
        <v>-428.35</v>
      </c>
      <c r="M63" s="2"/>
      <c r="N63" s="7">
        <f t="shared" si="31"/>
        <v>-0.99616279069767444</v>
      </c>
      <c r="O63" s="11"/>
      <c r="P63" s="6">
        <v>6380.95</v>
      </c>
      <c r="Q63" s="2"/>
      <c r="R63" s="7">
        <f t="shared" si="32"/>
        <v>2.1889226951245542E-2</v>
      </c>
      <c r="S63" s="2"/>
      <c r="T63" s="6">
        <v>5710</v>
      </c>
      <c r="U63" s="2"/>
      <c r="V63" s="7">
        <f t="shared" si="33"/>
        <v>9.5406454889956759E-3</v>
      </c>
      <c r="W63" s="2"/>
      <c r="X63" s="6">
        <f t="shared" si="34"/>
        <v>670.94999999999982</v>
      </c>
      <c r="Y63" s="2"/>
      <c r="Z63" s="7">
        <f t="shared" si="35"/>
        <v>0.11750437828371275</v>
      </c>
    </row>
    <row r="64" spans="1:26" s="28" customFormat="1" outlineLevel="1" collapsed="1" x14ac:dyDescent="0.25">
      <c r="A64" s="27"/>
      <c r="B64" s="14" t="str">
        <f>CONCATENATE("     ","Insurance                                         ")</f>
        <v xml:space="preserve">     Insurance                                         </v>
      </c>
      <c r="C64" s="14"/>
      <c r="D64" s="1">
        <f>SUM(OSRRefD22_10x_0)</f>
        <v>5.9</v>
      </c>
      <c r="E64" s="1"/>
      <c r="F64" s="5">
        <f t="shared" si="28"/>
        <v>2.6534148234503228E-5</v>
      </c>
      <c r="G64" s="1"/>
      <c r="H64" s="1">
        <f>SUM(OSRRefH22_10x_0)</f>
        <v>7</v>
      </c>
      <c r="I64" s="1"/>
      <c r="J64" s="5">
        <f t="shared" si="29"/>
        <v>1.5069286426232613E-5</v>
      </c>
      <c r="K64" s="1"/>
      <c r="L64" s="1">
        <f t="shared" si="30"/>
        <v>-1.0999999999999996</v>
      </c>
      <c r="M64" s="1"/>
      <c r="N64" s="5">
        <f t="shared" si="31"/>
        <v>-0.15714285714285708</v>
      </c>
      <c r="O64" s="14"/>
      <c r="P64" s="1">
        <f>SUM(OSRRefP22_10x_0)</f>
        <v>17.7</v>
      </c>
      <c r="Q64" s="1"/>
      <c r="R64" s="5">
        <f t="shared" si="32"/>
        <v>6.0718124579732812E-5</v>
      </c>
      <c r="S64" s="1"/>
      <c r="T64" s="1">
        <f>SUM(OSRRefT22_10x_0)</f>
        <v>21</v>
      </c>
      <c r="U64" s="1"/>
      <c r="V64" s="5">
        <f t="shared" si="33"/>
        <v>3.5088188313294076E-5</v>
      </c>
      <c r="W64" s="1"/>
      <c r="X64" s="1">
        <f t="shared" si="34"/>
        <v>-3.3000000000000007</v>
      </c>
      <c r="Y64" s="1"/>
      <c r="Z64" s="5">
        <f t="shared" si="35"/>
        <v>-0.15714285714285717</v>
      </c>
    </row>
    <row r="65" spans="1:26" s="24" customFormat="1" hidden="1" outlineLevel="2" x14ac:dyDescent="0.25">
      <c r="A65" s="29"/>
      <c r="B65" s="11" t="str">
        <f>CONCATENATE("          ", "6314", " - ", "LIABILITY INSURANCE")</f>
        <v xml:space="preserve">          6314 - LIABILITY INSURANCE</v>
      </c>
      <c r="C65" s="11"/>
      <c r="D65" s="6">
        <v>5.9</v>
      </c>
      <c r="E65" s="2"/>
      <c r="F65" s="7">
        <f t="shared" si="28"/>
        <v>2.6534148234503228E-5</v>
      </c>
      <c r="G65" s="2"/>
      <c r="H65" s="6">
        <v>7</v>
      </c>
      <c r="I65" s="2"/>
      <c r="J65" s="7">
        <f t="shared" si="29"/>
        <v>1.5069286426232613E-5</v>
      </c>
      <c r="K65" s="2"/>
      <c r="L65" s="6">
        <f t="shared" si="30"/>
        <v>-1.0999999999999996</v>
      </c>
      <c r="M65" s="2"/>
      <c r="N65" s="7">
        <f t="shared" si="31"/>
        <v>-0.15714285714285708</v>
      </c>
      <c r="O65" s="11"/>
      <c r="P65" s="6">
        <v>17.7</v>
      </c>
      <c r="Q65" s="2"/>
      <c r="R65" s="7">
        <f t="shared" si="32"/>
        <v>6.0718124579732812E-5</v>
      </c>
      <c r="S65" s="2"/>
      <c r="T65" s="6">
        <v>21</v>
      </c>
      <c r="U65" s="2"/>
      <c r="V65" s="7">
        <f t="shared" si="33"/>
        <v>3.5088188313294076E-5</v>
      </c>
      <c r="W65" s="2"/>
      <c r="X65" s="6">
        <f t="shared" si="34"/>
        <v>-3.3000000000000007</v>
      </c>
      <c r="Y65" s="2"/>
      <c r="Z65" s="7">
        <f t="shared" si="35"/>
        <v>-0.15714285714285717</v>
      </c>
    </row>
    <row r="66" spans="1:26" s="28" customFormat="1" outlineLevel="1" collapsed="1" x14ac:dyDescent="0.25">
      <c r="A66" s="27"/>
      <c r="B66" s="14" t="str">
        <f>CONCATENATE("     ","R/H Commissions                                   ")</f>
        <v xml:space="preserve">     R/H Commissions                                   </v>
      </c>
      <c r="C66" s="14"/>
      <c r="D66" s="1">
        <f>SUM(OSRRefD22_11x_0)</f>
        <v>11792.03</v>
      </c>
      <c r="E66" s="1"/>
      <c r="F66" s="5">
        <f t="shared" si="28"/>
        <v>5.3032452882323576E-2</v>
      </c>
      <c r="G66" s="1"/>
      <c r="H66" s="1">
        <f>SUM(OSRRefH22_11x_0)</f>
        <v>37161</v>
      </c>
      <c r="I66" s="1"/>
      <c r="J66" s="5">
        <f t="shared" si="29"/>
        <v>7.9998536126461448E-2</v>
      </c>
      <c r="K66" s="1"/>
      <c r="L66" s="1">
        <f t="shared" si="30"/>
        <v>-25368.97</v>
      </c>
      <c r="M66" s="1"/>
      <c r="N66" s="5">
        <f t="shared" si="31"/>
        <v>-0.68267726918005434</v>
      </c>
      <c r="O66" s="14"/>
      <c r="P66" s="1">
        <f>SUM(OSRRefP22_11x_0)</f>
        <v>16477.52</v>
      </c>
      <c r="Q66" s="1"/>
      <c r="R66" s="5">
        <f t="shared" si="32"/>
        <v>5.6524526108759271E-2</v>
      </c>
      <c r="S66" s="1"/>
      <c r="T66" s="1">
        <f>SUM(OSRRefT22_11x_0)</f>
        <v>47879</v>
      </c>
      <c r="U66" s="1"/>
      <c r="V66" s="5">
        <f t="shared" si="33"/>
        <v>7.9999398488200341E-2</v>
      </c>
      <c r="W66" s="1"/>
      <c r="X66" s="1">
        <f t="shared" si="34"/>
        <v>-31401.48</v>
      </c>
      <c r="Y66" s="1"/>
      <c r="Z66" s="5">
        <f t="shared" si="35"/>
        <v>-0.65585079053447226</v>
      </c>
    </row>
    <row r="67" spans="1:26" s="24" customFormat="1" hidden="1" outlineLevel="2" x14ac:dyDescent="0.25">
      <c r="A67" s="29"/>
      <c r="B67" s="11" t="str">
        <f>CONCATENATE("          ", "6387", " - ", "COMMISSION DUE HOUSING")</f>
        <v xml:space="preserve">          6387 - COMMISSION DUE HOUSING</v>
      </c>
      <c r="C67" s="11"/>
      <c r="D67" s="6">
        <v>11792.03</v>
      </c>
      <c r="E67" s="2"/>
      <c r="F67" s="7">
        <f t="shared" si="28"/>
        <v>5.3032452882323576E-2</v>
      </c>
      <c r="G67" s="2"/>
      <c r="H67" s="6">
        <v>37161</v>
      </c>
      <c r="I67" s="2"/>
      <c r="J67" s="7">
        <f t="shared" si="29"/>
        <v>7.9998536126461448E-2</v>
      </c>
      <c r="K67" s="2"/>
      <c r="L67" s="6">
        <f t="shared" si="30"/>
        <v>-25368.97</v>
      </c>
      <c r="M67" s="2"/>
      <c r="N67" s="7">
        <f t="shared" si="31"/>
        <v>-0.68267726918005434</v>
      </c>
      <c r="O67" s="11"/>
      <c r="P67" s="6">
        <v>16477.52</v>
      </c>
      <c r="Q67" s="2"/>
      <c r="R67" s="7">
        <f t="shared" si="32"/>
        <v>5.6524526108759271E-2</v>
      </c>
      <c r="S67" s="2"/>
      <c r="T67" s="6">
        <v>47879</v>
      </c>
      <c r="U67" s="2"/>
      <c r="V67" s="7">
        <f t="shared" si="33"/>
        <v>7.9999398488200341E-2</v>
      </c>
      <c r="W67" s="2"/>
      <c r="X67" s="6">
        <f t="shared" si="34"/>
        <v>-31401.48</v>
      </c>
      <c r="Y67" s="2"/>
      <c r="Z67" s="7">
        <f t="shared" si="35"/>
        <v>-0.65585079053447226</v>
      </c>
    </row>
    <row r="68" spans="1:26" s="28" customFormat="1" outlineLevel="1" collapsed="1" x14ac:dyDescent="0.25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SUM(OSRRefD22_12x_0)</f>
        <v>438.18</v>
      </c>
      <c r="E68" s="1"/>
      <c r="F68" s="5">
        <f t="shared" si="28"/>
        <v>1.9706327243041734E-3</v>
      </c>
      <c r="G68" s="1"/>
      <c r="H68" s="1">
        <f>SUM(OSRRefH22_12x_0)</f>
        <v>508</v>
      </c>
      <c r="I68" s="1"/>
      <c r="J68" s="5">
        <f t="shared" si="29"/>
        <v>1.0935996435037384E-3</v>
      </c>
      <c r="K68" s="1"/>
      <c r="L68" s="1">
        <f t="shared" si="30"/>
        <v>-69.819999999999993</v>
      </c>
      <c r="M68" s="1"/>
      <c r="N68" s="5">
        <f t="shared" si="31"/>
        <v>-0.13744094488188974</v>
      </c>
      <c r="O68" s="14"/>
      <c r="P68" s="1">
        <f>SUM(OSRRefP22_12x_0)</f>
        <v>2913.48</v>
      </c>
      <c r="Q68" s="1"/>
      <c r="R68" s="5">
        <f t="shared" si="32"/>
        <v>9.9944091299751393E-3</v>
      </c>
      <c r="S68" s="1"/>
      <c r="T68" s="1">
        <f>SUM(OSRRefT22_12x_0)</f>
        <v>6407</v>
      </c>
      <c r="U68" s="1"/>
      <c r="V68" s="5">
        <f t="shared" si="33"/>
        <v>1.0705239167775008E-2</v>
      </c>
      <c r="W68" s="1"/>
      <c r="X68" s="1">
        <f t="shared" si="34"/>
        <v>-3493.52</v>
      </c>
      <c r="Y68" s="1"/>
      <c r="Z68" s="5">
        <f t="shared" si="35"/>
        <v>-0.5452661151865148</v>
      </c>
    </row>
    <row r="69" spans="1:26" s="24" customFormat="1" hidden="1" outlineLevel="2" x14ac:dyDescent="0.25">
      <c r="A69" s="29"/>
      <c r="B69" s="11" t="str">
        <f>CONCATENATE("          ", "6372", " - ", "COMPUTER HARDWARE MAINTENANCE")</f>
        <v xml:space="preserve">          6372 - COMPUTER HARDWARE MAINTENANCE</v>
      </c>
      <c r="C69" s="11"/>
      <c r="D69" s="6"/>
      <c r="E69" s="2"/>
      <c r="F69" s="7">
        <f t="shared" si="28"/>
        <v>0</v>
      </c>
      <c r="G69" s="2"/>
      <c r="H69" s="6"/>
      <c r="I69" s="2"/>
      <c r="J69" s="7">
        <f t="shared" si="29"/>
        <v>0</v>
      </c>
      <c r="K69" s="2"/>
      <c r="L69" s="6">
        <f t="shared" si="30"/>
        <v>0</v>
      </c>
      <c r="M69" s="2"/>
      <c r="N69" s="7">
        <f t="shared" si="31"/>
        <v>0</v>
      </c>
      <c r="O69" s="11"/>
      <c r="P69" s="6"/>
      <c r="Q69" s="2"/>
      <c r="R69" s="7">
        <f t="shared" si="32"/>
        <v>0</v>
      </c>
      <c r="S69" s="2"/>
      <c r="T69" s="6">
        <v>3083</v>
      </c>
      <c r="U69" s="2"/>
      <c r="V69" s="7">
        <f t="shared" si="33"/>
        <v>5.1512802176136019E-3</v>
      </c>
      <c r="W69" s="2"/>
      <c r="X69" s="6">
        <f t="shared" si="34"/>
        <v>-3083</v>
      </c>
      <c r="Y69" s="2"/>
      <c r="Z69" s="7">
        <f t="shared" si="35"/>
        <v>-1</v>
      </c>
    </row>
    <row r="70" spans="1:26" s="24" customFormat="1" hidden="1" outlineLevel="2" x14ac:dyDescent="0.25">
      <c r="A70" s="29"/>
      <c r="B70" s="11" t="str">
        <f>CONCATENATE("          ", "6373", " - ", "MAINTENANCE CONTRACTS")</f>
        <v xml:space="preserve">          6373 - MAINTENANCE CONTRACTS</v>
      </c>
      <c r="C70" s="11"/>
      <c r="D70" s="6">
        <v>233.18</v>
      </c>
      <c r="E70" s="2"/>
      <c r="F70" s="7">
        <f t="shared" si="28"/>
        <v>1.0486835059866887E-3</v>
      </c>
      <c r="G70" s="2"/>
      <c r="H70" s="6">
        <v>58</v>
      </c>
      <c r="I70" s="2"/>
      <c r="J70" s="7">
        <f t="shared" si="29"/>
        <v>1.2485980181735595E-4</v>
      </c>
      <c r="K70" s="2"/>
      <c r="L70" s="6">
        <f t="shared" si="30"/>
        <v>175.18</v>
      </c>
      <c r="M70" s="2"/>
      <c r="N70" s="7">
        <f t="shared" si="31"/>
        <v>3.0203448275862068</v>
      </c>
      <c r="O70" s="11"/>
      <c r="P70" s="6">
        <v>2708.48</v>
      </c>
      <c r="Q70" s="2"/>
      <c r="R70" s="7">
        <f t="shared" si="32"/>
        <v>9.2911766136562005E-3</v>
      </c>
      <c r="S70" s="2"/>
      <c r="T70" s="6">
        <v>1974</v>
      </c>
      <c r="U70" s="2"/>
      <c r="V70" s="7">
        <f t="shared" si="33"/>
        <v>3.2982897014496434E-3</v>
      </c>
      <c r="W70" s="2"/>
      <c r="X70" s="6">
        <f t="shared" si="34"/>
        <v>734.48</v>
      </c>
      <c r="Y70" s="2"/>
      <c r="Z70" s="7">
        <f t="shared" si="35"/>
        <v>0.37207700101317126</v>
      </c>
    </row>
    <row r="71" spans="1:26" s="24" customFormat="1" hidden="1" outlineLevel="2" x14ac:dyDescent="0.25">
      <c r="A71" s="29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205</v>
      </c>
      <c r="E71" s="2"/>
      <c r="F71" s="7">
        <f t="shared" si="28"/>
        <v>9.21949218317485E-4</v>
      </c>
      <c r="G71" s="2"/>
      <c r="H71" s="6">
        <v>450</v>
      </c>
      <c r="I71" s="2"/>
      <c r="J71" s="7">
        <f t="shared" si="29"/>
        <v>9.687398416863823E-4</v>
      </c>
      <c r="K71" s="2"/>
      <c r="L71" s="6">
        <f t="shared" si="30"/>
        <v>-245</v>
      </c>
      <c r="M71" s="2"/>
      <c r="N71" s="7">
        <f t="shared" si="31"/>
        <v>-0.5444444444444444</v>
      </c>
      <c r="O71" s="11"/>
      <c r="P71" s="6">
        <v>205</v>
      </c>
      <c r="Q71" s="2"/>
      <c r="R71" s="7">
        <f t="shared" si="32"/>
        <v>7.0323251631893935E-4</v>
      </c>
      <c r="S71" s="2"/>
      <c r="T71" s="6">
        <v>1350</v>
      </c>
      <c r="U71" s="2"/>
      <c r="V71" s="7">
        <f t="shared" si="33"/>
        <v>2.2556692487117622E-3</v>
      </c>
      <c r="W71" s="2"/>
      <c r="X71" s="6">
        <f t="shared" si="34"/>
        <v>-1145</v>
      </c>
      <c r="Y71" s="2"/>
      <c r="Z71" s="7">
        <f t="shared" si="35"/>
        <v>-0.8481481481481481</v>
      </c>
    </row>
    <row r="72" spans="1:26" s="28" customFormat="1" outlineLevel="1" collapsed="1" x14ac:dyDescent="0.25">
      <c r="A72" s="27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SUM(OSRRefD22_13x_0)</f>
        <v>13181.349999999999</v>
      </c>
      <c r="E72" s="1"/>
      <c r="F72" s="5">
        <f t="shared" ref="F72:F76" si="36">IF(D$12=0,0,D72/D$12)</f>
        <v>5.9280660140825267E-2</v>
      </c>
      <c r="G72" s="1"/>
      <c r="H72" s="1">
        <f>SUM(OSRRefH22_13x_0)</f>
        <v>19075</v>
      </c>
      <c r="I72" s="1"/>
      <c r="J72" s="5">
        <f t="shared" ref="J72:J76" si="37">IF(H$12=0,0,H72/H$12)</f>
        <v>4.1063805511483871E-2</v>
      </c>
      <c r="K72" s="1"/>
      <c r="L72" s="1">
        <f t="shared" ref="L72:L76" si="38">+D72-H72</f>
        <v>-5893.6500000000015</v>
      </c>
      <c r="M72" s="1"/>
      <c r="N72" s="5">
        <f t="shared" ref="N72:N76" si="39">IF(H72=0,0,L72/H72)</f>
        <v>-0.30897247706422026</v>
      </c>
      <c r="O72" s="14"/>
      <c r="P72" s="1">
        <f>SUM(OSRRefP22_13x_0)</f>
        <v>31766.25</v>
      </c>
      <c r="Q72" s="1"/>
      <c r="R72" s="5">
        <f t="shared" ref="R72:R76" si="40">IF(P$12=0,0,P72/P$12)</f>
        <v>0.1089710240073976</v>
      </c>
      <c r="S72" s="1"/>
      <c r="T72" s="1">
        <f>SUM(OSRRefT22_13x_0)</f>
        <v>57225</v>
      </c>
      <c r="U72" s="1"/>
      <c r="V72" s="5">
        <f t="shared" ref="V72:V76" si="41">IF(T$12=0,0,T72/T$12)</f>
        <v>9.5615313153726372E-2</v>
      </c>
      <c r="W72" s="1"/>
      <c r="X72" s="1">
        <f t="shared" ref="X72:X76" si="42">+P72-T72</f>
        <v>-25458.75</v>
      </c>
      <c r="Y72" s="1"/>
      <c r="Z72" s="5">
        <f t="shared" ref="Z72:Z76" si="43">IF(T72=0,0,X72/T72)</f>
        <v>-0.44488859764089123</v>
      </c>
    </row>
    <row r="73" spans="1:26" s="24" customFormat="1" hidden="1" outlineLevel="2" x14ac:dyDescent="0.25">
      <c r="A73" s="29"/>
      <c r="B73" s="11" t="str">
        <f>CONCATENATE("          ", "6282", " - ", "JANITORIAL/EXTERMINATOR EXPENS")</f>
        <v xml:space="preserve">          6282 - JANITORIAL/EXTERMINATOR EXPENS</v>
      </c>
      <c r="C73" s="11"/>
      <c r="D73" s="6"/>
      <c r="E73" s="2"/>
      <c r="F73" s="7">
        <f t="shared" si="36"/>
        <v>0</v>
      </c>
      <c r="G73" s="2"/>
      <c r="H73" s="6">
        <v>1750</v>
      </c>
      <c r="I73" s="2"/>
      <c r="J73" s="7">
        <f t="shared" si="37"/>
        <v>3.7673216065581537E-3</v>
      </c>
      <c r="K73" s="2"/>
      <c r="L73" s="6">
        <f t="shared" si="38"/>
        <v>-1750</v>
      </c>
      <c r="M73" s="2"/>
      <c r="N73" s="7">
        <f t="shared" si="39"/>
        <v>-1</v>
      </c>
      <c r="O73" s="11"/>
      <c r="P73" s="6">
        <v>2132.11</v>
      </c>
      <c r="Q73" s="2"/>
      <c r="R73" s="7">
        <f t="shared" si="40"/>
        <v>7.3139955139940194E-3</v>
      </c>
      <c r="S73" s="2"/>
      <c r="T73" s="6">
        <v>5250</v>
      </c>
      <c r="U73" s="2"/>
      <c r="V73" s="7">
        <f t="shared" si="41"/>
        <v>8.7720470783235194E-3</v>
      </c>
      <c r="W73" s="2"/>
      <c r="X73" s="6">
        <f t="shared" si="42"/>
        <v>-3117.89</v>
      </c>
      <c r="Y73" s="2"/>
      <c r="Z73" s="7">
        <f t="shared" si="43"/>
        <v>-0.59388380952380948</v>
      </c>
    </row>
    <row r="74" spans="1:26" s="24" customFormat="1" hidden="1" outlineLevel="2" x14ac:dyDescent="0.25">
      <c r="A74" s="29"/>
      <c r="B74" s="11" t="str">
        <f>CONCATENATE("          ", "6284", " - ", "TRASH REMOVAL EXPENSE")</f>
        <v xml:space="preserve">          6284 - TRASH REMOVAL EXPENSE</v>
      </c>
      <c r="C74" s="11"/>
      <c r="D74" s="6"/>
      <c r="E74" s="2"/>
      <c r="F74" s="7">
        <f t="shared" si="36"/>
        <v>0</v>
      </c>
      <c r="G74" s="2"/>
      <c r="H74" s="6">
        <v>500</v>
      </c>
      <c r="I74" s="2"/>
      <c r="J74" s="7">
        <f t="shared" si="37"/>
        <v>1.0763776018737582E-3</v>
      </c>
      <c r="K74" s="2"/>
      <c r="L74" s="6">
        <f t="shared" si="38"/>
        <v>-500</v>
      </c>
      <c r="M74" s="2"/>
      <c r="N74" s="7">
        <f t="shared" si="39"/>
        <v>-1</v>
      </c>
      <c r="O74" s="11"/>
      <c r="P74" s="6"/>
      <c r="Q74" s="2"/>
      <c r="R74" s="7">
        <f t="shared" si="40"/>
        <v>0</v>
      </c>
      <c r="S74" s="2"/>
      <c r="T74" s="6">
        <v>1500</v>
      </c>
      <c r="U74" s="2"/>
      <c r="V74" s="7">
        <f t="shared" si="41"/>
        <v>2.5062991652352912E-3</v>
      </c>
      <c r="W74" s="2"/>
      <c r="X74" s="6">
        <f t="shared" si="42"/>
        <v>-1500</v>
      </c>
      <c r="Y74" s="2"/>
      <c r="Z74" s="7">
        <f t="shared" si="43"/>
        <v>-1</v>
      </c>
    </row>
    <row r="75" spans="1:26" s="24" customFormat="1" hidden="1" outlineLevel="2" x14ac:dyDescent="0.25">
      <c r="A75" s="29"/>
      <c r="B75" s="11" t="str">
        <f>CONCATENATE("          ", "6285", " - ", "JANITORIAL SERVICES")</f>
        <v xml:space="preserve">          6285 - JANITORIAL SERVICES</v>
      </c>
      <c r="C75" s="11"/>
      <c r="D75" s="6">
        <v>11777.38</v>
      </c>
      <c r="E75" s="2"/>
      <c r="F75" s="7">
        <f t="shared" si="36"/>
        <v>5.2966567243063326E-2</v>
      </c>
      <c r="G75" s="2"/>
      <c r="H75" s="6">
        <v>12325</v>
      </c>
      <c r="I75" s="2"/>
      <c r="J75" s="7">
        <f t="shared" si="37"/>
        <v>2.6532707886188139E-2</v>
      </c>
      <c r="K75" s="2"/>
      <c r="L75" s="6">
        <f t="shared" si="38"/>
        <v>-547.6200000000008</v>
      </c>
      <c r="M75" s="2"/>
      <c r="N75" s="7">
        <f t="shared" si="39"/>
        <v>-4.4431643002028461E-2</v>
      </c>
      <c r="O75" s="11"/>
      <c r="P75" s="6">
        <v>24248.53</v>
      </c>
      <c r="Q75" s="2"/>
      <c r="R75" s="7">
        <f t="shared" si="40"/>
        <v>8.3182218385050202E-2</v>
      </c>
      <c r="S75" s="2"/>
      <c r="T75" s="6">
        <v>36975</v>
      </c>
      <c r="U75" s="2"/>
      <c r="V75" s="7">
        <f t="shared" si="41"/>
        <v>6.1780274423049931E-2</v>
      </c>
      <c r="W75" s="2"/>
      <c r="X75" s="6">
        <f t="shared" si="42"/>
        <v>-12726.470000000001</v>
      </c>
      <c r="Y75" s="2"/>
      <c r="Z75" s="7">
        <f t="shared" si="43"/>
        <v>-0.34419121027721439</v>
      </c>
    </row>
    <row r="76" spans="1:26" s="24" customFormat="1" hidden="1" outlineLevel="2" x14ac:dyDescent="0.25">
      <c r="A76" s="29"/>
      <c r="B76" s="11" t="str">
        <f>CONCATENATE("          ", "6286", " - ", "LAUNDRY EXPENSE")</f>
        <v xml:space="preserve">          6286 - LAUNDRY EXPENSE</v>
      </c>
      <c r="C76" s="11"/>
      <c r="D76" s="6">
        <v>1403.97</v>
      </c>
      <c r="E76" s="2"/>
      <c r="F76" s="7">
        <f t="shared" si="36"/>
        <v>6.3140928977619484E-3</v>
      </c>
      <c r="G76" s="2"/>
      <c r="H76" s="6">
        <v>4500</v>
      </c>
      <c r="I76" s="2"/>
      <c r="J76" s="7">
        <f t="shared" si="37"/>
        <v>9.6873984168638228E-3</v>
      </c>
      <c r="K76" s="2"/>
      <c r="L76" s="6">
        <f t="shared" si="38"/>
        <v>-3096.0299999999997</v>
      </c>
      <c r="M76" s="2"/>
      <c r="N76" s="7">
        <f t="shared" si="39"/>
        <v>-0.68800666666666666</v>
      </c>
      <c r="O76" s="11"/>
      <c r="P76" s="6">
        <v>5385.61</v>
      </c>
      <c r="Q76" s="2"/>
      <c r="R76" s="7">
        <f t="shared" si="40"/>
        <v>1.847481010835338E-2</v>
      </c>
      <c r="S76" s="2"/>
      <c r="T76" s="6">
        <v>13500</v>
      </c>
      <c r="U76" s="2"/>
      <c r="V76" s="7">
        <f t="shared" si="41"/>
        <v>2.2556692487117624E-2</v>
      </c>
      <c r="W76" s="2"/>
      <c r="X76" s="6">
        <f t="shared" si="42"/>
        <v>-8114.39</v>
      </c>
      <c r="Y76" s="2"/>
      <c r="Z76" s="7">
        <f t="shared" si="43"/>
        <v>-0.601065925925926</v>
      </c>
    </row>
    <row r="77" spans="1:26" s="28" customFormat="1" outlineLevel="1" collapsed="1" x14ac:dyDescent="0.25">
      <c r="A77" s="27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SUM(OSRRefD22_14x_0)</f>
        <v>9027.9900000000016</v>
      </c>
      <c r="E77" s="1"/>
      <c r="F77" s="5">
        <f t="shared" ref="F77:F87" si="44">IF(D$12=0,0,D77/D$12)</f>
        <v>4.0601699138917431E-2</v>
      </c>
      <c r="G77" s="1"/>
      <c r="H77" s="1">
        <f>SUM(OSRRefH22_14x_0)</f>
        <v>25888</v>
      </c>
      <c r="I77" s="1"/>
      <c r="J77" s="5">
        <f t="shared" ref="J77:J87" si="45">IF(H$12=0,0,H77/H$12)</f>
        <v>5.5730526714615702E-2</v>
      </c>
      <c r="K77" s="1"/>
      <c r="L77" s="1">
        <f t="shared" ref="L77:L87" si="46">+D77-H77</f>
        <v>-16860.009999999998</v>
      </c>
      <c r="M77" s="1"/>
      <c r="N77" s="5">
        <f t="shared" ref="N77:N87" si="47">IF(H77=0,0,L77/H77)</f>
        <v>-0.6512673825710753</v>
      </c>
      <c r="O77" s="14"/>
      <c r="P77" s="1">
        <f>SUM(OSRRefP22_14x_0)</f>
        <v>35034.22</v>
      </c>
      <c r="Q77" s="1"/>
      <c r="R77" s="5">
        <f t="shared" ref="R77:R87" si="48">IF(P$12=0,0,P77/P$12)</f>
        <v>0.12018147652620152</v>
      </c>
      <c r="S77" s="1"/>
      <c r="T77" s="1">
        <f>SUM(OSRRefT22_14x_0)</f>
        <v>69486</v>
      </c>
      <c r="U77" s="1"/>
      <c r="V77" s="5">
        <f t="shared" ref="V77:V87" si="49">IF(T$12=0,0,T77/T$12)</f>
        <v>0.11610180253035964</v>
      </c>
      <c r="W77" s="1"/>
      <c r="X77" s="1">
        <f t="shared" ref="X77:X87" si="50">+P77-T77</f>
        <v>-34451.78</v>
      </c>
      <c r="Y77" s="1"/>
      <c r="Z77" s="5">
        <f t="shared" ref="Z77:Z87" si="51">IF(T77=0,0,X77/T77)</f>
        <v>-0.49580893993034564</v>
      </c>
    </row>
    <row r="78" spans="1:26" s="24" customFormat="1" hidden="1" outlineLevel="2" x14ac:dyDescent="0.25">
      <c r="A78" s="29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44"/>
        <v>0</v>
      </c>
      <c r="G78" s="2"/>
      <c r="H78" s="6">
        <v>100</v>
      </c>
      <c r="I78" s="2"/>
      <c r="J78" s="7">
        <f t="shared" si="45"/>
        <v>2.1527552037475163E-4</v>
      </c>
      <c r="K78" s="2"/>
      <c r="L78" s="6">
        <f t="shared" si="46"/>
        <v>-100</v>
      </c>
      <c r="M78" s="2"/>
      <c r="N78" s="7">
        <f t="shared" si="47"/>
        <v>-1</v>
      </c>
      <c r="O78" s="11"/>
      <c r="P78" s="6"/>
      <c r="Q78" s="2"/>
      <c r="R78" s="7">
        <f t="shared" si="48"/>
        <v>0</v>
      </c>
      <c r="S78" s="2"/>
      <c r="T78" s="6">
        <v>300</v>
      </c>
      <c r="U78" s="2"/>
      <c r="V78" s="7">
        <f t="shared" si="49"/>
        <v>5.012598330470583E-4</v>
      </c>
      <c r="W78" s="2"/>
      <c r="X78" s="6">
        <f t="shared" si="50"/>
        <v>-300</v>
      </c>
      <c r="Y78" s="2"/>
      <c r="Z78" s="7">
        <f t="shared" si="51"/>
        <v>-1</v>
      </c>
    </row>
    <row r="79" spans="1:26" s="24" customFormat="1" hidden="1" outlineLevel="2" x14ac:dyDescent="0.25">
      <c r="A79" s="29"/>
      <c r="B79" s="11" t="str">
        <f>CONCATENATE("          ", "6235", " - ", "COVID-19 EXPENSES")</f>
        <v xml:space="preserve">          6235 - COVID-19 EXPENSES</v>
      </c>
      <c r="C79" s="11"/>
      <c r="D79" s="6">
        <v>3917.37</v>
      </c>
      <c r="E79" s="2"/>
      <c r="F79" s="7">
        <f t="shared" si="44"/>
        <v>1.7617640045660323E-2</v>
      </c>
      <c r="G79" s="2"/>
      <c r="H79" s="6">
        <v>12200</v>
      </c>
      <c r="I79" s="2"/>
      <c r="J79" s="7">
        <f t="shared" si="45"/>
        <v>2.6263613485719699E-2</v>
      </c>
      <c r="K79" s="2"/>
      <c r="L79" s="6">
        <f t="shared" si="46"/>
        <v>-8282.630000000001</v>
      </c>
      <c r="M79" s="2"/>
      <c r="N79" s="7">
        <f t="shared" si="47"/>
        <v>-0.67890409836065579</v>
      </c>
      <c r="O79" s="11"/>
      <c r="P79" s="6">
        <v>17591.099999999999</v>
      </c>
      <c r="Q79" s="2"/>
      <c r="R79" s="7">
        <f t="shared" si="48"/>
        <v>6.0344553745454117E-2</v>
      </c>
      <c r="S79" s="2"/>
      <c r="T79" s="6">
        <v>29600</v>
      </c>
      <c r="U79" s="2"/>
      <c r="V79" s="7">
        <f t="shared" si="49"/>
        <v>4.9457636860643084E-2</v>
      </c>
      <c r="W79" s="2"/>
      <c r="X79" s="6">
        <f t="shared" si="50"/>
        <v>-12008.900000000001</v>
      </c>
      <c r="Y79" s="2"/>
      <c r="Z79" s="7">
        <f t="shared" si="51"/>
        <v>-0.40570608108108114</v>
      </c>
    </row>
    <row r="80" spans="1:26" s="24" customFormat="1" hidden="1" outlineLevel="2" x14ac:dyDescent="0.25">
      <c r="A80" s="29"/>
      <c r="B80" s="11" t="str">
        <f>CONCATENATE("          ", "6237", " - ", "JANITORIAL SUPPLIES")</f>
        <v xml:space="preserve">          6237 - JANITORIAL SUPPLIES</v>
      </c>
      <c r="C80" s="11"/>
      <c r="D80" s="6">
        <v>3488.76</v>
      </c>
      <c r="E80" s="2"/>
      <c r="F80" s="7">
        <f t="shared" si="44"/>
        <v>1.5690046609255166E-2</v>
      </c>
      <c r="G80" s="2"/>
      <c r="H80" s="6">
        <v>9000</v>
      </c>
      <c r="I80" s="2"/>
      <c r="J80" s="7">
        <f t="shared" si="45"/>
        <v>1.9374796833727646E-2</v>
      </c>
      <c r="K80" s="2"/>
      <c r="L80" s="6">
        <f t="shared" si="46"/>
        <v>-5511.24</v>
      </c>
      <c r="M80" s="2"/>
      <c r="N80" s="7">
        <f t="shared" si="47"/>
        <v>-0.61236000000000002</v>
      </c>
      <c r="O80" s="11"/>
      <c r="P80" s="6">
        <v>6093.71</v>
      </c>
      <c r="Q80" s="2"/>
      <c r="R80" s="7">
        <f t="shared" si="48"/>
        <v>2.0903878131794555E-2</v>
      </c>
      <c r="S80" s="2"/>
      <c r="T80" s="6">
        <v>23000</v>
      </c>
      <c r="U80" s="2"/>
      <c r="V80" s="7">
        <f t="shared" si="49"/>
        <v>3.8429920533607803E-2</v>
      </c>
      <c r="W80" s="2"/>
      <c r="X80" s="6">
        <f t="shared" si="50"/>
        <v>-16906.29</v>
      </c>
      <c r="Y80" s="2"/>
      <c r="Z80" s="7">
        <f t="shared" si="51"/>
        <v>-0.7350560869565218</v>
      </c>
    </row>
    <row r="81" spans="1:26" s="24" customFormat="1" hidden="1" outlineLevel="2" x14ac:dyDescent="0.25">
      <c r="A81" s="29"/>
      <c r="B81" s="11" t="str">
        <f>CONCATENATE("          ", "6239", " - ", "KITCHEN SUPPLIES")</f>
        <v xml:space="preserve">          6239 - KITCHEN SUPPLIES</v>
      </c>
      <c r="C81" s="11"/>
      <c r="D81" s="6">
        <v>553.01</v>
      </c>
      <c r="E81" s="2"/>
      <c r="F81" s="7">
        <f t="shared" si="44"/>
        <v>2.4870592059597677E-3</v>
      </c>
      <c r="G81" s="2"/>
      <c r="H81" s="6">
        <v>2300</v>
      </c>
      <c r="I81" s="2"/>
      <c r="J81" s="7">
        <f t="shared" si="45"/>
        <v>4.951336968619287E-3</v>
      </c>
      <c r="K81" s="2"/>
      <c r="L81" s="6">
        <f t="shared" si="46"/>
        <v>-1746.99</v>
      </c>
      <c r="M81" s="2"/>
      <c r="N81" s="7">
        <f t="shared" si="47"/>
        <v>-0.7595608695652174</v>
      </c>
      <c r="O81" s="11"/>
      <c r="P81" s="6">
        <v>2927.32</v>
      </c>
      <c r="Q81" s="2"/>
      <c r="R81" s="7">
        <f t="shared" si="48"/>
        <v>1.0041885900832964E-2</v>
      </c>
      <c r="S81" s="2"/>
      <c r="T81" s="6">
        <v>6100</v>
      </c>
      <c r="U81" s="2"/>
      <c r="V81" s="7">
        <f t="shared" si="49"/>
        <v>1.0192283271956851E-2</v>
      </c>
      <c r="W81" s="2"/>
      <c r="X81" s="6">
        <f t="shared" si="50"/>
        <v>-3172.68</v>
      </c>
      <c r="Y81" s="2"/>
      <c r="Z81" s="7">
        <f t="shared" si="51"/>
        <v>-0.52011147540983604</v>
      </c>
    </row>
    <row r="82" spans="1:26" s="24" customFormat="1" hidden="1" outlineLevel="2" x14ac:dyDescent="0.25">
      <c r="A82" s="29"/>
      <c r="B82" s="11" t="str">
        <f>CONCATENATE("          ", "6241", " - ", "OFFICE EXPENSE")</f>
        <v xml:space="preserve">          6241 - OFFICE EXPENSE</v>
      </c>
      <c r="C82" s="11"/>
      <c r="D82" s="6">
        <v>765.15</v>
      </c>
      <c r="E82" s="2"/>
      <c r="F82" s="7">
        <f t="shared" si="44"/>
        <v>3.4411192409542616E-3</v>
      </c>
      <c r="G82" s="2"/>
      <c r="H82" s="6">
        <v>1000</v>
      </c>
      <c r="I82" s="2"/>
      <c r="J82" s="7">
        <f t="shared" si="45"/>
        <v>2.1527552037475164E-3</v>
      </c>
      <c r="K82" s="2"/>
      <c r="L82" s="6">
        <f t="shared" si="46"/>
        <v>-234.85000000000002</v>
      </c>
      <c r="M82" s="2"/>
      <c r="N82" s="7">
        <f t="shared" si="47"/>
        <v>-0.23485000000000003</v>
      </c>
      <c r="O82" s="11"/>
      <c r="P82" s="6">
        <v>947.24</v>
      </c>
      <c r="Q82" s="2"/>
      <c r="R82" s="7">
        <f t="shared" si="48"/>
        <v>3.2494144817461082E-3</v>
      </c>
      <c r="S82" s="2"/>
      <c r="T82" s="6">
        <v>2750</v>
      </c>
      <c r="U82" s="2"/>
      <c r="V82" s="7">
        <f t="shared" si="49"/>
        <v>4.5948818029313675E-3</v>
      </c>
      <c r="W82" s="2"/>
      <c r="X82" s="6">
        <f t="shared" si="50"/>
        <v>-1802.76</v>
      </c>
      <c r="Y82" s="2"/>
      <c r="Z82" s="7">
        <f t="shared" si="51"/>
        <v>-0.65554909090909086</v>
      </c>
    </row>
    <row r="83" spans="1:26" s="24" customFormat="1" hidden="1" outlineLevel="2" x14ac:dyDescent="0.25">
      <c r="A83" s="29"/>
      <c r="B83" s="11" t="str">
        <f>CONCATENATE("          ", "6243", " - ", "PAPER SUPPLIES")</f>
        <v xml:space="preserve">          6243 - PAPER SUPPLIES</v>
      </c>
      <c r="C83" s="11"/>
      <c r="D83" s="6"/>
      <c r="E83" s="2"/>
      <c r="F83" s="7">
        <f t="shared" si="44"/>
        <v>0</v>
      </c>
      <c r="G83" s="2"/>
      <c r="H83" s="6">
        <v>500</v>
      </c>
      <c r="I83" s="2"/>
      <c r="J83" s="7">
        <f t="shared" si="45"/>
        <v>1.0763776018737582E-3</v>
      </c>
      <c r="K83" s="2"/>
      <c r="L83" s="6">
        <f t="shared" si="46"/>
        <v>-500</v>
      </c>
      <c r="M83" s="2"/>
      <c r="N83" s="7">
        <f t="shared" si="47"/>
        <v>-1</v>
      </c>
      <c r="O83" s="11"/>
      <c r="P83" s="6">
        <v>3660.17</v>
      </c>
      <c r="Q83" s="2"/>
      <c r="R83" s="7">
        <f t="shared" si="48"/>
        <v>1.2555856386610206E-2</v>
      </c>
      <c r="S83" s="2"/>
      <c r="T83" s="6">
        <v>1500</v>
      </c>
      <c r="U83" s="2"/>
      <c r="V83" s="7">
        <f t="shared" si="49"/>
        <v>2.5062991652352912E-3</v>
      </c>
      <c r="W83" s="2"/>
      <c r="X83" s="6">
        <f t="shared" si="50"/>
        <v>2160.17</v>
      </c>
      <c r="Y83" s="2"/>
      <c r="Z83" s="7">
        <f t="shared" si="51"/>
        <v>1.4401133333333334</v>
      </c>
    </row>
    <row r="84" spans="1:26" s="24" customFormat="1" hidden="1" outlineLevel="2" x14ac:dyDescent="0.25">
      <c r="A84" s="29"/>
      <c r="B84" s="11" t="str">
        <f>CONCATENATE("          ", "6244", " - ", "SAFETY SUPPLY EXPENSE")</f>
        <v xml:space="preserve">          6244 - SAFETY SUPPLY EXPENSE</v>
      </c>
      <c r="C84" s="11"/>
      <c r="D84" s="6"/>
      <c r="E84" s="2"/>
      <c r="F84" s="7">
        <f t="shared" si="44"/>
        <v>0</v>
      </c>
      <c r="G84" s="2"/>
      <c r="H84" s="6">
        <v>120</v>
      </c>
      <c r="I84" s="2"/>
      <c r="J84" s="7">
        <f t="shared" si="45"/>
        <v>2.5833062444970194E-4</v>
      </c>
      <c r="K84" s="2"/>
      <c r="L84" s="6">
        <f t="shared" si="46"/>
        <v>-120</v>
      </c>
      <c r="M84" s="2"/>
      <c r="N84" s="7">
        <f t="shared" si="47"/>
        <v>-1</v>
      </c>
      <c r="O84" s="11"/>
      <c r="P84" s="6"/>
      <c r="Q84" s="2"/>
      <c r="R84" s="7">
        <f t="shared" si="48"/>
        <v>0</v>
      </c>
      <c r="S84" s="2"/>
      <c r="T84" s="6">
        <v>400</v>
      </c>
      <c r="U84" s="2"/>
      <c r="V84" s="7">
        <f t="shared" si="49"/>
        <v>6.6834644406274437E-4</v>
      </c>
      <c r="W84" s="2"/>
      <c r="X84" s="6">
        <f t="shared" si="50"/>
        <v>-400</v>
      </c>
      <c r="Y84" s="2"/>
      <c r="Z84" s="7">
        <f t="shared" si="51"/>
        <v>-1</v>
      </c>
    </row>
    <row r="85" spans="1:26" s="24" customFormat="1" hidden="1" outlineLevel="2" x14ac:dyDescent="0.25">
      <c r="A85" s="29"/>
      <c r="B85" s="11" t="str">
        <f>CONCATENATE("          ", "6245", " - ", "PRINTING")</f>
        <v xml:space="preserve">          6245 - PRINTING</v>
      </c>
      <c r="C85" s="11"/>
      <c r="D85" s="6"/>
      <c r="E85" s="2"/>
      <c r="F85" s="7">
        <f t="shared" si="44"/>
        <v>0</v>
      </c>
      <c r="G85" s="2"/>
      <c r="H85" s="6">
        <v>150</v>
      </c>
      <c r="I85" s="2"/>
      <c r="J85" s="7">
        <f t="shared" si="45"/>
        <v>3.2291328056212743E-4</v>
      </c>
      <c r="K85" s="2"/>
      <c r="L85" s="6">
        <f t="shared" si="46"/>
        <v>-150</v>
      </c>
      <c r="M85" s="2"/>
      <c r="N85" s="7">
        <f t="shared" si="47"/>
        <v>-1</v>
      </c>
      <c r="O85" s="11"/>
      <c r="P85" s="6"/>
      <c r="Q85" s="2"/>
      <c r="R85" s="7">
        <f t="shared" si="48"/>
        <v>0</v>
      </c>
      <c r="S85" s="2"/>
      <c r="T85" s="6">
        <v>1450</v>
      </c>
      <c r="U85" s="2"/>
      <c r="V85" s="7">
        <f t="shared" si="49"/>
        <v>2.4227558597274485E-3</v>
      </c>
      <c r="W85" s="2"/>
      <c r="X85" s="6">
        <f t="shared" si="50"/>
        <v>-1450</v>
      </c>
      <c r="Y85" s="2"/>
      <c r="Z85" s="7">
        <f t="shared" si="51"/>
        <v>-1</v>
      </c>
    </row>
    <row r="86" spans="1:26" s="24" customFormat="1" hidden="1" outlineLevel="2" x14ac:dyDescent="0.25">
      <c r="A86" s="29"/>
      <c r="B86" s="11" t="str">
        <f>CONCATENATE("          ", "6247", " - ", "STORE SUPPLIES")</f>
        <v xml:space="preserve">          6247 - STORE SUPPLIES</v>
      </c>
      <c r="C86" s="11"/>
      <c r="D86" s="6"/>
      <c r="E86" s="2"/>
      <c r="F86" s="7">
        <f t="shared" si="44"/>
        <v>0</v>
      </c>
      <c r="G86" s="2"/>
      <c r="H86" s="6">
        <v>18</v>
      </c>
      <c r="I86" s="2"/>
      <c r="J86" s="7">
        <f t="shared" si="45"/>
        <v>3.8749593667455295E-5</v>
      </c>
      <c r="K86" s="2"/>
      <c r="L86" s="6">
        <f t="shared" si="46"/>
        <v>-18</v>
      </c>
      <c r="M86" s="2"/>
      <c r="N86" s="7">
        <f t="shared" si="47"/>
        <v>-1</v>
      </c>
      <c r="O86" s="11"/>
      <c r="P86" s="6"/>
      <c r="Q86" s="2"/>
      <c r="R86" s="7">
        <f t="shared" si="48"/>
        <v>0</v>
      </c>
      <c r="S86" s="2"/>
      <c r="T86" s="6">
        <v>36</v>
      </c>
      <c r="U86" s="2"/>
      <c r="V86" s="7">
        <f t="shared" si="49"/>
        <v>6.0151179965646993E-5</v>
      </c>
      <c r="W86" s="2"/>
      <c r="X86" s="6">
        <f t="shared" si="50"/>
        <v>-36</v>
      </c>
      <c r="Y86" s="2"/>
      <c r="Z86" s="7">
        <f t="shared" si="51"/>
        <v>-1</v>
      </c>
    </row>
    <row r="87" spans="1:26" s="24" customFormat="1" hidden="1" outlineLevel="2" x14ac:dyDescent="0.25">
      <c r="A87" s="29"/>
      <c r="B87" s="11" t="str">
        <f>CONCATENATE("          ", "6248", " - ", "UNIFORMS")</f>
        <v xml:space="preserve">          6248 - UNIFORMS</v>
      </c>
      <c r="C87" s="11"/>
      <c r="D87" s="6">
        <v>303.7</v>
      </c>
      <c r="E87" s="2"/>
      <c r="F87" s="7">
        <f t="shared" si="44"/>
        <v>1.3658340370879033E-3</v>
      </c>
      <c r="G87" s="2"/>
      <c r="H87" s="6">
        <v>500</v>
      </c>
      <c r="I87" s="2"/>
      <c r="J87" s="7">
        <f t="shared" si="45"/>
        <v>1.0763776018737582E-3</v>
      </c>
      <c r="K87" s="2"/>
      <c r="L87" s="6">
        <f t="shared" si="46"/>
        <v>-196.3</v>
      </c>
      <c r="M87" s="2"/>
      <c r="N87" s="7">
        <f t="shared" si="47"/>
        <v>-0.3926</v>
      </c>
      <c r="O87" s="11"/>
      <c r="P87" s="6">
        <v>3814.68</v>
      </c>
      <c r="Q87" s="2"/>
      <c r="R87" s="7">
        <f t="shared" si="48"/>
        <v>1.3085887879763568E-2</v>
      </c>
      <c r="S87" s="2"/>
      <c r="T87" s="6">
        <v>4350</v>
      </c>
      <c r="U87" s="2"/>
      <c r="V87" s="7">
        <f t="shared" si="49"/>
        <v>7.2682675791823446E-3</v>
      </c>
      <c r="W87" s="2"/>
      <c r="X87" s="6">
        <f t="shared" si="50"/>
        <v>-535.32000000000016</v>
      </c>
      <c r="Y87" s="2"/>
      <c r="Z87" s="7">
        <f t="shared" si="51"/>
        <v>-0.12306206896551727</v>
      </c>
    </row>
    <row r="88" spans="1:26" s="28" customFormat="1" outlineLevel="1" collapsed="1" x14ac:dyDescent="0.25">
      <c r="A88" s="27"/>
      <c r="B88" s="14" t="str">
        <f>CONCATENATE("     ","Telephone/Data Lines                              ")</f>
        <v xml:space="preserve">     Telephone/Data Lines                              </v>
      </c>
      <c r="C88" s="14"/>
      <c r="D88" s="1">
        <f>SUM(OSRRefD22_15x_0)</f>
        <v>975</v>
      </c>
      <c r="E88" s="1"/>
      <c r="F88" s="5">
        <f t="shared" ref="F88:F90" si="52">IF(D$12=0,0,D88/D$12)</f>
        <v>4.3848804285831601E-3</v>
      </c>
      <c r="G88" s="1"/>
      <c r="H88" s="1">
        <f>SUM(OSRRefH22_15x_0)</f>
        <v>725</v>
      </c>
      <c r="I88" s="1"/>
      <c r="J88" s="5">
        <f t="shared" ref="J88:J90" si="53">IF(H$12=0,0,H88/H$12)</f>
        <v>1.5607475227169493E-3</v>
      </c>
      <c r="K88" s="1"/>
      <c r="L88" s="1">
        <f t="shared" ref="L88:L90" si="54">+D88-H88</f>
        <v>250</v>
      </c>
      <c r="M88" s="1"/>
      <c r="N88" s="5">
        <f t="shared" ref="N88:N90" si="55">IF(H88=0,0,L88/H88)</f>
        <v>0.34482758620689657</v>
      </c>
      <c r="O88" s="14"/>
      <c r="P88" s="1">
        <f>SUM(OSRRefP22_15x_0)</f>
        <v>2240</v>
      </c>
      <c r="Q88" s="1"/>
      <c r="R88" s="5">
        <f t="shared" ref="R88:R90" si="56">IF(P$12=0,0,P88/P$12)</f>
        <v>7.6841016417288988E-3</v>
      </c>
      <c r="S88" s="1"/>
      <c r="T88" s="1">
        <f>SUM(OSRRefT22_15x_0)</f>
        <v>2175</v>
      </c>
      <c r="U88" s="1"/>
      <c r="V88" s="5">
        <f t="shared" ref="V88:V90" si="57">IF(T$12=0,0,T88/T$12)</f>
        <v>3.6341337895911723E-3</v>
      </c>
      <c r="W88" s="1"/>
      <c r="X88" s="1">
        <f t="shared" ref="X88:X90" si="58">+P88-T88</f>
        <v>65</v>
      </c>
      <c r="Y88" s="1"/>
      <c r="Z88" s="5">
        <f t="shared" ref="Z88:Z90" si="59">IF(T88=0,0,X88/T88)</f>
        <v>2.9885057471264367E-2</v>
      </c>
    </row>
    <row r="89" spans="1:26" s="24" customFormat="1" hidden="1" outlineLevel="2" x14ac:dyDescent="0.25">
      <c r="A89" s="29"/>
      <c r="B89" s="11" t="str">
        <f>CONCATENATE("          ", "6303", " - ", "DATA PHONE LINES")</f>
        <v xml:space="preserve">          6303 - DATA PHONE LINES</v>
      </c>
      <c r="C89" s="11"/>
      <c r="D89" s="6"/>
      <c r="E89" s="2"/>
      <c r="F89" s="7">
        <f t="shared" si="52"/>
        <v>0</v>
      </c>
      <c r="G89" s="2"/>
      <c r="H89" s="6">
        <v>500</v>
      </c>
      <c r="I89" s="2"/>
      <c r="J89" s="7">
        <f t="shared" si="53"/>
        <v>1.0763776018737582E-3</v>
      </c>
      <c r="K89" s="2"/>
      <c r="L89" s="6">
        <f t="shared" si="54"/>
        <v>-500</v>
      </c>
      <c r="M89" s="2"/>
      <c r="N89" s="7">
        <f t="shared" si="55"/>
        <v>-1</v>
      </c>
      <c r="O89" s="11"/>
      <c r="P89" s="6"/>
      <c r="Q89" s="2"/>
      <c r="R89" s="7">
        <f t="shared" si="56"/>
        <v>0</v>
      </c>
      <c r="S89" s="2"/>
      <c r="T89" s="6">
        <v>1500</v>
      </c>
      <c r="U89" s="2"/>
      <c r="V89" s="7">
        <f t="shared" si="57"/>
        <v>2.5062991652352912E-3</v>
      </c>
      <c r="W89" s="2"/>
      <c r="X89" s="6">
        <f t="shared" si="58"/>
        <v>-1500</v>
      </c>
      <c r="Y89" s="2"/>
      <c r="Z89" s="7">
        <f t="shared" si="59"/>
        <v>-1</v>
      </c>
    </row>
    <row r="90" spans="1:26" s="24" customFormat="1" hidden="1" outlineLevel="2" x14ac:dyDescent="0.25">
      <c r="A90" s="29"/>
      <c r="B90" s="11" t="str">
        <f>CONCATENATE("          ", "6309", " - ", "TELEPHONE")</f>
        <v xml:space="preserve">          6309 - TELEPHONE</v>
      </c>
      <c r="C90" s="11"/>
      <c r="D90" s="6">
        <v>975</v>
      </c>
      <c r="E90" s="2"/>
      <c r="F90" s="7">
        <f t="shared" si="52"/>
        <v>4.3848804285831601E-3</v>
      </c>
      <c r="G90" s="2"/>
      <c r="H90" s="6">
        <v>225</v>
      </c>
      <c r="I90" s="2"/>
      <c r="J90" s="7">
        <f t="shared" si="53"/>
        <v>4.8436992084319115E-4</v>
      </c>
      <c r="K90" s="2"/>
      <c r="L90" s="6">
        <f t="shared" si="54"/>
        <v>750</v>
      </c>
      <c r="M90" s="2"/>
      <c r="N90" s="7">
        <f t="shared" si="55"/>
        <v>3.3333333333333335</v>
      </c>
      <c r="O90" s="11"/>
      <c r="P90" s="6">
        <v>2240</v>
      </c>
      <c r="Q90" s="2"/>
      <c r="R90" s="7">
        <f t="shared" si="56"/>
        <v>7.6841016417288988E-3</v>
      </c>
      <c r="S90" s="2"/>
      <c r="T90" s="6">
        <v>675</v>
      </c>
      <c r="U90" s="2"/>
      <c r="V90" s="7">
        <f t="shared" si="57"/>
        <v>1.1278346243558811E-3</v>
      </c>
      <c r="W90" s="2"/>
      <c r="X90" s="6">
        <f t="shared" si="58"/>
        <v>1565</v>
      </c>
      <c r="Y90" s="2"/>
      <c r="Z90" s="7">
        <f t="shared" si="59"/>
        <v>2.3185185185185184</v>
      </c>
    </row>
    <row r="91" spans="1:26" s="28" customFormat="1" outlineLevel="1" collapsed="1" x14ac:dyDescent="0.25">
      <c r="A91" s="27"/>
      <c r="B91" s="14" t="str">
        <f>CONCATENATE("     ","Training                                          ")</f>
        <v xml:space="preserve">     Training                                          </v>
      </c>
      <c r="C91" s="14"/>
      <c r="D91" s="1">
        <f>SUM(OSRRefD22_16x_0)</f>
        <v>0</v>
      </c>
      <c r="E91" s="1"/>
      <c r="F91" s="5">
        <f t="shared" ref="F91:F94" si="60">IF(D$12=0,0,D91/D$12)</f>
        <v>0</v>
      </c>
      <c r="G91" s="1"/>
      <c r="H91" s="1">
        <f>SUM(OSRRefH22_16x_0)</f>
        <v>750</v>
      </c>
      <c r="I91" s="1"/>
      <c r="J91" s="5">
        <f t="shared" ref="J91:J94" si="61">IF(H$12=0,0,H91/H$12)</f>
        <v>1.6145664028106373E-3</v>
      </c>
      <c r="K91" s="1"/>
      <c r="L91" s="1">
        <f t="shared" ref="L91:L94" si="62">+D91-H91</f>
        <v>-750</v>
      </c>
      <c r="M91" s="1"/>
      <c r="N91" s="5">
        <f t="shared" ref="N91:N94" si="63">IF(H91=0,0,L91/H91)</f>
        <v>-1</v>
      </c>
      <c r="O91" s="14"/>
      <c r="P91" s="1">
        <f>SUM(OSRRefP22_16x_0)</f>
        <v>350</v>
      </c>
      <c r="Q91" s="1"/>
      <c r="R91" s="5">
        <f t="shared" ref="R91:R94" si="64">IF(P$12=0,0,P91/P$12)</f>
        <v>1.2006408815201405E-3</v>
      </c>
      <c r="S91" s="1"/>
      <c r="T91" s="1">
        <f>SUM(OSRRefT22_16x_0)</f>
        <v>1900</v>
      </c>
      <c r="U91" s="1"/>
      <c r="V91" s="5">
        <f t="shared" ref="V91:V94" si="65">IF(T$12=0,0,T91/T$12)</f>
        <v>3.1746456092980359E-3</v>
      </c>
      <c r="W91" s="1"/>
      <c r="X91" s="1">
        <f t="shared" ref="X91:X94" si="66">+P91-T91</f>
        <v>-1550</v>
      </c>
      <c r="Y91" s="1"/>
      <c r="Z91" s="5">
        <f t="shared" ref="Z91:Z94" si="67">IF(T91=0,0,X91/T91)</f>
        <v>-0.81578947368421051</v>
      </c>
    </row>
    <row r="92" spans="1:26" s="24" customFormat="1" hidden="1" outlineLevel="2" x14ac:dyDescent="0.25">
      <c r="A92" s="29"/>
      <c r="B92" s="11" t="str">
        <f>CONCATENATE("          ", "6376", " - ", "TRAINING")</f>
        <v xml:space="preserve">          6376 - TRAINING</v>
      </c>
      <c r="C92" s="11"/>
      <c r="D92" s="6"/>
      <c r="E92" s="2"/>
      <c r="F92" s="7">
        <f t="shared" si="60"/>
        <v>0</v>
      </c>
      <c r="G92" s="2"/>
      <c r="H92" s="6">
        <v>750</v>
      </c>
      <c r="I92" s="2"/>
      <c r="J92" s="7">
        <f t="shared" si="61"/>
        <v>1.6145664028106373E-3</v>
      </c>
      <c r="K92" s="2"/>
      <c r="L92" s="6">
        <f t="shared" si="62"/>
        <v>-750</v>
      </c>
      <c r="M92" s="2"/>
      <c r="N92" s="7">
        <f t="shared" si="63"/>
        <v>-1</v>
      </c>
      <c r="O92" s="11"/>
      <c r="P92" s="6">
        <v>350</v>
      </c>
      <c r="Q92" s="2"/>
      <c r="R92" s="7">
        <f t="shared" si="64"/>
        <v>1.2006408815201405E-3</v>
      </c>
      <c r="S92" s="2"/>
      <c r="T92" s="6">
        <v>1900</v>
      </c>
      <c r="U92" s="2"/>
      <c r="V92" s="7">
        <f t="shared" si="65"/>
        <v>3.1746456092980359E-3</v>
      </c>
      <c r="W92" s="2"/>
      <c r="X92" s="6">
        <f t="shared" si="66"/>
        <v>-1550</v>
      </c>
      <c r="Y92" s="2"/>
      <c r="Z92" s="7">
        <f t="shared" si="67"/>
        <v>-0.81578947368421051</v>
      </c>
    </row>
    <row r="93" spans="1:26" s="28" customFormat="1" outlineLevel="1" collapsed="1" x14ac:dyDescent="0.25">
      <c r="A93" s="27"/>
      <c r="B93" s="14" t="str">
        <f>CONCATENATE("     ","Travel                                            ")</f>
        <v xml:space="preserve">     Travel                                            </v>
      </c>
      <c r="C93" s="14"/>
      <c r="D93" s="1">
        <f>SUM(OSRRefD22_17x_0)</f>
        <v>0</v>
      </c>
      <c r="E93" s="1"/>
      <c r="F93" s="5">
        <f t="shared" si="60"/>
        <v>0</v>
      </c>
      <c r="G93" s="1"/>
      <c r="H93" s="1">
        <f>SUM(OSRRefH22_17x_0)</f>
        <v>300</v>
      </c>
      <c r="I93" s="1"/>
      <c r="J93" s="5">
        <f t="shared" si="61"/>
        <v>6.4582656112425487E-4</v>
      </c>
      <c r="K93" s="1"/>
      <c r="L93" s="1">
        <f t="shared" si="62"/>
        <v>-300</v>
      </c>
      <c r="M93" s="1"/>
      <c r="N93" s="5">
        <f t="shared" si="63"/>
        <v>-1</v>
      </c>
      <c r="O93" s="14"/>
      <c r="P93" s="1">
        <f>SUM(OSRRefP22_17x_0)</f>
        <v>0</v>
      </c>
      <c r="Q93" s="1"/>
      <c r="R93" s="5">
        <f t="shared" si="64"/>
        <v>0</v>
      </c>
      <c r="S93" s="1"/>
      <c r="T93" s="1">
        <f>SUM(OSRRefT22_17x_0)</f>
        <v>900</v>
      </c>
      <c r="U93" s="1"/>
      <c r="V93" s="5">
        <f t="shared" si="65"/>
        <v>1.5037794991411748E-3</v>
      </c>
      <c r="W93" s="1"/>
      <c r="X93" s="1">
        <f t="shared" si="66"/>
        <v>-900</v>
      </c>
      <c r="Y93" s="1"/>
      <c r="Z93" s="5">
        <f t="shared" si="67"/>
        <v>-1</v>
      </c>
    </row>
    <row r="94" spans="1:26" s="24" customFormat="1" hidden="1" outlineLevel="2" x14ac:dyDescent="0.25">
      <c r="A94" s="29"/>
      <c r="B94" s="11" t="str">
        <f>CONCATENATE("          ", "6292", " - ", "TRAVEL/CONFERENCE")</f>
        <v xml:space="preserve">          6292 - TRAVEL/CONFERENCE</v>
      </c>
      <c r="C94" s="11"/>
      <c r="D94" s="6"/>
      <c r="E94" s="2"/>
      <c r="F94" s="7">
        <f t="shared" si="60"/>
        <v>0</v>
      </c>
      <c r="G94" s="2"/>
      <c r="H94" s="6">
        <v>300</v>
      </c>
      <c r="I94" s="2"/>
      <c r="J94" s="7">
        <f t="shared" si="61"/>
        <v>6.4582656112425487E-4</v>
      </c>
      <c r="K94" s="2"/>
      <c r="L94" s="6">
        <f t="shared" si="62"/>
        <v>-300</v>
      </c>
      <c r="M94" s="2"/>
      <c r="N94" s="7">
        <f t="shared" si="63"/>
        <v>-1</v>
      </c>
      <c r="O94" s="11"/>
      <c r="P94" s="6"/>
      <c r="Q94" s="2"/>
      <c r="R94" s="7">
        <f t="shared" si="64"/>
        <v>0</v>
      </c>
      <c r="S94" s="2"/>
      <c r="T94" s="6">
        <v>900</v>
      </c>
      <c r="U94" s="2"/>
      <c r="V94" s="7">
        <f t="shared" si="65"/>
        <v>1.5037794991411748E-3</v>
      </c>
      <c r="W94" s="2"/>
      <c r="X94" s="6">
        <f t="shared" si="66"/>
        <v>-900</v>
      </c>
      <c r="Y94" s="2"/>
      <c r="Z94" s="7">
        <f t="shared" si="67"/>
        <v>-1</v>
      </c>
    </row>
    <row r="95" spans="1:26" s="61" customFormat="1" x14ac:dyDescent="0.25">
      <c r="A95" s="36"/>
      <c r="B95" s="36"/>
      <c r="C95" s="36"/>
      <c r="D95" s="1"/>
      <c r="E95" s="1"/>
      <c r="F95" s="5"/>
      <c r="G95" s="1"/>
      <c r="H95" s="1"/>
      <c r="I95" s="1"/>
      <c r="J95" s="5"/>
      <c r="K95" s="1"/>
      <c r="L95" s="1"/>
      <c r="M95" s="1"/>
      <c r="N95" s="5"/>
      <c r="O95" s="36"/>
      <c r="P95" s="1"/>
      <c r="Q95" s="1"/>
      <c r="R95" s="5"/>
      <c r="S95" s="1"/>
      <c r="T95" s="1"/>
      <c r="U95" s="1"/>
      <c r="V95" s="5"/>
      <c r="W95" s="1"/>
      <c r="X95" s="1"/>
      <c r="Y95" s="1"/>
      <c r="Z95" s="5"/>
    </row>
    <row r="96" spans="1:26" s="23" customFormat="1" x14ac:dyDescent="0.25">
      <c r="A96" s="10"/>
      <c r="B96" s="25" t="s">
        <v>0</v>
      </c>
      <c r="C96" s="10"/>
      <c r="D96" s="4">
        <f>SUM(0)</f>
        <v>0</v>
      </c>
      <c r="E96" s="4"/>
      <c r="F96" s="12">
        <f>IF(D$12=0,0,D96/D$12)</f>
        <v>0</v>
      </c>
      <c r="G96" s="4"/>
      <c r="H96" s="4">
        <f>SUM(0)</f>
        <v>0</v>
      </c>
      <c r="I96" s="4"/>
      <c r="J96" s="12">
        <f>IF(H$12=0,0,H96/H$12)</f>
        <v>0</v>
      </c>
      <c r="K96" s="4"/>
      <c r="L96" s="4">
        <f>+D96-H96</f>
        <v>0</v>
      </c>
      <c r="M96" s="4"/>
      <c r="N96" s="12">
        <f>IF(H96=0,0,L96/H96)</f>
        <v>0</v>
      </c>
      <c r="O96" s="10"/>
      <c r="P96" s="4">
        <f>SUM(0)</f>
        <v>0</v>
      </c>
      <c r="Q96" s="4"/>
      <c r="R96" s="12">
        <f>IF(P$12=0,0,P96/P$12)</f>
        <v>0</v>
      </c>
      <c r="S96" s="4"/>
      <c r="T96" s="4">
        <f>SUM(0)</f>
        <v>0</v>
      </c>
      <c r="U96" s="4"/>
      <c r="V96" s="12">
        <f>IF(T$12=0,0,T96/T$12)</f>
        <v>0</v>
      </c>
      <c r="W96" s="4"/>
      <c r="X96" s="4">
        <f>+P96-T96</f>
        <v>0</v>
      </c>
      <c r="Y96" s="4"/>
      <c r="Z96" s="12">
        <f>IF(T96=0,0,X96/T96)</f>
        <v>0</v>
      </c>
    </row>
    <row r="97" spans="1:26" x14ac:dyDescent="0.25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10"/>
      <c r="B98" s="26" t="s">
        <v>3</v>
      </c>
      <c r="C98" s="26"/>
      <c r="D98" s="20">
        <f>+D23-D25+D96</f>
        <v>-63156.22</v>
      </c>
      <c r="E98" s="13"/>
      <c r="F98" s="21">
        <f>IF(D$12=0,0,D98/D$12)</f>
        <v>-0.284033305662864</v>
      </c>
      <c r="G98" s="13"/>
      <c r="H98" s="20">
        <f>+H23-H25+H96</f>
        <v>-18602.128344126162</v>
      </c>
      <c r="I98" s="13"/>
      <c r="J98" s="21">
        <f>IF(H$12=0,0,H98/H$12)</f>
        <v>-4.0045828593596761E-2</v>
      </c>
      <c r="K98" s="16"/>
      <c r="L98" s="20">
        <f>+D98-H98</f>
        <v>-44554.091655873839</v>
      </c>
      <c r="M98" s="16"/>
      <c r="N98" s="21">
        <f>IF(H98=0,0,L98/H98)</f>
        <v>2.3951072066408097</v>
      </c>
      <c r="O98" s="25"/>
      <c r="P98" s="20">
        <f>+P23-P25+P96</f>
        <v>-435824.7899999998</v>
      </c>
      <c r="Q98" s="13"/>
      <c r="R98" s="21">
        <f>IF(P$12=0,0,P98/P$12)</f>
        <v>-1.4950544572969424</v>
      </c>
      <c r="S98" s="13"/>
      <c r="T98" s="20">
        <f>+T23-T25+T96</f>
        <v>-540134.86661815993</v>
      </c>
      <c r="U98" s="13"/>
      <c r="V98" s="21">
        <f>IF(T$12=0,0,T98/T$12)</f>
        <v>-0.90249304354637983</v>
      </c>
      <c r="W98" s="16"/>
      <c r="X98" s="20">
        <f>+P98-T98</f>
        <v>104310.07661816012</v>
      </c>
      <c r="Y98" s="16"/>
      <c r="Z98" s="21">
        <f>IF(T98=0,0,X98/T98)</f>
        <v>-0.19311857660894263</v>
      </c>
    </row>
    <row r="99" spans="1:26" x14ac:dyDescent="0.25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25">
      <c r="A100" s="52"/>
      <c r="B100" s="10" t="s">
        <v>14</v>
      </c>
      <c r="C100" s="10"/>
      <c r="D100" s="4">
        <v>42327.8</v>
      </c>
      <c r="E100" s="4"/>
      <c r="F100" s="12">
        <f>IF(D$12=0,0,D100/D$12)</f>
        <v>0.19036137621023827</v>
      </c>
      <c r="G100" s="4"/>
      <c r="H100" s="4">
        <v>64647.000000000007</v>
      </c>
      <c r="I100" s="4"/>
      <c r="J100" s="12">
        <f>IF(H$12=0,0,H100/H$12)</f>
        <v>0.13916916565666571</v>
      </c>
      <c r="K100" s="4"/>
      <c r="L100" s="4">
        <f>+D100-H100</f>
        <v>-22319.200000000004</v>
      </c>
      <c r="M100" s="4"/>
      <c r="N100" s="12">
        <f>IF(H100=0,0,L100/H100)</f>
        <v>-0.34524726592107913</v>
      </c>
      <c r="O100" s="10"/>
      <c r="P100" s="4">
        <v>54003.859999999993</v>
      </c>
      <c r="Q100" s="4"/>
      <c r="R100" s="12">
        <f>IF(P$12=0,0,P100/P$12)</f>
        <v>0.18525497735968641</v>
      </c>
      <c r="S100" s="4"/>
      <c r="T100" s="4">
        <v>86525</v>
      </c>
      <c r="U100" s="4"/>
      <c r="V100" s="12">
        <f>IF(T$12=0,0,T100/T$12)</f>
        <v>0.14457169018132238</v>
      </c>
      <c r="W100" s="4"/>
      <c r="X100" s="4">
        <f>+P100-T100</f>
        <v>-32521.140000000007</v>
      </c>
      <c r="Y100" s="4"/>
      <c r="Z100" s="12">
        <f>IF(T100=0,0,X100/T100)</f>
        <v>-0.37585830684773197</v>
      </c>
    </row>
    <row r="101" spans="1:26" x14ac:dyDescent="0.25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.75" thickBot="1" x14ac:dyDescent="0.3">
      <c r="A102" s="10"/>
      <c r="B102" s="26" t="s">
        <v>4</v>
      </c>
      <c r="C102" s="26"/>
      <c r="D102" s="33">
        <f>+D98-D100</f>
        <v>-105484.02</v>
      </c>
      <c r="E102" s="13"/>
      <c r="F102" s="34">
        <f>IF(D$12=0,0,D102/D$12)</f>
        <v>-0.47439468187310224</v>
      </c>
      <c r="G102" s="13"/>
      <c r="H102" s="33">
        <f>+H98-H100</f>
        <v>-83249.128344126162</v>
      </c>
      <c r="I102" s="13"/>
      <c r="J102" s="34">
        <f>IF(H$12=0,0,H102/H$12)</f>
        <v>-0.17921499425026244</v>
      </c>
      <c r="K102" s="16"/>
      <c r="L102" s="33">
        <f>D102-H102</f>
        <v>-22234.891655873842</v>
      </c>
      <c r="M102" s="16"/>
      <c r="N102" s="34">
        <f>IF(H102=0,0,L102/H102)</f>
        <v>0.2670885821646285</v>
      </c>
      <c r="O102" s="25"/>
      <c r="P102" s="33">
        <f>+P98-P100</f>
        <v>-489828.64999999979</v>
      </c>
      <c r="Q102" s="13"/>
      <c r="R102" s="34">
        <f>IF(P$12=0,0,P102/P$12)</f>
        <v>-1.6803094346566287</v>
      </c>
      <c r="S102" s="13"/>
      <c r="T102" s="33">
        <f>+T98-T100</f>
        <v>-626659.86661815993</v>
      </c>
      <c r="U102" s="13"/>
      <c r="V102" s="34">
        <f>IF(T$12=0,0,T102/T$12)</f>
        <v>-1.0470647337277021</v>
      </c>
      <c r="W102" s="16"/>
      <c r="X102" s="33">
        <f>P102-T102</f>
        <v>136831.21661816014</v>
      </c>
      <c r="Y102" s="16"/>
      <c r="Z102" s="34">
        <f>IF(T102=0,0,X102/T102)</f>
        <v>-0.21835005544009881</v>
      </c>
    </row>
    <row r="103" spans="1:26" ht="15.75" thickTop="1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25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.75" thickBot="1" x14ac:dyDescent="0.3">
      <c r="A105" s="10"/>
      <c r="B105" s="26" t="s">
        <v>5</v>
      </c>
      <c r="C105" s="26"/>
      <c r="D105" s="31">
        <f>SUM(D102:D104)</f>
        <v>-105484.02</v>
      </c>
      <c r="E105" s="13"/>
      <c r="F105" s="32">
        <f>IF(D$12=0,0,D105/D$12)</f>
        <v>-0.47439468187310224</v>
      </c>
      <c r="G105" s="13"/>
      <c r="H105" s="31">
        <f>SUM(H102:H104)</f>
        <v>-83249.128344126162</v>
      </c>
      <c r="I105" s="13"/>
      <c r="J105" s="32">
        <f>IF(H$12=0,0,H105/H$12)</f>
        <v>-0.17921499425026244</v>
      </c>
      <c r="K105" s="16"/>
      <c r="L105" s="31">
        <f>+D105-H105</f>
        <v>-22234.891655873842</v>
      </c>
      <c r="M105" s="16"/>
      <c r="N105" s="32">
        <f>IF(H105=0,0,L105/H105)</f>
        <v>0.2670885821646285</v>
      </c>
      <c r="O105" s="25"/>
      <c r="P105" s="31">
        <f>SUM(P102:P104)</f>
        <v>-489828.64999999979</v>
      </c>
      <c r="Q105" s="13"/>
      <c r="R105" s="32">
        <f>IF(P$12=0,0,P105/P$12)</f>
        <v>-1.6803094346566287</v>
      </c>
      <c r="S105" s="13"/>
      <c r="T105" s="31">
        <f>SUM(T102:T104)</f>
        <v>-626659.86661815993</v>
      </c>
      <c r="U105" s="13"/>
      <c r="V105" s="32">
        <f>IF(T$12=0,0,T105/T$12)</f>
        <v>-1.0470647337277021</v>
      </c>
      <c r="W105" s="16"/>
      <c r="X105" s="31">
        <f>+P105-T105</f>
        <v>136831.21661816014</v>
      </c>
      <c r="Y105" s="16"/>
      <c r="Z105" s="32">
        <f>IF(T105=0,0,X105/T105)</f>
        <v>-0.21835005544009881</v>
      </c>
    </row>
    <row r="106" spans="1:26" ht="15.75" thickTop="1" x14ac:dyDescent="0.25">
      <c r="A106" s="9"/>
      <c r="C106" s="9"/>
      <c r="D106" s="17"/>
      <c r="E106" s="17"/>
      <c r="G106" s="17"/>
      <c r="H106" s="17"/>
      <c r="I106" s="17"/>
      <c r="J106" s="43"/>
      <c r="K106" s="17"/>
      <c r="L106" s="17"/>
      <c r="M106" s="17"/>
      <c r="P106" s="17"/>
      <c r="Q106" s="17"/>
      <c r="R106" s="43"/>
      <c r="S106" s="17"/>
      <c r="T106" s="17"/>
      <c r="U106" s="17"/>
      <c r="V106" s="43"/>
      <c r="W106" s="17"/>
      <c r="X106" s="17"/>
    </row>
    <row r="107" spans="1:26" x14ac:dyDescent="0.25">
      <c r="A107" s="9"/>
      <c r="B107" s="55">
        <v>44123.571645254633</v>
      </c>
      <c r="D107" s="17"/>
      <c r="E107" s="17"/>
      <c r="G107" s="17"/>
      <c r="H107" s="17"/>
      <c r="I107" s="17"/>
      <c r="J107" s="43"/>
      <c r="K107" s="17"/>
      <c r="L107" s="17"/>
      <c r="M107" s="17"/>
      <c r="P107" s="17"/>
      <c r="Q107" s="17"/>
      <c r="R107" s="43"/>
      <c r="S107" s="17"/>
      <c r="T107" s="17"/>
      <c r="U107" s="17"/>
      <c r="V107" s="43"/>
      <c r="W107" s="17"/>
      <c r="X107" s="17"/>
    </row>
    <row r="108" spans="1:26" x14ac:dyDescent="0.25">
      <c r="A108" s="9"/>
      <c r="B108" s="53" t="s">
        <v>314</v>
      </c>
      <c r="D108" s="17"/>
      <c r="E108" s="17"/>
      <c r="G108" s="17"/>
      <c r="H108" s="17"/>
      <c r="I108" s="17"/>
      <c r="J108" s="43"/>
      <c r="K108" s="17"/>
      <c r="L108" s="17"/>
      <c r="M108" s="17"/>
      <c r="P108" s="17"/>
      <c r="Q108" s="17"/>
      <c r="R108" s="43"/>
      <c r="S108" s="17"/>
      <c r="T108" s="17"/>
      <c r="U108" s="17"/>
      <c r="V108" s="43"/>
      <c r="W108" s="17"/>
      <c r="X108" s="17"/>
    </row>
    <row r="109" spans="1:26" x14ac:dyDescent="0.25">
      <c r="A109" s="9"/>
      <c r="B109" s="62"/>
      <c r="D109" s="17"/>
      <c r="E109" s="17"/>
      <c r="G109" s="17"/>
      <c r="H109" s="17"/>
      <c r="I109" s="17"/>
      <c r="J109" s="43"/>
      <c r="K109" s="17"/>
      <c r="L109" s="17"/>
      <c r="M109" s="17"/>
      <c r="P109" s="17"/>
      <c r="Q109" s="17"/>
      <c r="R109" s="43"/>
      <c r="S109" s="17"/>
      <c r="T109" s="17"/>
      <c r="U109" s="17"/>
      <c r="V109" s="43"/>
      <c r="W109" s="17"/>
      <c r="X109" s="17"/>
    </row>
    <row r="110" spans="1:26" x14ac:dyDescent="0.25">
      <c r="D110" s="17"/>
      <c r="E110" s="17"/>
      <c r="G110" s="17"/>
      <c r="H110" s="17"/>
      <c r="I110" s="17"/>
      <c r="J110" s="43"/>
      <c r="K110" s="17"/>
      <c r="L110" s="17"/>
      <c r="M110" s="17"/>
      <c r="P110" s="17"/>
      <c r="Q110" s="17"/>
      <c r="R110" s="43"/>
      <c r="S110" s="17"/>
      <c r="T110" s="17"/>
      <c r="U110" s="17"/>
      <c r="V110" s="43"/>
      <c r="W110" s="17"/>
      <c r="X110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300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","430", " - ", "Res Hall Management")</f>
        <v>Department 430 - Res Hall Management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14907.630000000001</v>
      </c>
      <c r="E18" s="19"/>
      <c r="F18" s="35">
        <f t="shared" ref="F18:F28" si="0">IF(D$12=0,0,D18/D$12)</f>
        <v>0</v>
      </c>
      <c r="G18" s="19"/>
      <c r="H18" s="19">
        <f>SUM(OSRRefH22x_0)</f>
        <v>13801.532740000001</v>
      </c>
      <c r="I18" s="19"/>
      <c r="J18" s="35">
        <f t="shared" ref="J18:J28" si="1">IF(H$12=0,0,H18/H$12)</f>
        <v>0</v>
      </c>
      <c r="K18" s="4"/>
      <c r="L18" s="19">
        <f t="shared" ref="L18:L28" si="2">+D18-H18</f>
        <v>1106.0972600000005</v>
      </c>
      <c r="M18" s="4"/>
      <c r="N18" s="35">
        <f t="shared" ref="N18:N28" si="3">IF(H18=0,0,L18/H18)</f>
        <v>8.0143074022081442E-2</v>
      </c>
      <c r="O18" s="10"/>
      <c r="P18" s="19">
        <f>SUM(OSRRefP22x_0)</f>
        <v>47229.96</v>
      </c>
      <c r="Q18" s="19"/>
      <c r="R18" s="35">
        <f t="shared" ref="R18:R28" si="4">IF(P$12=0,0,P18/P$12)</f>
        <v>0</v>
      </c>
      <c r="S18" s="19"/>
      <c r="T18" s="19">
        <f>SUM(OSRRefT22x_0)</f>
        <v>44109.981404999999</v>
      </c>
      <c r="U18" s="19"/>
      <c r="V18" s="35">
        <f t="shared" ref="V18:V28" si="5">IF(T$12=0,0,T18/T$12)</f>
        <v>0</v>
      </c>
      <c r="W18" s="4"/>
      <c r="X18" s="19">
        <f t="shared" ref="X18:X28" si="6">+P18-T18</f>
        <v>3119.9785950000005</v>
      </c>
      <c r="Y18" s="4"/>
      <c r="Z18" s="35">
        <f t="shared" ref="Z18:Z28" si="7">IF(T18=0,0,X18/T18)</f>
        <v>7.0731804812013396E-2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5796.4400000000005</v>
      </c>
      <c r="E19" s="1"/>
      <c r="F19" s="5">
        <f t="shared" si="0"/>
        <v>0</v>
      </c>
      <c r="G19" s="1"/>
      <c r="H19" s="1">
        <f>SUM(OSRRefH22_0x_0)</f>
        <v>4291.4327400000002</v>
      </c>
      <c r="I19" s="1"/>
      <c r="J19" s="5">
        <f t="shared" si="1"/>
        <v>0</v>
      </c>
      <c r="K19" s="1"/>
      <c r="L19" s="1">
        <f t="shared" si="2"/>
        <v>1505.0072600000003</v>
      </c>
      <c r="M19" s="1"/>
      <c r="N19" s="5">
        <f t="shared" si="3"/>
        <v>0.35070041899340132</v>
      </c>
      <c r="O19" s="14"/>
      <c r="P19" s="1">
        <f>SUM(OSRRefP22_0x_0)</f>
        <v>16504.310000000001</v>
      </c>
      <c r="Q19" s="1"/>
      <c r="R19" s="5">
        <f t="shared" si="4"/>
        <v>0</v>
      </c>
      <c r="S19" s="1"/>
      <c r="T19" s="1">
        <f>SUM(OSRRefT22_0x_0)</f>
        <v>13452.156405000002</v>
      </c>
      <c r="U19" s="1"/>
      <c r="V19" s="5">
        <f t="shared" si="5"/>
        <v>0</v>
      </c>
      <c r="W19" s="1"/>
      <c r="X19" s="1">
        <f t="shared" si="6"/>
        <v>3052.1535949999998</v>
      </c>
      <c r="Y19" s="1"/>
      <c r="Z19" s="5">
        <f t="shared" si="7"/>
        <v>0.22688954120883933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6">
        <v>685.42</v>
      </c>
      <c r="E20" s="2"/>
      <c r="F20" s="7">
        <f t="shared" si="0"/>
        <v>0</v>
      </c>
      <c r="G20" s="2"/>
      <c r="H20" s="6">
        <v>685.55574000000001</v>
      </c>
      <c r="I20" s="2"/>
      <c r="J20" s="7">
        <f t="shared" si="1"/>
        <v>0</v>
      </c>
      <c r="K20" s="2"/>
      <c r="L20" s="6">
        <f t="shared" si="2"/>
        <v>-0.13574000000005526</v>
      </c>
      <c r="M20" s="2"/>
      <c r="N20" s="7">
        <f t="shared" si="3"/>
        <v>-1.9799994672943042E-4</v>
      </c>
      <c r="O20" s="11"/>
      <c r="P20" s="6">
        <v>2056.2600000000002</v>
      </c>
      <c r="Q20" s="2"/>
      <c r="R20" s="7">
        <f t="shared" si="4"/>
        <v>0</v>
      </c>
      <c r="S20" s="2"/>
      <c r="T20" s="6">
        <v>2228.0561550000002</v>
      </c>
      <c r="U20" s="2"/>
      <c r="V20" s="7">
        <f t="shared" si="5"/>
        <v>0</v>
      </c>
      <c r="W20" s="2"/>
      <c r="X20" s="6">
        <f t="shared" si="6"/>
        <v>-171.796155</v>
      </c>
      <c r="Y20" s="2"/>
      <c r="Z20" s="7">
        <f t="shared" si="7"/>
        <v>-7.7105846104673234E-2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6">
        <v>384.36</v>
      </c>
      <c r="E21" s="2"/>
      <c r="F21" s="7">
        <f t="shared" si="0"/>
        <v>0</v>
      </c>
      <c r="G21" s="2"/>
      <c r="H21" s="6">
        <v>384.29820000000001</v>
      </c>
      <c r="I21" s="2"/>
      <c r="J21" s="7">
        <f t="shared" si="1"/>
        <v>0</v>
      </c>
      <c r="K21" s="2"/>
      <c r="L21" s="6">
        <f t="shared" si="2"/>
        <v>6.1800000000005184E-2</v>
      </c>
      <c r="M21" s="2"/>
      <c r="N21" s="7">
        <f t="shared" si="3"/>
        <v>1.6081261895060966E-4</v>
      </c>
      <c r="O21" s="11"/>
      <c r="P21" s="6">
        <v>1153.08</v>
      </c>
      <c r="Q21" s="2"/>
      <c r="R21" s="7">
        <f t="shared" si="4"/>
        <v>0</v>
      </c>
      <c r="S21" s="2"/>
      <c r="T21" s="6">
        <v>1248.9691499999999</v>
      </c>
      <c r="U21" s="2"/>
      <c r="V21" s="7">
        <f t="shared" si="5"/>
        <v>0</v>
      </c>
      <c r="W21" s="2"/>
      <c r="X21" s="6">
        <f t="shared" si="6"/>
        <v>-95.889149999999972</v>
      </c>
      <c r="Y21" s="2"/>
      <c r="Z21" s="7">
        <f t="shared" si="7"/>
        <v>-7.6774634505584055E-2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6">
        <v>2737.9</v>
      </c>
      <c r="E22" s="2"/>
      <c r="F22" s="7">
        <f t="shared" si="0"/>
        <v>0</v>
      </c>
      <c r="G22" s="2"/>
      <c r="H22" s="6">
        <v>1980</v>
      </c>
      <c r="I22" s="2"/>
      <c r="J22" s="7">
        <f t="shared" si="1"/>
        <v>0</v>
      </c>
      <c r="K22" s="2"/>
      <c r="L22" s="6">
        <f t="shared" si="2"/>
        <v>757.90000000000009</v>
      </c>
      <c r="M22" s="2"/>
      <c r="N22" s="7">
        <f t="shared" si="3"/>
        <v>0.38277777777777783</v>
      </c>
      <c r="O22" s="11"/>
      <c r="P22" s="6">
        <v>8213.7000000000007</v>
      </c>
      <c r="Q22" s="2"/>
      <c r="R22" s="7">
        <f t="shared" si="4"/>
        <v>0</v>
      </c>
      <c r="S22" s="2"/>
      <c r="T22" s="6">
        <v>5940</v>
      </c>
      <c r="U22" s="2"/>
      <c r="V22" s="7">
        <f t="shared" si="5"/>
        <v>0</v>
      </c>
      <c r="W22" s="2"/>
      <c r="X22" s="6">
        <f t="shared" si="6"/>
        <v>2273.7000000000007</v>
      </c>
      <c r="Y22" s="2"/>
      <c r="Z22" s="7">
        <f t="shared" si="7"/>
        <v>0.38277777777777788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23.29</v>
      </c>
      <c r="E23" s="2"/>
      <c r="F23" s="7">
        <f t="shared" si="0"/>
        <v>0</v>
      </c>
      <c r="G23" s="2"/>
      <c r="H23" s="6">
        <v>23.290800000000001</v>
      </c>
      <c r="I23" s="2"/>
      <c r="J23" s="7">
        <f t="shared" si="1"/>
        <v>0</v>
      </c>
      <c r="K23" s="2"/>
      <c r="L23" s="6">
        <f t="shared" si="2"/>
        <v>-8.0000000000168825E-4</v>
      </c>
      <c r="M23" s="2"/>
      <c r="N23" s="7">
        <f t="shared" si="3"/>
        <v>-3.4348326377869728E-5</v>
      </c>
      <c r="O23" s="11"/>
      <c r="P23" s="6">
        <v>69.87</v>
      </c>
      <c r="Q23" s="2"/>
      <c r="R23" s="7">
        <f t="shared" si="4"/>
        <v>0</v>
      </c>
      <c r="S23" s="2"/>
      <c r="T23" s="6">
        <v>75.695099999999996</v>
      </c>
      <c r="U23" s="2"/>
      <c r="V23" s="7">
        <f t="shared" si="5"/>
        <v>0</v>
      </c>
      <c r="W23" s="2"/>
      <c r="X23" s="6">
        <f t="shared" si="6"/>
        <v>-5.825099999999992</v>
      </c>
      <c r="Y23" s="2"/>
      <c r="Z23" s="7">
        <f t="shared" si="7"/>
        <v>-7.6954783070502478E-2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6">
        <v>692.57</v>
      </c>
      <c r="E24" s="2"/>
      <c r="F24" s="7">
        <f t="shared" si="0"/>
        <v>0</v>
      </c>
      <c r="G24" s="2"/>
      <c r="H24" s="6">
        <v>770.38800000000003</v>
      </c>
      <c r="I24" s="2"/>
      <c r="J24" s="7">
        <f t="shared" si="1"/>
        <v>0</v>
      </c>
      <c r="K24" s="2"/>
      <c r="L24" s="6">
        <f t="shared" si="2"/>
        <v>-77.817999999999984</v>
      </c>
      <c r="M24" s="2"/>
      <c r="N24" s="7">
        <f t="shared" si="3"/>
        <v>-0.10101143839208293</v>
      </c>
      <c r="O24" s="11"/>
      <c r="P24" s="6">
        <v>2424</v>
      </c>
      <c r="Q24" s="2"/>
      <c r="R24" s="7">
        <f t="shared" si="4"/>
        <v>0</v>
      </c>
      <c r="S24" s="2"/>
      <c r="T24" s="6">
        <v>2503.761</v>
      </c>
      <c r="U24" s="2"/>
      <c r="V24" s="7">
        <f t="shared" si="5"/>
        <v>0</v>
      </c>
      <c r="W24" s="2"/>
      <c r="X24" s="6">
        <f t="shared" si="6"/>
        <v>-79.760999999999967</v>
      </c>
      <c r="Y24" s="2"/>
      <c r="Z24" s="7">
        <f t="shared" si="7"/>
        <v>-3.1856475118831218E-2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6"/>
      <c r="E25" s="2"/>
      <c r="F25" s="7">
        <f t="shared" si="0"/>
        <v>0</v>
      </c>
      <c r="G25" s="2"/>
      <c r="H25" s="6">
        <v>0</v>
      </c>
      <c r="I25" s="2"/>
      <c r="J25" s="7">
        <f t="shared" si="1"/>
        <v>0</v>
      </c>
      <c r="K25" s="2"/>
      <c r="L25" s="6">
        <f t="shared" si="2"/>
        <v>0</v>
      </c>
      <c r="M25" s="2"/>
      <c r="N25" s="7">
        <f t="shared" si="3"/>
        <v>0</v>
      </c>
      <c r="O25" s="11"/>
      <c r="P25" s="6"/>
      <c r="Q25" s="2"/>
      <c r="R25" s="7">
        <f t="shared" si="4"/>
        <v>0</v>
      </c>
      <c r="S25" s="2"/>
      <c r="T25" s="6">
        <v>0</v>
      </c>
      <c r="U25" s="2"/>
      <c r="V25" s="7">
        <f t="shared" si="5"/>
        <v>0</v>
      </c>
      <c r="W25" s="2"/>
      <c r="X25" s="6">
        <f t="shared" si="6"/>
        <v>0</v>
      </c>
      <c r="Y25" s="2"/>
      <c r="Z25" s="7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6">
        <v>827.64</v>
      </c>
      <c r="E26" s="2"/>
      <c r="F26" s="7">
        <f t="shared" si="0"/>
        <v>0</v>
      </c>
      <c r="G26" s="2"/>
      <c r="H26" s="6">
        <v>268.74</v>
      </c>
      <c r="I26" s="2"/>
      <c r="J26" s="7">
        <f t="shared" si="1"/>
        <v>0</v>
      </c>
      <c r="K26" s="2"/>
      <c r="L26" s="6">
        <f t="shared" si="2"/>
        <v>558.9</v>
      </c>
      <c r="M26" s="2"/>
      <c r="N26" s="7">
        <f t="shared" si="3"/>
        <v>2.0797052913596783</v>
      </c>
      <c r="O26" s="11"/>
      <c r="P26" s="6">
        <v>1275.6199999999999</v>
      </c>
      <c r="Q26" s="2"/>
      <c r="R26" s="7">
        <f t="shared" si="4"/>
        <v>0</v>
      </c>
      <c r="S26" s="2"/>
      <c r="T26" s="6">
        <v>873.40499999999997</v>
      </c>
      <c r="U26" s="2"/>
      <c r="V26" s="7">
        <f t="shared" si="5"/>
        <v>0</v>
      </c>
      <c r="W26" s="2"/>
      <c r="X26" s="6">
        <f t="shared" si="6"/>
        <v>402.21499999999992</v>
      </c>
      <c r="Y26" s="2"/>
      <c r="Z26" s="7">
        <f t="shared" si="7"/>
        <v>0.46051373646819049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6">
        <v>413.26</v>
      </c>
      <c r="E27" s="2"/>
      <c r="F27" s="7">
        <f t="shared" si="0"/>
        <v>0</v>
      </c>
      <c r="G27" s="2"/>
      <c r="H27" s="6">
        <v>179.16</v>
      </c>
      <c r="I27" s="2"/>
      <c r="J27" s="7">
        <f t="shared" si="1"/>
        <v>0</v>
      </c>
      <c r="K27" s="2"/>
      <c r="L27" s="6">
        <f t="shared" si="2"/>
        <v>234.1</v>
      </c>
      <c r="M27" s="2"/>
      <c r="N27" s="7">
        <f t="shared" si="3"/>
        <v>1.3066532708193792</v>
      </c>
      <c r="O27" s="11"/>
      <c r="P27" s="6">
        <v>1239.78</v>
      </c>
      <c r="Q27" s="2"/>
      <c r="R27" s="7">
        <f t="shared" si="4"/>
        <v>0</v>
      </c>
      <c r="S27" s="2"/>
      <c r="T27" s="6">
        <v>582.27</v>
      </c>
      <c r="U27" s="2"/>
      <c r="V27" s="7">
        <f t="shared" si="5"/>
        <v>0</v>
      </c>
      <c r="W27" s="2"/>
      <c r="X27" s="6">
        <f t="shared" si="6"/>
        <v>657.51</v>
      </c>
      <c r="Y27" s="2"/>
      <c r="Z27" s="7">
        <f t="shared" si="7"/>
        <v>1.1292184038332733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6">
        <v>32</v>
      </c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32</v>
      </c>
      <c r="M28" s="2"/>
      <c r="N28" s="7">
        <f t="shared" si="3"/>
        <v>0</v>
      </c>
      <c r="O28" s="11"/>
      <c r="P28" s="6">
        <v>72</v>
      </c>
      <c r="Q28" s="2"/>
      <c r="R28" s="7">
        <f t="shared" si="4"/>
        <v>0</v>
      </c>
      <c r="S28" s="2"/>
      <c r="T28" s="6"/>
      <c r="U28" s="2"/>
      <c r="V28" s="7">
        <f t="shared" si="5"/>
        <v>0</v>
      </c>
      <c r="W28" s="2"/>
      <c r="X28" s="6">
        <f t="shared" si="6"/>
        <v>72</v>
      </c>
      <c r="Y28" s="2"/>
      <c r="Z28" s="7">
        <f t="shared" si="7"/>
        <v>0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8959.5400000000009</v>
      </c>
      <c r="E29" s="1"/>
      <c r="F29" s="5">
        <f t="shared" ref="F29:F39" si="8">IF(D$12=0,0,D29/D$12)</f>
        <v>0</v>
      </c>
      <c r="G29" s="1"/>
      <c r="H29" s="1">
        <f>SUM(OSRRefH22_1x_0)</f>
        <v>8510.1</v>
      </c>
      <c r="I29" s="1"/>
      <c r="J29" s="5">
        <f t="shared" ref="J29:J39" si="9">IF(H$12=0,0,H29/H$12)</f>
        <v>0</v>
      </c>
      <c r="K29" s="1"/>
      <c r="L29" s="1">
        <f t="shared" ref="L29:L39" si="10">+D29-H29</f>
        <v>449.44000000000051</v>
      </c>
      <c r="M29" s="1"/>
      <c r="N29" s="5">
        <f t="shared" ref="N29:N39" si="11">IF(H29=0,0,L29/H29)</f>
        <v>5.2812540393179924E-2</v>
      </c>
      <c r="O29" s="14"/>
      <c r="P29" s="1">
        <f>SUM(OSRRefP22_1x_0)</f>
        <v>25534.799999999999</v>
      </c>
      <c r="Q29" s="1"/>
      <c r="R29" s="5">
        <f t="shared" ref="R29:R39" si="12">IF(P$12=0,0,P29/P$12)</f>
        <v>0</v>
      </c>
      <c r="S29" s="1"/>
      <c r="T29" s="1">
        <f>SUM(OSRRefT22_1x_0)</f>
        <v>27657.825000000001</v>
      </c>
      <c r="U29" s="1"/>
      <c r="V29" s="5">
        <f t="shared" ref="V29:V39" si="13">IF(T$12=0,0,T29/T$12)</f>
        <v>0</v>
      </c>
      <c r="W29" s="1"/>
      <c r="X29" s="1">
        <f t="shared" ref="X29:X39" si="14">+P29-T29</f>
        <v>-2123.0250000000015</v>
      </c>
      <c r="Y29" s="1"/>
      <c r="Z29" s="5">
        <f t="shared" ref="Z29:Z39" si="15">IF(T29=0,0,X29/T29)</f>
        <v>-7.6760374324445296E-2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6">
        <v>8959.5400000000009</v>
      </c>
      <c r="E30" s="2"/>
      <c r="F30" s="7">
        <f t="shared" si="8"/>
        <v>0</v>
      </c>
      <c r="G30" s="2"/>
      <c r="H30" s="6">
        <v>0</v>
      </c>
      <c r="I30" s="2"/>
      <c r="J30" s="7">
        <f t="shared" si="9"/>
        <v>0</v>
      </c>
      <c r="K30" s="2"/>
      <c r="L30" s="6">
        <f t="shared" si="10"/>
        <v>8959.5400000000009</v>
      </c>
      <c r="M30" s="2"/>
      <c r="N30" s="7">
        <f t="shared" si="11"/>
        <v>0</v>
      </c>
      <c r="O30" s="11"/>
      <c r="P30" s="6">
        <v>25534.799999999999</v>
      </c>
      <c r="Q30" s="2"/>
      <c r="R30" s="7">
        <f t="shared" si="12"/>
        <v>0</v>
      </c>
      <c r="S30" s="2"/>
      <c r="T30" s="6">
        <v>0</v>
      </c>
      <c r="U30" s="2"/>
      <c r="V30" s="7">
        <f t="shared" si="13"/>
        <v>0</v>
      </c>
      <c r="W30" s="2"/>
      <c r="X30" s="6">
        <f t="shared" si="14"/>
        <v>25534.799999999999</v>
      </c>
      <c r="Y30" s="2"/>
      <c r="Z30" s="7">
        <f t="shared" si="15"/>
        <v>0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6"/>
      <c r="E31" s="2"/>
      <c r="F31" s="7">
        <f t="shared" si="8"/>
        <v>0</v>
      </c>
      <c r="G31" s="2"/>
      <c r="H31" s="6">
        <v>8510.1</v>
      </c>
      <c r="I31" s="2"/>
      <c r="J31" s="7">
        <f t="shared" si="9"/>
        <v>0</v>
      </c>
      <c r="K31" s="2"/>
      <c r="L31" s="6">
        <f t="shared" si="10"/>
        <v>-8510.1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27657.825000000001</v>
      </c>
      <c r="U31" s="2"/>
      <c r="V31" s="7">
        <f t="shared" si="13"/>
        <v>0</v>
      </c>
      <c r="W31" s="2"/>
      <c r="X31" s="6">
        <f t="shared" si="14"/>
        <v>-27657.825000000001</v>
      </c>
      <c r="Y31" s="2"/>
      <c r="Z31" s="7">
        <f t="shared" si="15"/>
        <v>-1</v>
      </c>
    </row>
    <row r="32" spans="1:26" s="24" customFormat="1" hidden="1" outlineLevel="2" x14ac:dyDescent="0.25">
      <c r="A32" s="29"/>
      <c r="B32" s="11" t="str">
        <f>CONCATENATE("          ", "6003", " - ", "STAFF HOURLY-9 MONTH")</f>
        <v xml:space="preserve">          6003 - STAFF HOURLY-9 MONTH</v>
      </c>
      <c r="C32" s="11"/>
      <c r="D32" s="6"/>
      <c r="E32" s="2"/>
      <c r="F32" s="7">
        <f t="shared" si="8"/>
        <v>0</v>
      </c>
      <c r="G32" s="2"/>
      <c r="H32" s="6">
        <v>0</v>
      </c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6"/>
      <c r="E33" s="2"/>
      <c r="F33" s="7">
        <f t="shared" si="8"/>
        <v>0</v>
      </c>
      <c r="G33" s="2"/>
      <c r="H33" s="6">
        <v>0</v>
      </c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/>
      <c r="Q33" s="2"/>
      <c r="R33" s="7">
        <f t="shared" si="12"/>
        <v>0</v>
      </c>
      <c r="S33" s="2"/>
      <c r="T33" s="6">
        <v>0</v>
      </c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6"/>
      <c r="E34" s="2"/>
      <c r="F34" s="7">
        <f t="shared" si="8"/>
        <v>0</v>
      </c>
      <c r="G34" s="2"/>
      <c r="H34" s="6">
        <v>0</v>
      </c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/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6"/>
      <c r="E35" s="2"/>
      <c r="F35" s="7">
        <f t="shared" si="8"/>
        <v>0</v>
      </c>
      <c r="G35" s="2"/>
      <c r="H35" s="6">
        <v>0</v>
      </c>
      <c r="I35" s="2"/>
      <c r="J35" s="7">
        <f t="shared" si="9"/>
        <v>0</v>
      </c>
      <c r="K35" s="2"/>
      <c r="L35" s="6">
        <f t="shared" si="10"/>
        <v>0</v>
      </c>
      <c r="M35" s="2"/>
      <c r="N35" s="7">
        <f t="shared" si="11"/>
        <v>0</v>
      </c>
      <c r="O35" s="11"/>
      <c r="P35" s="6"/>
      <c r="Q35" s="2"/>
      <c r="R35" s="7">
        <f t="shared" si="12"/>
        <v>0</v>
      </c>
      <c r="S35" s="2"/>
      <c r="T35" s="6">
        <v>0</v>
      </c>
      <c r="U35" s="2"/>
      <c r="V35" s="7">
        <f t="shared" si="13"/>
        <v>0</v>
      </c>
      <c r="W35" s="2"/>
      <c r="X35" s="6">
        <f t="shared" si="14"/>
        <v>0</v>
      </c>
      <c r="Y35" s="2"/>
      <c r="Z35" s="7">
        <f t="shared" si="15"/>
        <v>0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8"/>
        <v>0</v>
      </c>
      <c r="G36" s="2"/>
      <c r="H36" s="6">
        <v>0</v>
      </c>
      <c r="I36" s="2"/>
      <c r="J36" s="7">
        <f t="shared" si="9"/>
        <v>0</v>
      </c>
      <c r="K36" s="2"/>
      <c r="L36" s="6">
        <f t="shared" si="10"/>
        <v>0</v>
      </c>
      <c r="M36" s="2"/>
      <c r="N36" s="7">
        <f t="shared" si="11"/>
        <v>0</v>
      </c>
      <c r="O36" s="11"/>
      <c r="P36" s="6"/>
      <c r="Q36" s="2"/>
      <c r="R36" s="7">
        <f t="shared" si="12"/>
        <v>0</v>
      </c>
      <c r="S36" s="2"/>
      <c r="T36" s="6">
        <v>0</v>
      </c>
      <c r="U36" s="2"/>
      <c r="V36" s="7">
        <f t="shared" si="13"/>
        <v>0</v>
      </c>
      <c r="W36" s="2"/>
      <c r="X36" s="6">
        <f t="shared" si="14"/>
        <v>0</v>
      </c>
      <c r="Y36" s="2"/>
      <c r="Z36" s="7">
        <f t="shared" si="15"/>
        <v>0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6"/>
      <c r="E37" s="2"/>
      <c r="F37" s="7">
        <f t="shared" si="8"/>
        <v>0</v>
      </c>
      <c r="G37" s="2"/>
      <c r="H37" s="6">
        <v>0</v>
      </c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0</v>
      </c>
      <c r="U37" s="2"/>
      <c r="V37" s="7">
        <f t="shared" si="13"/>
        <v>0</v>
      </c>
      <c r="W37" s="2"/>
      <c r="X37" s="6">
        <f t="shared" si="14"/>
        <v>0</v>
      </c>
      <c r="Y37" s="2"/>
      <c r="Z37" s="7">
        <f t="shared" si="15"/>
        <v>0</v>
      </c>
    </row>
    <row r="38" spans="1:26" s="24" customFormat="1" hidden="1" outlineLevel="2" x14ac:dyDescent="0.25">
      <c r="A38" s="29"/>
      <c r="B38" s="11" t="str">
        <f>CONCATENATE("          ", "6009", " - ", "TEMPORARY-SEASONAL")</f>
        <v xml:space="preserve">          6009 - TEMPORARY-SEASONAL</v>
      </c>
      <c r="C38" s="11"/>
      <c r="D38" s="6"/>
      <c r="E38" s="2"/>
      <c r="F38" s="7">
        <f t="shared" si="8"/>
        <v>0</v>
      </c>
      <c r="G38" s="2"/>
      <c r="H38" s="6">
        <v>0</v>
      </c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/>
      <c r="Q38" s="2"/>
      <c r="R38" s="7">
        <f t="shared" si="12"/>
        <v>0</v>
      </c>
      <c r="S38" s="2"/>
      <c r="T38" s="6">
        <v>0</v>
      </c>
      <c r="U38" s="2"/>
      <c r="V38" s="7">
        <f t="shared" si="13"/>
        <v>0</v>
      </c>
      <c r="W38" s="2"/>
      <c r="X38" s="6">
        <f t="shared" si="14"/>
        <v>0</v>
      </c>
      <c r="Y38" s="2"/>
      <c r="Z38" s="7">
        <f t="shared" si="15"/>
        <v>0</v>
      </c>
    </row>
    <row r="39" spans="1:26" s="24" customFormat="1" hidden="1" outlineLevel="2" x14ac:dyDescent="0.25">
      <c r="A39" s="29"/>
      <c r="B39" s="11" t="str">
        <f>CONCATENATE("          ", "6010", " - ", "GRATUITY")</f>
        <v xml:space="preserve">          6010 - GRATUITY</v>
      </c>
      <c r="C39" s="11"/>
      <c r="D39" s="6"/>
      <c r="E39" s="2"/>
      <c r="F39" s="7">
        <f t="shared" si="8"/>
        <v>0</v>
      </c>
      <c r="G39" s="2"/>
      <c r="H39" s="6">
        <v>0</v>
      </c>
      <c r="I39" s="2"/>
      <c r="J39" s="7">
        <f t="shared" si="9"/>
        <v>0</v>
      </c>
      <c r="K39" s="2"/>
      <c r="L39" s="6">
        <f t="shared" si="10"/>
        <v>0</v>
      </c>
      <c r="M39" s="2"/>
      <c r="N39" s="7">
        <f t="shared" si="11"/>
        <v>0</v>
      </c>
      <c r="O39" s="11"/>
      <c r="P39" s="6"/>
      <c r="Q39" s="2"/>
      <c r="R39" s="7">
        <f t="shared" si="12"/>
        <v>0</v>
      </c>
      <c r="S39" s="2"/>
      <c r="T39" s="6">
        <v>0</v>
      </c>
      <c r="U39" s="2"/>
      <c r="V39" s="7">
        <f t="shared" si="13"/>
        <v>0</v>
      </c>
      <c r="W39" s="2"/>
      <c r="X39" s="6">
        <f t="shared" si="14"/>
        <v>0</v>
      </c>
      <c r="Y39" s="2"/>
      <c r="Z39" s="7">
        <f t="shared" si="15"/>
        <v>0</v>
      </c>
    </row>
    <row r="40" spans="1:26" s="28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SUM(OSRRefD22_2x_0)</f>
        <v>1.65</v>
      </c>
      <c r="E40" s="1"/>
      <c r="F40" s="5">
        <f t="shared" ref="F40:F45" si="16">IF(D$12=0,0,D40/D$12)</f>
        <v>0</v>
      </c>
      <c r="G40" s="1"/>
      <c r="H40" s="1">
        <f>SUM(OSRRefH22_2x_0)</f>
        <v>0</v>
      </c>
      <c r="I40" s="1"/>
      <c r="J40" s="5">
        <f t="shared" ref="J40:J45" si="17">IF(H$12=0,0,H40/H$12)</f>
        <v>0</v>
      </c>
      <c r="K40" s="1"/>
      <c r="L40" s="1">
        <f t="shared" ref="L40:L45" si="18">+D40-H40</f>
        <v>1.65</v>
      </c>
      <c r="M40" s="1"/>
      <c r="N40" s="5">
        <f t="shared" ref="N40:N45" si="19">IF(H40=0,0,L40/H40)</f>
        <v>0</v>
      </c>
      <c r="O40" s="14"/>
      <c r="P40" s="1">
        <f>SUM(OSRRefP22_2x_0)</f>
        <v>1.65</v>
      </c>
      <c r="Q40" s="1"/>
      <c r="R40" s="5">
        <f t="shared" ref="R40:R45" si="20">IF(P$12=0,0,P40/P$12)</f>
        <v>0</v>
      </c>
      <c r="S40" s="1"/>
      <c r="T40" s="1">
        <f>SUM(OSRRefT22_2x_0)</f>
        <v>0</v>
      </c>
      <c r="U40" s="1"/>
      <c r="V40" s="5">
        <f t="shared" ref="V40:V45" si="21">IF(T$12=0,0,T40/T$12)</f>
        <v>0</v>
      </c>
      <c r="W40" s="1"/>
      <c r="X40" s="1">
        <f t="shared" ref="X40:X45" si="22">+P40-T40</f>
        <v>1.65</v>
      </c>
      <c r="Y40" s="1"/>
      <c r="Z40" s="5">
        <f t="shared" ref="Z40:Z45" si="23">IF(T40=0,0,X40/T40)</f>
        <v>0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6">
        <v>1.65</v>
      </c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1.65</v>
      </c>
      <c r="M41" s="2"/>
      <c r="N41" s="7">
        <f t="shared" si="19"/>
        <v>0</v>
      </c>
      <c r="O41" s="11"/>
      <c r="P41" s="6">
        <v>1.65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1.65</v>
      </c>
      <c r="Y41" s="2"/>
      <c r="Z41" s="7">
        <f t="shared" si="23"/>
        <v>0</v>
      </c>
    </row>
    <row r="42" spans="1:26" s="28" customFormat="1" outlineLevel="1" collapsed="1" x14ac:dyDescent="0.25">
      <c r="A42" s="27"/>
      <c r="B42" s="14" t="str">
        <f>CONCATENATE("     ","Supplies                                          ")</f>
        <v xml:space="preserve">     Supplies                                          </v>
      </c>
      <c r="C42" s="14"/>
      <c r="D42" s="1">
        <f>SUM(OSRRefD22_3x_0)</f>
        <v>0</v>
      </c>
      <c r="E42" s="1"/>
      <c r="F42" s="5">
        <f t="shared" si="16"/>
        <v>0</v>
      </c>
      <c r="G42" s="1"/>
      <c r="H42" s="1">
        <f>SUM(OSRRefH22_3x_0)</f>
        <v>400</v>
      </c>
      <c r="I42" s="1"/>
      <c r="J42" s="5">
        <f t="shared" si="17"/>
        <v>0</v>
      </c>
      <c r="K42" s="1"/>
      <c r="L42" s="1">
        <f t="shared" si="18"/>
        <v>-400</v>
      </c>
      <c r="M42" s="1"/>
      <c r="N42" s="5">
        <f t="shared" si="19"/>
        <v>-1</v>
      </c>
      <c r="O42" s="14"/>
      <c r="P42" s="1">
        <f>SUM(OSRRefP22_3x_0)</f>
        <v>4939.2</v>
      </c>
      <c r="Q42" s="1"/>
      <c r="R42" s="5">
        <f t="shared" si="20"/>
        <v>0</v>
      </c>
      <c r="S42" s="1"/>
      <c r="T42" s="1">
        <f>SUM(OSRRefT22_3x_0)</f>
        <v>1200</v>
      </c>
      <c r="U42" s="1"/>
      <c r="V42" s="5">
        <f t="shared" si="21"/>
        <v>0</v>
      </c>
      <c r="W42" s="1"/>
      <c r="X42" s="1">
        <f t="shared" si="22"/>
        <v>3739.2</v>
      </c>
      <c r="Y42" s="1"/>
      <c r="Z42" s="5">
        <f t="shared" si="23"/>
        <v>3.1159999999999997</v>
      </c>
    </row>
    <row r="43" spans="1:26" s="24" customFormat="1" hidden="1" outlineLevel="2" x14ac:dyDescent="0.25">
      <c r="A43" s="29"/>
      <c r="B43" s="11" t="str">
        <f>CONCATENATE("          ", "6234", " - ", "EXPENDABLE SUPPLIES &amp; EQUIPMEN")</f>
        <v xml:space="preserve">          6234 - EXPENDABLE SUPPLIES &amp; EQUIPMEN</v>
      </c>
      <c r="C43" s="11"/>
      <c r="D43" s="6"/>
      <c r="E43" s="2"/>
      <c r="F43" s="7">
        <f t="shared" si="16"/>
        <v>0</v>
      </c>
      <c r="G43" s="2"/>
      <c r="H43" s="6">
        <v>100</v>
      </c>
      <c r="I43" s="2"/>
      <c r="J43" s="7">
        <f t="shared" si="17"/>
        <v>0</v>
      </c>
      <c r="K43" s="2"/>
      <c r="L43" s="6">
        <f t="shared" si="18"/>
        <v>-100</v>
      </c>
      <c r="M43" s="2"/>
      <c r="N43" s="7">
        <f t="shared" si="19"/>
        <v>-1</v>
      </c>
      <c r="O43" s="11"/>
      <c r="P43" s="6"/>
      <c r="Q43" s="2"/>
      <c r="R43" s="7">
        <f t="shared" si="20"/>
        <v>0</v>
      </c>
      <c r="S43" s="2"/>
      <c r="T43" s="6">
        <v>300</v>
      </c>
      <c r="U43" s="2"/>
      <c r="V43" s="7">
        <f t="shared" si="21"/>
        <v>0</v>
      </c>
      <c r="W43" s="2"/>
      <c r="X43" s="6">
        <f t="shared" si="22"/>
        <v>-300</v>
      </c>
      <c r="Y43" s="2"/>
      <c r="Z43" s="7">
        <f t="shared" si="23"/>
        <v>-1</v>
      </c>
    </row>
    <row r="44" spans="1:26" s="24" customFormat="1" hidden="1" outlineLevel="2" x14ac:dyDescent="0.25">
      <c r="A44" s="29"/>
      <c r="B44" s="11" t="str">
        <f>CONCATENATE("          ", "6235", " - ", "COVID-19 EXPENSES")</f>
        <v xml:space="preserve">          6235 - COVID-19 EXPENSES</v>
      </c>
      <c r="C44" s="11"/>
      <c r="D44" s="6"/>
      <c r="E44" s="2"/>
      <c r="F44" s="7">
        <f t="shared" si="16"/>
        <v>0</v>
      </c>
      <c r="G44" s="2"/>
      <c r="H44" s="6">
        <v>200</v>
      </c>
      <c r="I44" s="2"/>
      <c r="J44" s="7">
        <f t="shared" si="17"/>
        <v>0</v>
      </c>
      <c r="K44" s="2"/>
      <c r="L44" s="6">
        <f t="shared" si="18"/>
        <v>-200</v>
      </c>
      <c r="M44" s="2"/>
      <c r="N44" s="7">
        <f t="shared" si="19"/>
        <v>-1</v>
      </c>
      <c r="O44" s="11"/>
      <c r="P44" s="6">
        <v>4939.2</v>
      </c>
      <c r="Q44" s="2"/>
      <c r="R44" s="7">
        <f t="shared" si="20"/>
        <v>0</v>
      </c>
      <c r="S44" s="2"/>
      <c r="T44" s="6">
        <v>600</v>
      </c>
      <c r="U44" s="2"/>
      <c r="V44" s="7">
        <f t="shared" si="21"/>
        <v>0</v>
      </c>
      <c r="W44" s="2"/>
      <c r="X44" s="6">
        <f t="shared" si="22"/>
        <v>4339.2</v>
      </c>
      <c r="Y44" s="2"/>
      <c r="Z44" s="7">
        <f t="shared" si="23"/>
        <v>7.2319999999999993</v>
      </c>
    </row>
    <row r="45" spans="1:26" s="24" customFormat="1" hidden="1" outlineLevel="2" x14ac:dyDescent="0.25">
      <c r="A45" s="29"/>
      <c r="B45" s="11" t="str">
        <f>CONCATENATE("          ", "6241", " - ", "OFFICE EXPENSE")</f>
        <v xml:space="preserve">          6241 - OFFICE EXPENSE</v>
      </c>
      <c r="C45" s="11"/>
      <c r="D45" s="6"/>
      <c r="E45" s="2"/>
      <c r="F45" s="7">
        <f t="shared" si="16"/>
        <v>0</v>
      </c>
      <c r="G45" s="2"/>
      <c r="H45" s="6">
        <v>100</v>
      </c>
      <c r="I45" s="2"/>
      <c r="J45" s="7">
        <f t="shared" si="17"/>
        <v>0</v>
      </c>
      <c r="K45" s="2"/>
      <c r="L45" s="6">
        <f t="shared" si="18"/>
        <v>-100</v>
      </c>
      <c r="M45" s="2"/>
      <c r="N45" s="7">
        <f t="shared" si="19"/>
        <v>-1</v>
      </c>
      <c r="O45" s="11"/>
      <c r="P45" s="6"/>
      <c r="Q45" s="2"/>
      <c r="R45" s="7">
        <f t="shared" si="20"/>
        <v>0</v>
      </c>
      <c r="S45" s="2"/>
      <c r="T45" s="6">
        <v>300</v>
      </c>
      <c r="U45" s="2"/>
      <c r="V45" s="7">
        <f t="shared" si="21"/>
        <v>0</v>
      </c>
      <c r="W45" s="2"/>
      <c r="X45" s="6">
        <f t="shared" si="22"/>
        <v>-300</v>
      </c>
      <c r="Y45" s="2"/>
      <c r="Z45" s="7">
        <f t="shared" si="23"/>
        <v>-1</v>
      </c>
    </row>
    <row r="46" spans="1:26" s="28" customFormat="1" outlineLevel="1" collapsed="1" x14ac:dyDescent="0.25">
      <c r="A46" s="27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SUM(OSRRefD22_4x_0)</f>
        <v>150</v>
      </c>
      <c r="E46" s="1"/>
      <c r="F46" s="5">
        <f t="shared" ref="F46:F48" si="24">IF(D$12=0,0,D46/D$12)</f>
        <v>0</v>
      </c>
      <c r="G46" s="1"/>
      <c r="H46" s="1">
        <f>SUM(OSRRefH22_4x_0)</f>
        <v>100</v>
      </c>
      <c r="I46" s="1"/>
      <c r="J46" s="5">
        <f t="shared" ref="J46:J48" si="25">IF(H$12=0,0,H46/H$12)</f>
        <v>0</v>
      </c>
      <c r="K46" s="1"/>
      <c r="L46" s="1">
        <f t="shared" ref="L46:L48" si="26">+D46-H46</f>
        <v>50</v>
      </c>
      <c r="M46" s="1"/>
      <c r="N46" s="5">
        <f t="shared" ref="N46:N48" si="27">IF(H46=0,0,L46/H46)</f>
        <v>0.5</v>
      </c>
      <c r="O46" s="14"/>
      <c r="P46" s="1">
        <f>SUM(OSRRefP22_4x_0)</f>
        <v>250</v>
      </c>
      <c r="Q46" s="1"/>
      <c r="R46" s="5">
        <f t="shared" ref="R46:R48" si="28">IF(P$12=0,0,P46/P$12)</f>
        <v>0</v>
      </c>
      <c r="S46" s="1"/>
      <c r="T46" s="1">
        <f>SUM(OSRRefT22_4x_0)</f>
        <v>300</v>
      </c>
      <c r="U46" s="1"/>
      <c r="V46" s="5">
        <f t="shared" ref="V46:V48" si="29">IF(T$12=0,0,T46/T$12)</f>
        <v>0</v>
      </c>
      <c r="W46" s="1"/>
      <c r="X46" s="1">
        <f t="shared" ref="X46:X48" si="30">+P46-T46</f>
        <v>-50</v>
      </c>
      <c r="Y46" s="1"/>
      <c r="Z46" s="5">
        <f t="shared" ref="Z46:Z48" si="31">IF(T46=0,0,X46/T46)</f>
        <v>-0.16666666666666666</v>
      </c>
    </row>
    <row r="47" spans="1:26" s="24" customFormat="1" hidden="1" outlineLevel="2" x14ac:dyDescent="0.25">
      <c r="A47" s="29"/>
      <c r="B47" s="11" t="str">
        <f>CONCATENATE("          ", "6303", " - ", "DATA PHONE LINES")</f>
        <v xml:space="preserve">          6303 - DATA PHONE LINES</v>
      </c>
      <c r="C47" s="11"/>
      <c r="D47" s="6"/>
      <c r="E47" s="2"/>
      <c r="F47" s="7">
        <f t="shared" si="24"/>
        <v>0</v>
      </c>
      <c r="G47" s="2"/>
      <c r="H47" s="6">
        <v>50</v>
      </c>
      <c r="I47" s="2"/>
      <c r="J47" s="7">
        <f t="shared" si="25"/>
        <v>0</v>
      </c>
      <c r="K47" s="2"/>
      <c r="L47" s="6">
        <f t="shared" si="26"/>
        <v>-50</v>
      </c>
      <c r="M47" s="2"/>
      <c r="N47" s="7">
        <f t="shared" si="27"/>
        <v>-1</v>
      </c>
      <c r="O47" s="11"/>
      <c r="P47" s="6"/>
      <c r="Q47" s="2"/>
      <c r="R47" s="7">
        <f t="shared" si="28"/>
        <v>0</v>
      </c>
      <c r="S47" s="2"/>
      <c r="T47" s="6">
        <v>150</v>
      </c>
      <c r="U47" s="2"/>
      <c r="V47" s="7">
        <f t="shared" si="29"/>
        <v>0</v>
      </c>
      <c r="W47" s="2"/>
      <c r="X47" s="6">
        <f t="shared" si="30"/>
        <v>-150</v>
      </c>
      <c r="Y47" s="2"/>
      <c r="Z47" s="7">
        <f t="shared" si="31"/>
        <v>-1</v>
      </c>
    </row>
    <row r="48" spans="1:26" s="24" customFormat="1" hidden="1" outlineLevel="2" x14ac:dyDescent="0.25">
      <c r="A48" s="29"/>
      <c r="B48" s="11" t="str">
        <f>CONCATENATE("          ", "6309", " - ", "TELEPHONE")</f>
        <v xml:space="preserve">          6309 - TELEPHONE</v>
      </c>
      <c r="C48" s="11"/>
      <c r="D48" s="6">
        <v>150</v>
      </c>
      <c r="E48" s="2"/>
      <c r="F48" s="7">
        <f t="shared" si="24"/>
        <v>0</v>
      </c>
      <c r="G48" s="2"/>
      <c r="H48" s="6">
        <v>50</v>
      </c>
      <c r="I48" s="2"/>
      <c r="J48" s="7">
        <f t="shared" si="25"/>
        <v>0</v>
      </c>
      <c r="K48" s="2"/>
      <c r="L48" s="6">
        <f t="shared" si="26"/>
        <v>100</v>
      </c>
      <c r="M48" s="2"/>
      <c r="N48" s="7">
        <f t="shared" si="27"/>
        <v>2</v>
      </c>
      <c r="O48" s="11"/>
      <c r="P48" s="6">
        <v>250</v>
      </c>
      <c r="Q48" s="2"/>
      <c r="R48" s="7">
        <f t="shared" si="28"/>
        <v>0</v>
      </c>
      <c r="S48" s="2"/>
      <c r="T48" s="6">
        <v>150</v>
      </c>
      <c r="U48" s="2"/>
      <c r="V48" s="7">
        <f t="shared" si="29"/>
        <v>0</v>
      </c>
      <c r="W48" s="2"/>
      <c r="X48" s="6">
        <f t="shared" si="30"/>
        <v>100</v>
      </c>
      <c r="Y48" s="2"/>
      <c r="Z48" s="7">
        <f t="shared" si="31"/>
        <v>0.66666666666666663</v>
      </c>
    </row>
    <row r="49" spans="1:26" s="28" customFormat="1" outlineLevel="1" collapsed="1" x14ac:dyDescent="0.25">
      <c r="A49" s="27"/>
      <c r="B49" s="14" t="str">
        <f>CONCATENATE("     ","Training                                          ")</f>
        <v xml:space="preserve">     Training                                          </v>
      </c>
      <c r="C49" s="14"/>
      <c r="D49" s="1">
        <f>SUM(OSRRefD22_5x_0)</f>
        <v>0</v>
      </c>
      <c r="E49" s="1"/>
      <c r="F49" s="5">
        <f t="shared" ref="F49:F52" si="32">IF(D$12=0,0,D49/D$12)</f>
        <v>0</v>
      </c>
      <c r="G49" s="1"/>
      <c r="H49" s="1">
        <f>SUM(OSRRefH22_5x_0)</f>
        <v>200</v>
      </c>
      <c r="I49" s="1"/>
      <c r="J49" s="5">
        <f t="shared" ref="J49:J52" si="33">IF(H$12=0,0,H49/H$12)</f>
        <v>0</v>
      </c>
      <c r="K49" s="1"/>
      <c r="L49" s="1">
        <f t="shared" ref="L49:L52" si="34">+D49-H49</f>
        <v>-200</v>
      </c>
      <c r="M49" s="1"/>
      <c r="N49" s="5">
        <f t="shared" ref="N49:N52" si="35">IF(H49=0,0,L49/H49)</f>
        <v>-1</v>
      </c>
      <c r="O49" s="14"/>
      <c r="P49" s="1">
        <f>SUM(OSRRefP22_5x_0)</f>
        <v>0</v>
      </c>
      <c r="Q49" s="1"/>
      <c r="R49" s="5">
        <f t="shared" ref="R49:R52" si="36">IF(P$12=0,0,P49/P$12)</f>
        <v>0</v>
      </c>
      <c r="S49" s="1"/>
      <c r="T49" s="1">
        <f>SUM(OSRRefT22_5x_0)</f>
        <v>600</v>
      </c>
      <c r="U49" s="1"/>
      <c r="V49" s="5">
        <f t="shared" ref="V49:V52" si="37">IF(T$12=0,0,T49/T$12)</f>
        <v>0</v>
      </c>
      <c r="W49" s="1"/>
      <c r="X49" s="1">
        <f t="shared" ref="X49:X52" si="38">+P49-T49</f>
        <v>-600</v>
      </c>
      <c r="Y49" s="1"/>
      <c r="Z49" s="5">
        <f t="shared" ref="Z49:Z52" si="39">IF(T49=0,0,X49/T49)</f>
        <v>-1</v>
      </c>
    </row>
    <row r="50" spans="1:26" s="24" customFormat="1" hidden="1" outlineLevel="2" x14ac:dyDescent="0.25">
      <c r="A50" s="29"/>
      <c r="B50" s="11" t="str">
        <f>CONCATENATE("          ", "6376", " - ", "TRAINING")</f>
        <v xml:space="preserve">          6376 - TRAINING</v>
      </c>
      <c r="C50" s="11"/>
      <c r="D50" s="6"/>
      <c r="E50" s="2"/>
      <c r="F50" s="7">
        <f t="shared" si="32"/>
        <v>0</v>
      </c>
      <c r="G50" s="2"/>
      <c r="H50" s="6">
        <v>200</v>
      </c>
      <c r="I50" s="2"/>
      <c r="J50" s="7">
        <f t="shared" si="33"/>
        <v>0</v>
      </c>
      <c r="K50" s="2"/>
      <c r="L50" s="6">
        <f t="shared" si="34"/>
        <v>-200</v>
      </c>
      <c r="M50" s="2"/>
      <c r="N50" s="7">
        <f t="shared" si="35"/>
        <v>-1</v>
      </c>
      <c r="O50" s="11"/>
      <c r="P50" s="6"/>
      <c r="Q50" s="2"/>
      <c r="R50" s="7">
        <f t="shared" si="36"/>
        <v>0</v>
      </c>
      <c r="S50" s="2"/>
      <c r="T50" s="6">
        <v>600</v>
      </c>
      <c r="U50" s="2"/>
      <c r="V50" s="7">
        <f t="shared" si="37"/>
        <v>0</v>
      </c>
      <c r="W50" s="2"/>
      <c r="X50" s="6">
        <f t="shared" si="38"/>
        <v>-600</v>
      </c>
      <c r="Y50" s="2"/>
      <c r="Z50" s="7">
        <f t="shared" si="39"/>
        <v>-1</v>
      </c>
    </row>
    <row r="51" spans="1:26" s="28" customFormat="1" outlineLevel="1" collapsed="1" x14ac:dyDescent="0.25">
      <c r="A51" s="27"/>
      <c r="B51" s="14" t="str">
        <f>CONCATENATE("     ","Travel                                            ")</f>
        <v xml:space="preserve">     Travel                                            </v>
      </c>
      <c r="C51" s="14"/>
      <c r="D51" s="1">
        <f>SUM(OSRRefD22_6x_0)</f>
        <v>0</v>
      </c>
      <c r="E51" s="1"/>
      <c r="F51" s="5">
        <f t="shared" si="32"/>
        <v>0</v>
      </c>
      <c r="G51" s="1"/>
      <c r="H51" s="1">
        <f>SUM(OSRRefH22_6x_0)</f>
        <v>300</v>
      </c>
      <c r="I51" s="1"/>
      <c r="J51" s="5">
        <f t="shared" si="33"/>
        <v>0</v>
      </c>
      <c r="K51" s="1"/>
      <c r="L51" s="1">
        <f t="shared" si="34"/>
        <v>-300</v>
      </c>
      <c r="M51" s="1"/>
      <c r="N51" s="5">
        <f t="shared" si="35"/>
        <v>-1</v>
      </c>
      <c r="O51" s="14"/>
      <c r="P51" s="1">
        <f>SUM(OSRRefP22_6x_0)</f>
        <v>0</v>
      </c>
      <c r="Q51" s="1"/>
      <c r="R51" s="5">
        <f t="shared" si="36"/>
        <v>0</v>
      </c>
      <c r="S51" s="1"/>
      <c r="T51" s="1">
        <f>SUM(OSRRefT22_6x_0)</f>
        <v>900</v>
      </c>
      <c r="U51" s="1"/>
      <c r="V51" s="5">
        <f t="shared" si="37"/>
        <v>0</v>
      </c>
      <c r="W51" s="1"/>
      <c r="X51" s="1">
        <f t="shared" si="38"/>
        <v>-900</v>
      </c>
      <c r="Y51" s="1"/>
      <c r="Z51" s="5">
        <f t="shared" si="39"/>
        <v>-1</v>
      </c>
    </row>
    <row r="52" spans="1:26" s="24" customFormat="1" hidden="1" outlineLevel="2" x14ac:dyDescent="0.25">
      <c r="A52" s="29"/>
      <c r="B52" s="11" t="str">
        <f>CONCATENATE("          ", "6292", " - ", "TRAVEL/CONFERENCE")</f>
        <v xml:space="preserve">          6292 - TRAVEL/CONFERENCE</v>
      </c>
      <c r="C52" s="11"/>
      <c r="D52" s="6"/>
      <c r="E52" s="2"/>
      <c r="F52" s="7">
        <f t="shared" si="32"/>
        <v>0</v>
      </c>
      <c r="G52" s="2"/>
      <c r="H52" s="6">
        <v>300</v>
      </c>
      <c r="I52" s="2"/>
      <c r="J52" s="7">
        <f t="shared" si="33"/>
        <v>0</v>
      </c>
      <c r="K52" s="2"/>
      <c r="L52" s="6">
        <f t="shared" si="34"/>
        <v>-300</v>
      </c>
      <c r="M52" s="2"/>
      <c r="N52" s="7">
        <f t="shared" si="35"/>
        <v>-1</v>
      </c>
      <c r="O52" s="11"/>
      <c r="P52" s="6"/>
      <c r="Q52" s="2"/>
      <c r="R52" s="7">
        <f t="shared" si="36"/>
        <v>0</v>
      </c>
      <c r="S52" s="2"/>
      <c r="T52" s="6">
        <v>900</v>
      </c>
      <c r="U52" s="2"/>
      <c r="V52" s="7">
        <f t="shared" si="37"/>
        <v>0</v>
      </c>
      <c r="W52" s="2"/>
      <c r="X52" s="6">
        <f t="shared" si="38"/>
        <v>-900</v>
      </c>
      <c r="Y52" s="2"/>
      <c r="Z52" s="7">
        <f t="shared" si="39"/>
        <v>-1</v>
      </c>
    </row>
    <row r="53" spans="1:26" s="61" customFormat="1" x14ac:dyDescent="0.25">
      <c r="A53" s="36"/>
      <c r="B53" s="36"/>
      <c r="C53" s="36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6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5" t="s">
        <v>0</v>
      </c>
      <c r="C54" s="10"/>
      <c r="D54" s="4">
        <f>SUM(0)</f>
        <v>0</v>
      </c>
      <c r="E54" s="4"/>
      <c r="F54" s="12">
        <f>IF(D$12=0,0,D54/D$12)</f>
        <v>0</v>
      </c>
      <c r="G54" s="4"/>
      <c r="H54" s="4">
        <f>SUM(0)</f>
        <v>0</v>
      </c>
      <c r="I54" s="4"/>
      <c r="J54" s="12">
        <f>IF(H$12=0,0,H54/H$12)</f>
        <v>0</v>
      </c>
      <c r="K54" s="4"/>
      <c r="L54" s="4">
        <f>+D54-H54</f>
        <v>0</v>
      </c>
      <c r="M54" s="4"/>
      <c r="N54" s="12">
        <f>IF(H54=0,0,L54/H54)</f>
        <v>0</v>
      </c>
      <c r="O54" s="10"/>
      <c r="P54" s="4">
        <f>SUM(0)</f>
        <v>0</v>
      </c>
      <c r="Q54" s="4"/>
      <c r="R54" s="12">
        <f>IF(P$12=0,0,P54/P$12)</f>
        <v>0</v>
      </c>
      <c r="S54" s="4"/>
      <c r="T54" s="4">
        <f>SUM(0)</f>
        <v>0</v>
      </c>
      <c r="U54" s="4"/>
      <c r="V54" s="12">
        <f>IF(T$12=0,0,T54/T$12)</f>
        <v>0</v>
      </c>
      <c r="W54" s="4"/>
      <c r="X54" s="4">
        <f>+P54-T54</f>
        <v>0</v>
      </c>
      <c r="Y54" s="4"/>
      <c r="Z54" s="12">
        <f>IF(T54=0,0,X54/T54)</f>
        <v>0</v>
      </c>
    </row>
    <row r="55" spans="1:26" x14ac:dyDescent="0.25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10"/>
      <c r="B56" s="26" t="s">
        <v>3</v>
      </c>
      <c r="C56" s="26"/>
      <c r="D56" s="20">
        <f>+D16-D18+D54</f>
        <v>-14907.630000000001</v>
      </c>
      <c r="E56" s="13"/>
      <c r="F56" s="21">
        <f>IF(D$12=0,0,D56/D$12)</f>
        <v>0</v>
      </c>
      <c r="G56" s="13"/>
      <c r="H56" s="20">
        <f>+H16-H18+H54</f>
        <v>-13801.532740000001</v>
      </c>
      <c r="I56" s="13"/>
      <c r="J56" s="21">
        <f>IF(H$12=0,0,H56/H$12)</f>
        <v>0</v>
      </c>
      <c r="K56" s="16"/>
      <c r="L56" s="20">
        <f>+D56-H56</f>
        <v>-1106.0972600000005</v>
      </c>
      <c r="M56" s="16"/>
      <c r="N56" s="21">
        <f>IF(H56=0,0,L56/H56)</f>
        <v>8.0143074022081442E-2</v>
      </c>
      <c r="O56" s="25"/>
      <c r="P56" s="20">
        <f>+P16-P18+P54</f>
        <v>-47229.96</v>
      </c>
      <c r="Q56" s="13"/>
      <c r="R56" s="21">
        <f>IF(P$12=0,0,P56/P$12)</f>
        <v>0</v>
      </c>
      <c r="S56" s="13"/>
      <c r="T56" s="20">
        <f>+T16-T18+T54</f>
        <v>-44109.981404999999</v>
      </c>
      <c r="U56" s="13"/>
      <c r="V56" s="21">
        <f>IF(T$12=0,0,T56/T$12)</f>
        <v>0</v>
      </c>
      <c r="W56" s="16"/>
      <c r="X56" s="20">
        <f>+P56-T56</f>
        <v>-3119.9785950000005</v>
      </c>
      <c r="Y56" s="16"/>
      <c r="Z56" s="21">
        <f>IF(T56=0,0,X56/T56)</f>
        <v>7.0731804812013396E-2</v>
      </c>
    </row>
    <row r="57" spans="1:26" x14ac:dyDescent="0.25">
      <c r="A57" s="9"/>
      <c r="B57" s="10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52"/>
      <c r="B58" s="10" t="s">
        <v>14</v>
      </c>
      <c r="C58" s="10"/>
      <c r="D58" s="4"/>
      <c r="E58" s="4"/>
      <c r="F58" s="12">
        <f>IF(D$12=0,0,D58/D$12)</f>
        <v>0</v>
      </c>
      <c r="G58" s="4"/>
      <c r="H58" s="4"/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/>
      <c r="Q58" s="4"/>
      <c r="R58" s="12">
        <f>IF(P$12=0,0,P58/P$12)</f>
        <v>0</v>
      </c>
      <c r="S58" s="4"/>
      <c r="T58" s="4"/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ht="15.75" thickBot="1" x14ac:dyDescent="0.3">
      <c r="A60" s="10"/>
      <c r="B60" s="26" t="s">
        <v>4</v>
      </c>
      <c r="C60" s="26"/>
      <c r="D60" s="33">
        <f>+D56-D58</f>
        <v>-14907.630000000001</v>
      </c>
      <c r="E60" s="13"/>
      <c r="F60" s="34">
        <f>IF(D$12=0,0,D60/D$12)</f>
        <v>0</v>
      </c>
      <c r="G60" s="13"/>
      <c r="H60" s="33">
        <f>+H56-H58</f>
        <v>-13801.532740000001</v>
      </c>
      <c r="I60" s="13"/>
      <c r="J60" s="34">
        <f>IF(H$12=0,0,H60/H$12)</f>
        <v>0</v>
      </c>
      <c r="K60" s="16"/>
      <c r="L60" s="33">
        <f>D60-H60</f>
        <v>-1106.0972600000005</v>
      </c>
      <c r="M60" s="16"/>
      <c r="N60" s="34">
        <f>IF(H60=0,0,L60/H60)</f>
        <v>8.0143074022081442E-2</v>
      </c>
      <c r="O60" s="25"/>
      <c r="P60" s="33">
        <f>+P56-P58</f>
        <v>-47229.96</v>
      </c>
      <c r="Q60" s="13"/>
      <c r="R60" s="34">
        <f>IF(P$12=0,0,P60/P$12)</f>
        <v>0</v>
      </c>
      <c r="S60" s="13"/>
      <c r="T60" s="33">
        <f>+T56-T58</f>
        <v>-44109.981404999999</v>
      </c>
      <c r="U60" s="13"/>
      <c r="V60" s="34">
        <f>IF(T$12=0,0,T60/T$12)</f>
        <v>0</v>
      </c>
      <c r="W60" s="16"/>
      <c r="X60" s="33">
        <f>P60-T60</f>
        <v>-3119.9785950000005</v>
      </c>
      <c r="Y60" s="16"/>
      <c r="Z60" s="34">
        <f>IF(T60=0,0,X60/T60)</f>
        <v>7.0731804812013396E-2</v>
      </c>
    </row>
    <row r="61" spans="1:26" ht="15.75" thickTop="1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x14ac:dyDescent="0.25">
      <c r="A62" s="9"/>
      <c r="B62" s="9"/>
      <c r="C62" s="9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.75" thickBot="1" x14ac:dyDescent="0.3">
      <c r="A63" s="10"/>
      <c r="B63" s="26" t="s">
        <v>5</v>
      </c>
      <c r="C63" s="26"/>
      <c r="D63" s="31">
        <f>SUM(D60:D62)</f>
        <v>-14907.630000000001</v>
      </c>
      <c r="E63" s="13"/>
      <c r="F63" s="32">
        <f>IF(D$12=0,0,D63/D$12)</f>
        <v>0</v>
      </c>
      <c r="G63" s="13"/>
      <c r="H63" s="31">
        <f>SUM(H60:H62)</f>
        <v>-13801.532740000001</v>
      </c>
      <c r="I63" s="13"/>
      <c r="J63" s="32">
        <f>IF(H$12=0,0,H63/H$12)</f>
        <v>0</v>
      </c>
      <c r="K63" s="16"/>
      <c r="L63" s="31">
        <f>+D63-H63</f>
        <v>-1106.0972600000005</v>
      </c>
      <c r="M63" s="16"/>
      <c r="N63" s="32">
        <f>IF(H63=0,0,L63/H63)</f>
        <v>8.0143074022081442E-2</v>
      </c>
      <c r="O63" s="25"/>
      <c r="P63" s="31">
        <f>SUM(P60:P62)</f>
        <v>-47229.96</v>
      </c>
      <c r="Q63" s="13"/>
      <c r="R63" s="32">
        <f>IF(P$12=0,0,P63/P$12)</f>
        <v>0</v>
      </c>
      <c r="S63" s="13"/>
      <c r="T63" s="31">
        <f>SUM(T60:T62)</f>
        <v>-44109.981404999999</v>
      </c>
      <c r="U63" s="13"/>
      <c r="V63" s="32">
        <f>IF(T$12=0,0,T63/T$12)</f>
        <v>0</v>
      </c>
      <c r="W63" s="16"/>
      <c r="X63" s="31">
        <f>+P63-T63</f>
        <v>-3119.9785950000005</v>
      </c>
      <c r="Y63" s="16"/>
      <c r="Z63" s="32">
        <f>IF(T63=0,0,X63/T63)</f>
        <v>7.0731804812013396E-2</v>
      </c>
    </row>
    <row r="64" spans="1:26" ht="15.75" thickTop="1" x14ac:dyDescent="0.25">
      <c r="A64" s="9"/>
      <c r="C64" s="9"/>
      <c r="D64" s="17"/>
      <c r="E64" s="17"/>
      <c r="G64" s="17"/>
      <c r="H64" s="17"/>
      <c r="I64" s="17"/>
      <c r="J64" s="43"/>
      <c r="K64" s="17"/>
      <c r="L64" s="17"/>
      <c r="M64" s="17"/>
      <c r="P64" s="17"/>
      <c r="Q64" s="17"/>
      <c r="R64" s="43"/>
      <c r="S64" s="17"/>
      <c r="T64" s="17"/>
      <c r="U64" s="17"/>
      <c r="V64" s="43"/>
      <c r="W64" s="17"/>
      <c r="X64" s="17"/>
    </row>
    <row r="65" spans="1:24" x14ac:dyDescent="0.25">
      <c r="A65" s="9"/>
      <c r="B65" s="55">
        <v>44123.572489386577</v>
      </c>
      <c r="D65" s="17"/>
      <c r="E65" s="17"/>
      <c r="G65" s="17"/>
      <c r="H65" s="17"/>
      <c r="I65" s="17"/>
      <c r="J65" s="43"/>
      <c r="K65" s="17"/>
      <c r="L65" s="17"/>
      <c r="M65" s="17"/>
      <c r="P65" s="17"/>
      <c r="Q65" s="17"/>
      <c r="R65" s="43"/>
      <c r="S65" s="17"/>
      <c r="T65" s="17"/>
      <c r="U65" s="17"/>
      <c r="V65" s="43"/>
      <c r="W65" s="17"/>
      <c r="X65" s="17"/>
    </row>
    <row r="66" spans="1:24" x14ac:dyDescent="0.25">
      <c r="A66" s="9"/>
      <c r="B66" s="53" t="s">
        <v>314</v>
      </c>
      <c r="D66" s="17"/>
      <c r="E66" s="17"/>
      <c r="G66" s="17"/>
      <c r="H66" s="17"/>
      <c r="I66" s="17"/>
      <c r="J66" s="43"/>
      <c r="K66" s="17"/>
      <c r="L66" s="17"/>
      <c r="M66" s="17"/>
      <c r="P66" s="17"/>
      <c r="Q66" s="17"/>
      <c r="R66" s="43"/>
      <c r="S66" s="17"/>
      <c r="T66" s="17"/>
      <c r="U66" s="17"/>
      <c r="V66" s="43"/>
      <c r="W66" s="17"/>
      <c r="X66" s="17"/>
    </row>
    <row r="67" spans="1:24" x14ac:dyDescent="0.25">
      <c r="A67" s="9"/>
      <c r="B67" s="62"/>
      <c r="D67" s="17"/>
      <c r="E67" s="17"/>
      <c r="G67" s="17"/>
      <c r="H67" s="17"/>
      <c r="I67" s="17"/>
      <c r="J67" s="43"/>
      <c r="K67" s="17"/>
      <c r="L67" s="17"/>
      <c r="M67" s="17"/>
      <c r="P67" s="17"/>
      <c r="Q67" s="17"/>
      <c r="R67" s="43"/>
      <c r="S67" s="17"/>
      <c r="T67" s="17"/>
      <c r="U67" s="17"/>
      <c r="V67" s="43"/>
      <c r="W67" s="17"/>
      <c r="X67" s="17"/>
    </row>
    <row r="68" spans="1:24" x14ac:dyDescent="0.25">
      <c r="D68" s="17"/>
      <c r="E68" s="17"/>
      <c r="G68" s="17"/>
      <c r="H68" s="17"/>
      <c r="I68" s="17"/>
      <c r="J68" s="43"/>
      <c r="K68" s="17"/>
      <c r="L68" s="17"/>
      <c r="M68" s="17"/>
      <c r="P68" s="17"/>
      <c r="Q68" s="17"/>
      <c r="R68" s="43"/>
      <c r="S68" s="17"/>
      <c r="T68" s="17"/>
      <c r="U68" s="17"/>
      <c r="V68" s="43"/>
      <c r="W68" s="17"/>
      <c r="X68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","433", " - ", "Hillside Dining Hall")</f>
        <v>Department 433 - Hillside Dining Hall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25410.25</v>
      </c>
      <c r="E12" s="4"/>
      <c r="F12" s="12"/>
      <c r="G12" s="4"/>
      <c r="H12" s="4">
        <f>SUM(OSRRefH13x_0)</f>
        <v>185276</v>
      </c>
      <c r="I12" s="4"/>
      <c r="J12" s="12"/>
      <c r="K12" s="4"/>
      <c r="L12" s="4">
        <f t="shared" ref="L12:L16" si="0">+D12-H12</f>
        <v>-159865.75</v>
      </c>
      <c r="M12" s="4"/>
      <c r="N12" s="12">
        <f t="shared" ref="N12:N16" si="1">IF(H12=0,0,L12/H12)</f>
        <v>-0.86285190742459894</v>
      </c>
      <c r="O12" s="10"/>
      <c r="P12" s="4">
        <f>SUM(OSRRefP13x_0)</f>
        <v>47895.17</v>
      </c>
      <c r="Q12" s="4"/>
      <c r="R12" s="12"/>
      <c r="S12" s="4"/>
      <c r="T12" s="4">
        <f>SUM(OSRRefT13x_0)</f>
        <v>231595</v>
      </c>
      <c r="U12" s="4"/>
      <c r="V12" s="12"/>
      <c r="W12" s="4"/>
      <c r="X12" s="4">
        <f t="shared" ref="X12:X16" si="2">+P12-T12</f>
        <v>-183699.83000000002</v>
      </c>
      <c r="Y12" s="4"/>
      <c r="Z12" s="12">
        <f t="shared" ref="Z12:Z16" si="3">IF(T12=0,0,X12/T12)</f>
        <v>-0.79319428312355633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 t="shared" ref="D13:D14" si="4">0</f>
        <v>0</v>
      </c>
      <c r="E13" s="2"/>
      <c r="F13" s="22"/>
      <c r="G13" s="2"/>
      <c r="H13" s="2"/>
      <c r="I13" s="2"/>
      <c r="J13" s="22"/>
      <c r="K13" s="2"/>
      <c r="L13" s="2">
        <f t="shared" si="0"/>
        <v>0</v>
      </c>
      <c r="M13" s="2"/>
      <c r="N13" s="22">
        <f t="shared" si="1"/>
        <v>0</v>
      </c>
      <c r="O13" s="11"/>
      <c r="P13" s="2">
        <f>--217.65</f>
        <v>217.65</v>
      </c>
      <c r="Q13" s="2"/>
      <c r="R13" s="22"/>
      <c r="S13" s="2"/>
      <c r="T13" s="2"/>
      <c r="U13" s="2"/>
      <c r="V13" s="22"/>
      <c r="W13" s="2"/>
      <c r="X13" s="2">
        <f t="shared" si="2"/>
        <v>217.65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 t="shared" si="4"/>
        <v>0</v>
      </c>
      <c r="E14" s="2"/>
      <c r="F14" s="22"/>
      <c r="G14" s="2"/>
      <c r="H14" s="2">
        <v>185276</v>
      </c>
      <c r="I14" s="2"/>
      <c r="J14" s="22"/>
      <c r="K14" s="2"/>
      <c r="L14" s="2">
        <f t="shared" si="0"/>
        <v>-185276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231595</v>
      </c>
      <c r="U14" s="2"/>
      <c r="V14" s="22"/>
      <c r="W14" s="2"/>
      <c r="X14" s="2">
        <f t="shared" si="2"/>
        <v>-231595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--25090.25</f>
        <v>25090.25</v>
      </c>
      <c r="E15" s="2"/>
      <c r="F15" s="22"/>
      <c r="G15" s="2"/>
      <c r="H15" s="2"/>
      <c r="I15" s="2"/>
      <c r="J15" s="22"/>
      <c r="K15" s="2"/>
      <c r="L15" s="2">
        <f t="shared" si="0"/>
        <v>25090.25</v>
      </c>
      <c r="M15" s="2"/>
      <c r="N15" s="22">
        <f t="shared" si="1"/>
        <v>0</v>
      </c>
      <c r="O15" s="11"/>
      <c r="P15" s="2">
        <f>--28190.25</f>
        <v>28190.25</v>
      </c>
      <c r="Q15" s="2"/>
      <c r="R15" s="22"/>
      <c r="S15" s="2"/>
      <c r="T15" s="2"/>
      <c r="U15" s="2"/>
      <c r="V15" s="22"/>
      <c r="W15" s="2"/>
      <c r="X15" s="2">
        <f t="shared" si="2"/>
        <v>28190.25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--320</f>
        <v>320</v>
      </c>
      <c r="E16" s="2"/>
      <c r="F16" s="22"/>
      <c r="G16" s="2"/>
      <c r="H16" s="2"/>
      <c r="I16" s="2"/>
      <c r="J16" s="22"/>
      <c r="K16" s="2"/>
      <c r="L16" s="2">
        <f t="shared" si="0"/>
        <v>320</v>
      </c>
      <c r="M16" s="2"/>
      <c r="N16" s="22">
        <f t="shared" si="1"/>
        <v>0</v>
      </c>
      <c r="O16" s="11"/>
      <c r="P16" s="2">
        <f>--19487.27</f>
        <v>19487.27</v>
      </c>
      <c r="Q16" s="2"/>
      <c r="R16" s="22"/>
      <c r="S16" s="2"/>
      <c r="T16" s="2"/>
      <c r="U16" s="2"/>
      <c r="V16" s="22"/>
      <c r="W16" s="2"/>
      <c r="X16" s="2">
        <f t="shared" si="2"/>
        <v>19487.27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0</v>
      </c>
      <c r="E18" s="4"/>
      <c r="F18" s="12">
        <f t="shared" ref="F18:F21" si="5">IF(D$12=0,0,D18/D$12)</f>
        <v>0</v>
      </c>
      <c r="G18" s="4"/>
      <c r="H18" s="4">
        <f>SUM(OSRRefH16x_0)</f>
        <v>53730</v>
      </c>
      <c r="I18" s="4"/>
      <c r="J18" s="12">
        <f t="shared" ref="J18:J21" si="6">IF(H$12=0,0,H18/H$12)</f>
        <v>0.28999978410587446</v>
      </c>
      <c r="K18" s="4"/>
      <c r="L18" s="4">
        <f t="shared" ref="L18:L21" si="7">+D18-H18</f>
        <v>-53730</v>
      </c>
      <c r="M18" s="4"/>
      <c r="N18" s="12">
        <f t="shared" ref="N18:N21" si="8">IF(H18=0,0,L18/H18)</f>
        <v>-1</v>
      </c>
      <c r="O18" s="10"/>
      <c r="P18" s="4">
        <f>SUM(OSRRefP16x_0)</f>
        <v>25116.92</v>
      </c>
      <c r="Q18" s="4"/>
      <c r="R18" s="12">
        <f t="shared" ref="R18:R21" si="9">IF(P$12=0,0,P18/P$12)</f>
        <v>0.52441446600982933</v>
      </c>
      <c r="S18" s="4"/>
      <c r="T18" s="4">
        <f>SUM(OSRRefT16x_0)</f>
        <v>68320</v>
      </c>
      <c r="U18" s="4"/>
      <c r="V18" s="12">
        <f t="shared" ref="V18:V21" si="10">IF(T$12=0,0,T18/T$12)</f>
        <v>0.29499773311168204</v>
      </c>
      <c r="W18" s="4"/>
      <c r="X18" s="4">
        <f t="shared" ref="X18:X21" si="11">+P18-T18</f>
        <v>-43203.08</v>
      </c>
      <c r="Y18" s="4"/>
      <c r="Z18" s="12">
        <f t="shared" ref="Z18:Z21" si="12">IF(T18=0,0,X18/T18)</f>
        <v>-0.63236358313817331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5"/>
        <v>0</v>
      </c>
      <c r="G19" s="2"/>
      <c r="H19" s="2">
        <v>53730</v>
      </c>
      <c r="I19" s="2"/>
      <c r="J19" s="22">
        <f t="shared" si="6"/>
        <v>0.28999978410587446</v>
      </c>
      <c r="K19" s="2"/>
      <c r="L19" s="2">
        <f t="shared" si="7"/>
        <v>-53730</v>
      </c>
      <c r="M19" s="2"/>
      <c r="N19" s="22">
        <f t="shared" si="8"/>
        <v>-1</v>
      </c>
      <c r="O19" s="11"/>
      <c r="P19" s="2"/>
      <c r="Q19" s="2"/>
      <c r="R19" s="22">
        <f t="shared" si="9"/>
        <v>0</v>
      </c>
      <c r="S19" s="2"/>
      <c r="T19" s="2">
        <v>68320</v>
      </c>
      <c r="U19" s="2"/>
      <c r="V19" s="22">
        <f t="shared" si="10"/>
        <v>0.29499773311168204</v>
      </c>
      <c r="W19" s="2"/>
      <c r="X19" s="2">
        <f t="shared" si="11"/>
        <v>-68320</v>
      </c>
      <c r="Y19" s="2"/>
      <c r="Z19" s="22">
        <f t="shared" si="12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/>
      <c r="E20" s="2"/>
      <c r="F20" s="22">
        <f t="shared" si="5"/>
        <v>0</v>
      </c>
      <c r="G20" s="2"/>
      <c r="H20" s="2"/>
      <c r="I20" s="2"/>
      <c r="J20" s="22">
        <f t="shared" si="6"/>
        <v>0</v>
      </c>
      <c r="K20" s="2"/>
      <c r="L20" s="2">
        <f t="shared" si="7"/>
        <v>0</v>
      </c>
      <c r="M20" s="2"/>
      <c r="N20" s="22">
        <f t="shared" si="8"/>
        <v>0</v>
      </c>
      <c r="O20" s="11"/>
      <c r="P20" s="2">
        <v>14204.92</v>
      </c>
      <c r="Q20" s="2"/>
      <c r="R20" s="22">
        <f t="shared" si="9"/>
        <v>0.29658355946956655</v>
      </c>
      <c r="S20" s="2"/>
      <c r="T20" s="2"/>
      <c r="U20" s="2"/>
      <c r="V20" s="22">
        <f t="shared" si="10"/>
        <v>0</v>
      </c>
      <c r="W20" s="2"/>
      <c r="X20" s="2">
        <f t="shared" si="11"/>
        <v>14204.92</v>
      </c>
      <c r="Y20" s="2"/>
      <c r="Z20" s="22">
        <f t="shared" si="12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22">
        <f t="shared" si="5"/>
        <v>0</v>
      </c>
      <c r="G21" s="2"/>
      <c r="H21" s="2"/>
      <c r="I21" s="2"/>
      <c r="J21" s="22">
        <f t="shared" si="6"/>
        <v>0</v>
      </c>
      <c r="K21" s="2"/>
      <c r="L21" s="2">
        <f t="shared" si="7"/>
        <v>0</v>
      </c>
      <c r="M21" s="2"/>
      <c r="N21" s="22">
        <f t="shared" si="8"/>
        <v>0</v>
      </c>
      <c r="O21" s="11"/>
      <c r="P21" s="2">
        <v>10912</v>
      </c>
      <c r="Q21" s="2"/>
      <c r="R21" s="22">
        <f t="shared" si="9"/>
        <v>0.22783090654026283</v>
      </c>
      <c r="S21" s="2"/>
      <c r="T21" s="2"/>
      <c r="U21" s="2"/>
      <c r="V21" s="22">
        <f t="shared" si="10"/>
        <v>0</v>
      </c>
      <c r="W21" s="2"/>
      <c r="X21" s="2">
        <f t="shared" si="11"/>
        <v>10912</v>
      </c>
      <c r="Y21" s="2"/>
      <c r="Z21" s="22">
        <f t="shared" si="12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0">
        <f>D12-D18</f>
        <v>25410.25</v>
      </c>
      <c r="E23" s="13"/>
      <c r="F23" s="21">
        <f>IF(D$12=0,0,D23/D$12)</f>
        <v>1</v>
      </c>
      <c r="G23" s="13"/>
      <c r="H23" s="20">
        <f>H12-H18</f>
        <v>131546</v>
      </c>
      <c r="I23" s="13"/>
      <c r="J23" s="21">
        <f>IF(H$12=0,0,H23/H$12)</f>
        <v>0.71000021589412554</v>
      </c>
      <c r="K23" s="16"/>
      <c r="L23" s="20">
        <f>+D23-H23</f>
        <v>-106135.75</v>
      </c>
      <c r="M23" s="16"/>
      <c r="N23" s="21">
        <f>IF(H23=0,0,L23/H23)</f>
        <v>-0.80683373116628399</v>
      </c>
      <c r="O23" s="25"/>
      <c r="P23" s="20">
        <f>P12-P18</f>
        <v>22778.25</v>
      </c>
      <c r="Q23" s="13"/>
      <c r="R23" s="21">
        <f>IF(P$12=0,0,P23/P$12)</f>
        <v>0.47558553399017062</v>
      </c>
      <c r="S23" s="13"/>
      <c r="T23" s="20">
        <f>T12-T18</f>
        <v>163275</v>
      </c>
      <c r="U23" s="13"/>
      <c r="V23" s="21">
        <f>IF(T$12=0,0,T23/T$12)</f>
        <v>0.70500226688831802</v>
      </c>
      <c r="W23" s="16"/>
      <c r="X23" s="20">
        <f>+P23-T23</f>
        <v>-140496.75</v>
      </c>
      <c r="Y23" s="16"/>
      <c r="Z23" s="21">
        <f>IF(T23=0,0,X23/T23)</f>
        <v>-0.86049150206706482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19">
        <f>SUM(OSRRefD22x_0)</f>
        <v>51893.159999999989</v>
      </c>
      <c r="E25" s="19"/>
      <c r="F25" s="35">
        <f t="shared" ref="F25:F36" si="13">IF(D$12=0,0,D25/D$12)</f>
        <v>2.0422136736159615</v>
      </c>
      <c r="G25" s="19"/>
      <c r="H25" s="19">
        <f>SUM(OSRRefH22x_0)</f>
        <v>129742.61273076924</v>
      </c>
      <c r="I25" s="19"/>
      <c r="J25" s="35">
        <f t="shared" ref="J25:J36" si="14">IF(H$12=0,0,H25/H$12)</f>
        <v>0.70026669795747554</v>
      </c>
      <c r="K25" s="4"/>
      <c r="L25" s="19">
        <f t="shared" ref="L25:L36" si="15">+D25-H25</f>
        <v>-77849.452730769248</v>
      </c>
      <c r="M25" s="4"/>
      <c r="N25" s="35">
        <f t="shared" ref="N25:N36" si="16">IF(H25=0,0,L25/H25)</f>
        <v>-0.60002994461284487</v>
      </c>
      <c r="O25" s="10"/>
      <c r="P25" s="19">
        <f>SUM(OSRRefP22x_0)</f>
        <v>165414.93</v>
      </c>
      <c r="Q25" s="19"/>
      <c r="R25" s="35">
        <f t="shared" ref="R25:R36" si="17">IF(P$12=0,0,P25/P$12)</f>
        <v>3.4536870836871443</v>
      </c>
      <c r="S25" s="19"/>
      <c r="T25" s="19">
        <f>SUM(OSRRefT22x_0)</f>
        <v>327184.65799500002</v>
      </c>
      <c r="U25" s="19"/>
      <c r="V25" s="35">
        <f t="shared" ref="V25:V36" si="18">IF(T$12=0,0,T25/T$12)</f>
        <v>1.4127449124333427</v>
      </c>
      <c r="W25" s="4"/>
      <c r="X25" s="19">
        <f t="shared" ref="X25:X36" si="19">+P25-T25</f>
        <v>-161769.72799500002</v>
      </c>
      <c r="Y25" s="4"/>
      <c r="Z25" s="35">
        <f t="shared" ref="Z25:Z36" si="20">IF(T25=0,0,X25/T25)</f>
        <v>-0.49442944234100417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21183.35</v>
      </c>
      <c r="E26" s="1"/>
      <c r="F26" s="5">
        <f t="shared" si="13"/>
        <v>0.83365374209226584</v>
      </c>
      <c r="G26" s="1"/>
      <c r="H26" s="1">
        <f>SUM(OSRRefH22_0x_0)</f>
        <v>30715.991192307738</v>
      </c>
      <c r="I26" s="1"/>
      <c r="J26" s="5">
        <f t="shared" si="14"/>
        <v>0.16578505144923109</v>
      </c>
      <c r="K26" s="1"/>
      <c r="L26" s="1">
        <f t="shared" si="15"/>
        <v>-9532.6411923077394</v>
      </c>
      <c r="M26" s="1"/>
      <c r="N26" s="5">
        <f t="shared" si="16"/>
        <v>-0.31034782933181126</v>
      </c>
      <c r="O26" s="14"/>
      <c r="P26" s="1">
        <f>SUM(OSRRefP22_0x_0)</f>
        <v>60419.62999999999</v>
      </c>
      <c r="Q26" s="1"/>
      <c r="R26" s="5">
        <f t="shared" si="17"/>
        <v>1.2614973493151813</v>
      </c>
      <c r="S26" s="1"/>
      <c r="T26" s="1">
        <f>SUM(OSRRefT22_0x_0)</f>
        <v>92949.387995000099</v>
      </c>
      <c r="U26" s="1"/>
      <c r="V26" s="5">
        <f t="shared" si="18"/>
        <v>0.40134453677756471</v>
      </c>
      <c r="W26" s="1"/>
      <c r="X26" s="1">
        <f t="shared" si="19"/>
        <v>-32529.757995000109</v>
      </c>
      <c r="Y26" s="1"/>
      <c r="Z26" s="5">
        <f t="shared" si="20"/>
        <v>-0.34997280451970203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6">
        <v>2075.86</v>
      </c>
      <c r="E27" s="2"/>
      <c r="F27" s="7">
        <f t="shared" si="13"/>
        <v>8.1693804665440128E-2</v>
      </c>
      <c r="G27" s="2"/>
      <c r="H27" s="6">
        <v>3540.6898846153804</v>
      </c>
      <c r="I27" s="2"/>
      <c r="J27" s="7">
        <f t="shared" si="14"/>
        <v>1.911035365948844E-2</v>
      </c>
      <c r="K27" s="2"/>
      <c r="L27" s="6">
        <f t="shared" si="15"/>
        <v>-1464.8298846153803</v>
      </c>
      <c r="M27" s="2"/>
      <c r="N27" s="7">
        <f t="shared" si="16"/>
        <v>-0.41371312720162229</v>
      </c>
      <c r="O27" s="11"/>
      <c r="P27" s="6">
        <v>5903.22</v>
      </c>
      <c r="Q27" s="2"/>
      <c r="R27" s="7">
        <f t="shared" si="17"/>
        <v>0.12325292926196943</v>
      </c>
      <c r="S27" s="2"/>
      <c r="T27" s="6">
        <v>10030.51924499999</v>
      </c>
      <c r="U27" s="2"/>
      <c r="V27" s="7">
        <f t="shared" si="18"/>
        <v>4.3310603618385506E-2</v>
      </c>
      <c r="W27" s="2"/>
      <c r="X27" s="6">
        <f t="shared" si="19"/>
        <v>-4127.2992449999902</v>
      </c>
      <c r="Y27" s="2"/>
      <c r="Z27" s="7">
        <f t="shared" si="20"/>
        <v>-0.41147413650169357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1161.18</v>
      </c>
      <c r="E28" s="2"/>
      <c r="F28" s="7">
        <f t="shared" si="13"/>
        <v>4.569730718902805E-2</v>
      </c>
      <c r="G28" s="2"/>
      <c r="H28" s="6">
        <v>2495.2950000000001</v>
      </c>
      <c r="I28" s="2"/>
      <c r="J28" s="7">
        <f t="shared" si="14"/>
        <v>1.3467988298538397E-2</v>
      </c>
      <c r="K28" s="2"/>
      <c r="L28" s="6">
        <f t="shared" si="15"/>
        <v>-1334.115</v>
      </c>
      <c r="M28" s="2"/>
      <c r="N28" s="7">
        <f t="shared" si="16"/>
        <v>-0.53465221546951358</v>
      </c>
      <c r="O28" s="11"/>
      <c r="P28" s="6">
        <v>3303.58</v>
      </c>
      <c r="Q28" s="2"/>
      <c r="R28" s="7">
        <f t="shared" si="17"/>
        <v>6.8975222344967141E-2</v>
      </c>
      <c r="S28" s="2"/>
      <c r="T28" s="6">
        <v>6133.2628500000001</v>
      </c>
      <c r="U28" s="2"/>
      <c r="V28" s="7">
        <f t="shared" si="18"/>
        <v>2.6482708391804659E-2</v>
      </c>
      <c r="W28" s="2"/>
      <c r="X28" s="6">
        <f t="shared" si="19"/>
        <v>-2829.6828500000001</v>
      </c>
      <c r="Y28" s="2"/>
      <c r="Z28" s="7">
        <f t="shared" si="20"/>
        <v>-0.46136663619430562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6">
        <v>12526.51</v>
      </c>
      <c r="E29" s="2"/>
      <c r="F29" s="7">
        <f t="shared" si="13"/>
        <v>0.49297074999262108</v>
      </c>
      <c r="G29" s="2"/>
      <c r="H29" s="6">
        <v>18733.8461538462</v>
      </c>
      <c r="I29" s="2"/>
      <c r="J29" s="7">
        <f t="shared" si="14"/>
        <v>0.10111318332566657</v>
      </c>
      <c r="K29" s="2"/>
      <c r="L29" s="6">
        <f t="shared" si="15"/>
        <v>-6207.3361538461995</v>
      </c>
      <c r="M29" s="2"/>
      <c r="N29" s="7">
        <f t="shared" si="16"/>
        <v>-0.3313433932824193</v>
      </c>
      <c r="O29" s="11"/>
      <c r="P29" s="6">
        <v>34879.599999999999</v>
      </c>
      <c r="Q29" s="2"/>
      <c r="R29" s="7">
        <f t="shared" si="17"/>
        <v>0.72824879836526313</v>
      </c>
      <c r="S29" s="2"/>
      <c r="T29" s="6">
        <v>59400.000000000102</v>
      </c>
      <c r="U29" s="2"/>
      <c r="V29" s="7">
        <f t="shared" si="18"/>
        <v>0.25648222111876379</v>
      </c>
      <c r="W29" s="2"/>
      <c r="X29" s="6">
        <f t="shared" si="19"/>
        <v>-24520.400000000103</v>
      </c>
      <c r="Y29" s="2"/>
      <c r="Z29" s="7">
        <f t="shared" si="20"/>
        <v>-0.41280134680134783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70.37</v>
      </c>
      <c r="E30" s="2"/>
      <c r="F30" s="7">
        <f t="shared" si="13"/>
        <v>2.7693548863155617E-3</v>
      </c>
      <c r="G30" s="2"/>
      <c r="H30" s="6">
        <v>151.22999999999999</v>
      </c>
      <c r="I30" s="2"/>
      <c r="J30" s="7">
        <f t="shared" si="14"/>
        <v>8.1624171506293312E-4</v>
      </c>
      <c r="K30" s="2"/>
      <c r="L30" s="6">
        <f t="shared" si="15"/>
        <v>-80.859999999999985</v>
      </c>
      <c r="M30" s="2"/>
      <c r="N30" s="7">
        <f t="shared" si="16"/>
        <v>-0.53468227203597163</v>
      </c>
      <c r="O30" s="11"/>
      <c r="P30" s="6">
        <v>200.21</v>
      </c>
      <c r="Q30" s="2"/>
      <c r="R30" s="7">
        <f t="shared" si="17"/>
        <v>4.1801709859261389E-3</v>
      </c>
      <c r="S30" s="2"/>
      <c r="T30" s="6">
        <v>371.71289999999999</v>
      </c>
      <c r="U30" s="2"/>
      <c r="V30" s="7">
        <f t="shared" si="18"/>
        <v>1.605012629806343E-3</v>
      </c>
      <c r="W30" s="2"/>
      <c r="X30" s="6">
        <f t="shared" si="19"/>
        <v>-171.50289999999998</v>
      </c>
      <c r="Y30" s="2"/>
      <c r="Z30" s="7">
        <f t="shared" si="20"/>
        <v>-0.46138538640978022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6">
        <v>950.04</v>
      </c>
      <c r="E31" s="2"/>
      <c r="F31" s="7">
        <f t="shared" si="13"/>
        <v>3.738806190415285E-2</v>
      </c>
      <c r="G31" s="2"/>
      <c r="H31" s="6">
        <v>1246.0870769230798</v>
      </c>
      <c r="I31" s="2"/>
      <c r="J31" s="7">
        <f t="shared" si="14"/>
        <v>6.7255719948783425E-3</v>
      </c>
      <c r="K31" s="2"/>
      <c r="L31" s="6">
        <f t="shared" si="15"/>
        <v>-296.04707692307989</v>
      </c>
      <c r="M31" s="2"/>
      <c r="N31" s="7">
        <f t="shared" si="16"/>
        <v>-0.2375813716438652</v>
      </c>
      <c r="O31" s="11"/>
      <c r="P31" s="6">
        <v>3325.13</v>
      </c>
      <c r="Q31" s="2"/>
      <c r="R31" s="7">
        <f t="shared" si="17"/>
        <v>6.9425163330665701E-2</v>
      </c>
      <c r="S31" s="2"/>
      <c r="T31" s="6">
        <v>4049.7830000000099</v>
      </c>
      <c r="U31" s="2"/>
      <c r="V31" s="7">
        <f t="shared" si="18"/>
        <v>1.7486487186683695E-2</v>
      </c>
      <c r="W31" s="2"/>
      <c r="X31" s="6">
        <f t="shared" si="19"/>
        <v>-724.6530000000098</v>
      </c>
      <c r="Y31" s="2"/>
      <c r="Z31" s="7">
        <f t="shared" si="20"/>
        <v>-0.17893625411534594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3"/>
        <v>0</v>
      </c>
      <c r="G32" s="2"/>
      <c r="H32" s="6">
        <v>0</v>
      </c>
      <c r="I32" s="2"/>
      <c r="J32" s="7">
        <f t="shared" si="14"/>
        <v>0</v>
      </c>
      <c r="K32" s="2"/>
      <c r="L32" s="6">
        <f t="shared" si="15"/>
        <v>0</v>
      </c>
      <c r="M32" s="2"/>
      <c r="N32" s="7">
        <f t="shared" si="16"/>
        <v>0</v>
      </c>
      <c r="O32" s="11"/>
      <c r="P32" s="6"/>
      <c r="Q32" s="2"/>
      <c r="R32" s="7">
        <f t="shared" si="17"/>
        <v>0</v>
      </c>
      <c r="S32" s="2"/>
      <c r="T32" s="6">
        <v>0</v>
      </c>
      <c r="U32" s="2"/>
      <c r="V32" s="7">
        <f t="shared" si="18"/>
        <v>0</v>
      </c>
      <c r="W32" s="2"/>
      <c r="X32" s="6">
        <f t="shared" si="19"/>
        <v>0</v>
      </c>
      <c r="Y32" s="2"/>
      <c r="Z32" s="7">
        <f t="shared" si="20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6">
        <v>386.15</v>
      </c>
      <c r="E33" s="2"/>
      <c r="F33" s="7">
        <f t="shared" si="13"/>
        <v>1.5196623409844451E-2</v>
      </c>
      <c r="G33" s="2"/>
      <c r="H33" s="6"/>
      <c r="I33" s="2"/>
      <c r="J33" s="7">
        <f t="shared" si="14"/>
        <v>0</v>
      </c>
      <c r="K33" s="2"/>
      <c r="L33" s="6">
        <f t="shared" si="15"/>
        <v>386.15</v>
      </c>
      <c r="M33" s="2"/>
      <c r="N33" s="7">
        <f t="shared" si="16"/>
        <v>0</v>
      </c>
      <c r="O33" s="11"/>
      <c r="P33" s="6">
        <v>1247.57</v>
      </c>
      <c r="Q33" s="2"/>
      <c r="R33" s="7">
        <f t="shared" si="17"/>
        <v>2.6047929258837581E-2</v>
      </c>
      <c r="S33" s="2"/>
      <c r="T33" s="6"/>
      <c r="U33" s="2"/>
      <c r="V33" s="7">
        <f t="shared" si="18"/>
        <v>0</v>
      </c>
      <c r="W33" s="2"/>
      <c r="X33" s="6">
        <f t="shared" si="19"/>
        <v>1247.57</v>
      </c>
      <c r="Y33" s="2"/>
      <c r="Z33" s="7">
        <f t="shared" si="20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6">
        <v>1900.86</v>
      </c>
      <c r="E34" s="2"/>
      <c r="F34" s="7">
        <f t="shared" si="13"/>
        <v>7.4806820082447045E-2</v>
      </c>
      <c r="G34" s="2"/>
      <c r="H34" s="6">
        <v>1260.2815384615399</v>
      </c>
      <c r="I34" s="2"/>
      <c r="J34" s="7">
        <f t="shared" si="14"/>
        <v>6.8021845164054698E-3</v>
      </c>
      <c r="K34" s="2"/>
      <c r="L34" s="6">
        <f t="shared" si="15"/>
        <v>640.57846153846003</v>
      </c>
      <c r="M34" s="2"/>
      <c r="N34" s="7">
        <f t="shared" si="16"/>
        <v>0.5082820322199052</v>
      </c>
      <c r="O34" s="11"/>
      <c r="P34" s="6">
        <v>5605.18</v>
      </c>
      <c r="Q34" s="2"/>
      <c r="R34" s="7">
        <f t="shared" si="17"/>
        <v>0.11703017235349619</v>
      </c>
      <c r="S34" s="2"/>
      <c r="T34" s="6">
        <v>4095.915</v>
      </c>
      <c r="U34" s="2"/>
      <c r="V34" s="7">
        <f t="shared" si="18"/>
        <v>1.7685679742654201E-2</v>
      </c>
      <c r="W34" s="2"/>
      <c r="X34" s="6">
        <f t="shared" si="19"/>
        <v>1509.2650000000003</v>
      </c>
      <c r="Y34" s="2"/>
      <c r="Z34" s="7">
        <f t="shared" si="20"/>
        <v>0.36848054708166561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6">
        <v>1214.78</v>
      </c>
      <c r="E35" s="2"/>
      <c r="F35" s="7">
        <f t="shared" si="13"/>
        <v>4.7806692181304788E-2</v>
      </c>
      <c r="G35" s="2"/>
      <c r="H35" s="6">
        <v>1538.5615384615398</v>
      </c>
      <c r="I35" s="2"/>
      <c r="J35" s="7">
        <f t="shared" si="14"/>
        <v>8.304159947653985E-3</v>
      </c>
      <c r="K35" s="2"/>
      <c r="L35" s="6">
        <f t="shared" si="15"/>
        <v>-323.78153846153987</v>
      </c>
      <c r="M35" s="2"/>
      <c r="N35" s="7">
        <f t="shared" si="16"/>
        <v>-0.21044432111912798</v>
      </c>
      <c r="O35" s="11"/>
      <c r="P35" s="6">
        <v>3644.34</v>
      </c>
      <c r="Q35" s="2"/>
      <c r="R35" s="7">
        <f t="shared" si="17"/>
        <v>7.6089927230658133E-2</v>
      </c>
      <c r="S35" s="2"/>
      <c r="T35" s="6">
        <v>3618.1950000000002</v>
      </c>
      <c r="U35" s="2"/>
      <c r="V35" s="7">
        <f t="shared" si="18"/>
        <v>1.5622940909777845E-2</v>
      </c>
      <c r="W35" s="2"/>
      <c r="X35" s="6">
        <f t="shared" si="19"/>
        <v>26.144999999999982</v>
      </c>
      <c r="Y35" s="2"/>
      <c r="Z35" s="7">
        <f t="shared" si="20"/>
        <v>7.225978699323829E-3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6">
        <v>897.6</v>
      </c>
      <c r="E36" s="2"/>
      <c r="F36" s="7">
        <f t="shared" si="13"/>
        <v>3.5324327781111955E-2</v>
      </c>
      <c r="G36" s="2"/>
      <c r="H36" s="6">
        <v>1750</v>
      </c>
      <c r="I36" s="2"/>
      <c r="J36" s="7">
        <f t="shared" si="14"/>
        <v>9.4453679915369494E-3</v>
      </c>
      <c r="K36" s="2"/>
      <c r="L36" s="6">
        <f t="shared" si="15"/>
        <v>-852.4</v>
      </c>
      <c r="M36" s="2"/>
      <c r="N36" s="7">
        <f t="shared" si="16"/>
        <v>-0.48708571428571429</v>
      </c>
      <c r="O36" s="11"/>
      <c r="P36" s="6">
        <v>2310.8000000000002</v>
      </c>
      <c r="Q36" s="2"/>
      <c r="R36" s="7">
        <f t="shared" si="17"/>
        <v>4.824703618339804E-2</v>
      </c>
      <c r="S36" s="2"/>
      <c r="T36" s="6">
        <v>5250</v>
      </c>
      <c r="U36" s="2"/>
      <c r="V36" s="7">
        <f t="shared" si="18"/>
        <v>2.2668883179688681E-2</v>
      </c>
      <c r="W36" s="2"/>
      <c r="X36" s="6">
        <f t="shared" si="19"/>
        <v>-2939.2</v>
      </c>
      <c r="Y36" s="2"/>
      <c r="Z36" s="7">
        <f t="shared" si="20"/>
        <v>-0.55984761904761904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24018.489999999998</v>
      </c>
      <c r="E37" s="1"/>
      <c r="F37" s="5">
        <f t="shared" ref="F37:F47" si="21">IF(D$12=0,0,D37/D$12)</f>
        <v>0.94522840192442015</v>
      </c>
      <c r="G37" s="1"/>
      <c r="H37" s="1">
        <f>SUM(OSRRefH22_1x_0)</f>
        <v>56057.621538461499</v>
      </c>
      <c r="I37" s="1"/>
      <c r="J37" s="5">
        <f t="shared" ref="J37:J47" si="22">IF(H$12=0,0,H37/H$12)</f>
        <v>0.30256277952061517</v>
      </c>
      <c r="K37" s="1"/>
      <c r="L37" s="1">
        <f t="shared" ref="L37:L47" si="23">+D37-H37</f>
        <v>-32039.131538461501</v>
      </c>
      <c r="M37" s="1"/>
      <c r="N37" s="5">
        <f t="shared" ref="N37:N47" si="24">IF(H37=0,0,L37/H37)</f>
        <v>-0.57153926012503486</v>
      </c>
      <c r="O37" s="14"/>
      <c r="P37" s="1">
        <f>SUM(OSRRefP22_1x_0)</f>
        <v>68873.159999999989</v>
      </c>
      <c r="Q37" s="1"/>
      <c r="R37" s="5">
        <f t="shared" ref="R37:R47" si="25">IF(P$12=0,0,P37/P$12)</f>
        <v>1.4379980277760782</v>
      </c>
      <c r="S37" s="1"/>
      <c r="T37" s="1">
        <f>SUM(OSRRefT22_1x_0)</f>
        <v>136116.2699999999</v>
      </c>
      <c r="U37" s="1"/>
      <c r="V37" s="5">
        <f t="shared" ref="V37:V47" si="26">IF(T$12=0,0,T37/T$12)</f>
        <v>0.58773406161618302</v>
      </c>
      <c r="W37" s="1"/>
      <c r="X37" s="1">
        <f t="shared" ref="X37:X47" si="27">+P37-T37</f>
        <v>-67243.109999999913</v>
      </c>
      <c r="Y37" s="1"/>
      <c r="Z37" s="5">
        <f t="shared" ref="Z37:Z47" si="28">IF(T37=0,0,X37/T37)</f>
        <v>-0.49401228817098763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1"/>
        <v>0</v>
      </c>
      <c r="G38" s="2"/>
      <c r="H38" s="6">
        <v>0</v>
      </c>
      <c r="I38" s="2"/>
      <c r="J38" s="7">
        <f t="shared" si="22"/>
        <v>0</v>
      </c>
      <c r="K38" s="2"/>
      <c r="L38" s="6">
        <f t="shared" si="23"/>
        <v>0</v>
      </c>
      <c r="M38" s="2"/>
      <c r="N38" s="7">
        <f t="shared" si="24"/>
        <v>0</v>
      </c>
      <c r="O38" s="11"/>
      <c r="P38" s="6"/>
      <c r="Q38" s="2"/>
      <c r="R38" s="7">
        <f t="shared" si="25"/>
        <v>0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0</v>
      </c>
      <c r="Y38" s="2"/>
      <c r="Z38" s="7">
        <f t="shared" si="28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6">
        <v>9874.02</v>
      </c>
      <c r="E39" s="2"/>
      <c r="F39" s="7">
        <f t="shared" si="21"/>
        <v>0.3885841343552307</v>
      </c>
      <c r="G39" s="2"/>
      <c r="H39" s="6">
        <v>13620.021538461498</v>
      </c>
      <c r="I39" s="2"/>
      <c r="J39" s="7">
        <f t="shared" si="22"/>
        <v>7.351206599053034E-2</v>
      </c>
      <c r="K39" s="2"/>
      <c r="L39" s="6">
        <f t="shared" si="23"/>
        <v>-3746.0015384614981</v>
      </c>
      <c r="M39" s="2"/>
      <c r="N39" s="7">
        <f t="shared" si="24"/>
        <v>-0.27503638873721209</v>
      </c>
      <c r="O39" s="11"/>
      <c r="P39" s="6">
        <v>28718.26</v>
      </c>
      <c r="Q39" s="2"/>
      <c r="R39" s="7">
        <f t="shared" si="25"/>
        <v>0.59960659916229553</v>
      </c>
      <c r="S39" s="2"/>
      <c r="T39" s="6">
        <v>44265.069999999905</v>
      </c>
      <c r="U39" s="2"/>
      <c r="V39" s="7">
        <f t="shared" si="26"/>
        <v>0.19113137157537902</v>
      </c>
      <c r="W39" s="2"/>
      <c r="X39" s="6">
        <f t="shared" si="27"/>
        <v>-15546.809999999907</v>
      </c>
      <c r="Y39" s="2"/>
      <c r="Z39" s="7">
        <f t="shared" si="28"/>
        <v>-0.35122072550658884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1"/>
        <v>0</v>
      </c>
      <c r="G40" s="2"/>
      <c r="H40" s="6">
        <v>0</v>
      </c>
      <c r="I40" s="2"/>
      <c r="J40" s="7">
        <f t="shared" si="22"/>
        <v>0</v>
      </c>
      <c r="K40" s="2"/>
      <c r="L40" s="6">
        <f t="shared" si="23"/>
        <v>0</v>
      </c>
      <c r="M40" s="2"/>
      <c r="N40" s="7">
        <f t="shared" si="24"/>
        <v>0</v>
      </c>
      <c r="O40" s="11"/>
      <c r="P40" s="6"/>
      <c r="Q40" s="2"/>
      <c r="R40" s="7">
        <f t="shared" si="25"/>
        <v>0</v>
      </c>
      <c r="S40" s="2"/>
      <c r="T40" s="6">
        <v>0</v>
      </c>
      <c r="U40" s="2"/>
      <c r="V40" s="7">
        <f t="shared" si="26"/>
        <v>0</v>
      </c>
      <c r="W40" s="2"/>
      <c r="X40" s="6">
        <f t="shared" si="27"/>
        <v>0</v>
      </c>
      <c r="Y40" s="2"/>
      <c r="Z40" s="7">
        <f t="shared" si="28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6">
        <v>14206.47</v>
      </c>
      <c r="E41" s="2"/>
      <c r="F41" s="7">
        <f t="shared" si="21"/>
        <v>0.55908422782144995</v>
      </c>
      <c r="G41" s="2"/>
      <c r="H41" s="6">
        <v>30537.599999999999</v>
      </c>
      <c r="I41" s="2"/>
      <c r="J41" s="7">
        <f t="shared" si="22"/>
        <v>0.16482221118763357</v>
      </c>
      <c r="K41" s="2"/>
      <c r="L41" s="6">
        <f t="shared" si="23"/>
        <v>-16331.13</v>
      </c>
      <c r="M41" s="2"/>
      <c r="N41" s="7">
        <f t="shared" si="24"/>
        <v>-0.53478760609871112</v>
      </c>
      <c r="O41" s="11"/>
      <c r="P41" s="6">
        <v>36952.899999999994</v>
      </c>
      <c r="Q41" s="2"/>
      <c r="R41" s="7">
        <f t="shared" si="25"/>
        <v>0.77153708818655398</v>
      </c>
      <c r="S41" s="2"/>
      <c r="T41" s="6">
        <v>79951.199999999997</v>
      </c>
      <c r="U41" s="2"/>
      <c r="V41" s="7">
        <f t="shared" si="26"/>
        <v>0.34521988816684296</v>
      </c>
      <c r="W41" s="2"/>
      <c r="X41" s="6">
        <f t="shared" si="27"/>
        <v>-42998.3</v>
      </c>
      <c r="Y41" s="2"/>
      <c r="Z41" s="7">
        <f t="shared" si="28"/>
        <v>-0.53780681215541482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1"/>
        <v>0</v>
      </c>
      <c r="G42" s="2"/>
      <c r="H42" s="6">
        <v>0</v>
      </c>
      <c r="I42" s="2"/>
      <c r="J42" s="7">
        <f t="shared" si="22"/>
        <v>0</v>
      </c>
      <c r="K42" s="2"/>
      <c r="L42" s="6">
        <f t="shared" si="23"/>
        <v>0</v>
      </c>
      <c r="M42" s="2"/>
      <c r="N42" s="7">
        <f t="shared" si="24"/>
        <v>0</v>
      </c>
      <c r="O42" s="11"/>
      <c r="P42" s="6"/>
      <c r="Q42" s="2"/>
      <c r="R42" s="7">
        <f t="shared" si="25"/>
        <v>0</v>
      </c>
      <c r="S42" s="2"/>
      <c r="T42" s="6">
        <v>0</v>
      </c>
      <c r="U42" s="2"/>
      <c r="V42" s="7">
        <f t="shared" si="26"/>
        <v>0</v>
      </c>
      <c r="W42" s="2"/>
      <c r="X42" s="6">
        <f t="shared" si="27"/>
        <v>0</v>
      </c>
      <c r="Y42" s="2"/>
      <c r="Z42" s="7">
        <f t="shared" si="28"/>
        <v>0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1"/>
        <v>0</v>
      </c>
      <c r="G43" s="2"/>
      <c r="H43" s="6">
        <v>0</v>
      </c>
      <c r="I43" s="2"/>
      <c r="J43" s="7">
        <f t="shared" si="22"/>
        <v>0</v>
      </c>
      <c r="K43" s="2"/>
      <c r="L43" s="6">
        <f t="shared" si="23"/>
        <v>0</v>
      </c>
      <c r="M43" s="2"/>
      <c r="N43" s="7">
        <f t="shared" si="24"/>
        <v>0</v>
      </c>
      <c r="O43" s="11"/>
      <c r="P43" s="6"/>
      <c r="Q43" s="2"/>
      <c r="R43" s="7">
        <f t="shared" si="25"/>
        <v>0</v>
      </c>
      <c r="S43" s="2"/>
      <c r="T43" s="6">
        <v>0</v>
      </c>
      <c r="U43" s="2"/>
      <c r="V43" s="7">
        <f t="shared" si="26"/>
        <v>0</v>
      </c>
      <c r="W43" s="2"/>
      <c r="X43" s="6">
        <f t="shared" si="27"/>
        <v>0</v>
      </c>
      <c r="Y43" s="2"/>
      <c r="Z43" s="7">
        <f t="shared" si="28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6">
        <v>-62</v>
      </c>
      <c r="E44" s="2"/>
      <c r="F44" s="7">
        <f t="shared" si="21"/>
        <v>-2.4399602522604067E-3</v>
      </c>
      <c r="G44" s="2"/>
      <c r="H44" s="6">
        <v>0</v>
      </c>
      <c r="I44" s="2"/>
      <c r="J44" s="7">
        <f t="shared" si="22"/>
        <v>0</v>
      </c>
      <c r="K44" s="2"/>
      <c r="L44" s="6">
        <f t="shared" si="23"/>
        <v>-62</v>
      </c>
      <c r="M44" s="2"/>
      <c r="N44" s="7">
        <f t="shared" si="24"/>
        <v>0</v>
      </c>
      <c r="O44" s="11"/>
      <c r="P44" s="6">
        <v>3202</v>
      </c>
      <c r="Q44" s="2"/>
      <c r="R44" s="7">
        <f t="shared" si="25"/>
        <v>6.6854340427228889E-2</v>
      </c>
      <c r="S44" s="2"/>
      <c r="T44" s="6">
        <v>0</v>
      </c>
      <c r="U44" s="2"/>
      <c r="V44" s="7">
        <f t="shared" si="26"/>
        <v>0</v>
      </c>
      <c r="W44" s="2"/>
      <c r="X44" s="6">
        <f t="shared" si="27"/>
        <v>3202</v>
      </c>
      <c r="Y44" s="2"/>
      <c r="Z44" s="7">
        <f t="shared" si="28"/>
        <v>0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6"/>
      <c r="E45" s="2"/>
      <c r="F45" s="7">
        <f t="shared" si="21"/>
        <v>0</v>
      </c>
      <c r="G45" s="2"/>
      <c r="H45" s="6">
        <v>11900</v>
      </c>
      <c r="I45" s="2"/>
      <c r="J45" s="7">
        <f t="shared" si="22"/>
        <v>6.4228502342451269E-2</v>
      </c>
      <c r="K45" s="2"/>
      <c r="L45" s="6">
        <f t="shared" si="23"/>
        <v>-11900</v>
      </c>
      <c r="M45" s="2"/>
      <c r="N45" s="7">
        <f t="shared" si="24"/>
        <v>-1</v>
      </c>
      <c r="O45" s="11"/>
      <c r="P45" s="6"/>
      <c r="Q45" s="2"/>
      <c r="R45" s="7">
        <f t="shared" si="25"/>
        <v>0</v>
      </c>
      <c r="S45" s="2"/>
      <c r="T45" s="6">
        <v>11900</v>
      </c>
      <c r="U45" s="2"/>
      <c r="V45" s="7">
        <f t="shared" si="26"/>
        <v>5.1382801873961007E-2</v>
      </c>
      <c r="W45" s="2"/>
      <c r="X45" s="6">
        <f t="shared" si="27"/>
        <v>-11900</v>
      </c>
      <c r="Y45" s="2"/>
      <c r="Z45" s="7">
        <f t="shared" si="28"/>
        <v>-1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1"/>
        <v>0</v>
      </c>
      <c r="G46" s="2"/>
      <c r="H46" s="6">
        <v>0</v>
      </c>
      <c r="I46" s="2"/>
      <c r="J46" s="7">
        <f t="shared" si="22"/>
        <v>0</v>
      </c>
      <c r="K46" s="2"/>
      <c r="L46" s="6">
        <f t="shared" si="23"/>
        <v>0</v>
      </c>
      <c r="M46" s="2"/>
      <c r="N46" s="7">
        <f t="shared" si="24"/>
        <v>0</v>
      </c>
      <c r="O46" s="11"/>
      <c r="P46" s="6"/>
      <c r="Q46" s="2"/>
      <c r="R46" s="7">
        <f t="shared" si="25"/>
        <v>0</v>
      </c>
      <c r="S46" s="2"/>
      <c r="T46" s="6">
        <v>0</v>
      </c>
      <c r="U46" s="2"/>
      <c r="V46" s="7">
        <f t="shared" si="26"/>
        <v>0</v>
      </c>
      <c r="W46" s="2"/>
      <c r="X46" s="6">
        <f t="shared" si="27"/>
        <v>0</v>
      </c>
      <c r="Y46" s="2"/>
      <c r="Z46" s="7">
        <f t="shared" si="28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1"/>
        <v>0</v>
      </c>
      <c r="G47" s="2"/>
      <c r="H47" s="6">
        <v>0</v>
      </c>
      <c r="I47" s="2"/>
      <c r="J47" s="7">
        <f t="shared" si="22"/>
        <v>0</v>
      </c>
      <c r="K47" s="2"/>
      <c r="L47" s="6">
        <f t="shared" si="23"/>
        <v>0</v>
      </c>
      <c r="M47" s="2"/>
      <c r="N47" s="7">
        <f t="shared" si="24"/>
        <v>0</v>
      </c>
      <c r="O47" s="11"/>
      <c r="P47" s="6"/>
      <c r="Q47" s="2"/>
      <c r="R47" s="7">
        <f t="shared" si="25"/>
        <v>0</v>
      </c>
      <c r="S47" s="2"/>
      <c r="T47" s="6">
        <v>0</v>
      </c>
      <c r="U47" s="2"/>
      <c r="V47" s="7">
        <f t="shared" si="26"/>
        <v>0</v>
      </c>
      <c r="W47" s="2"/>
      <c r="X47" s="6">
        <f t="shared" si="27"/>
        <v>0</v>
      </c>
      <c r="Y47" s="2"/>
      <c r="Z47" s="7">
        <f t="shared" si="28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8" si="29">IF(D$12=0,0,D48/D$12)</f>
        <v>0</v>
      </c>
      <c r="G48" s="1"/>
      <c r="H48" s="1">
        <f>SUM(OSRRefH22_2x_0)</f>
        <v>500</v>
      </c>
      <c r="I48" s="1"/>
      <c r="J48" s="5">
        <f t="shared" ref="J48:J68" si="30">IF(H$12=0,0,H48/H$12)</f>
        <v>2.6986765690105571E-3</v>
      </c>
      <c r="K48" s="1"/>
      <c r="L48" s="1">
        <f t="shared" ref="L48:L68" si="31">+D48-H48</f>
        <v>-500</v>
      </c>
      <c r="M48" s="1"/>
      <c r="N48" s="5">
        <f t="shared" ref="N48:N68" si="32">IF(H48=0,0,L48/H48)</f>
        <v>-1</v>
      </c>
      <c r="O48" s="14"/>
      <c r="P48" s="1">
        <f>SUM(OSRRefP22_2x_0)</f>
        <v>204.75</v>
      </c>
      <c r="Q48" s="1"/>
      <c r="R48" s="5">
        <f t="shared" ref="R48:R68" si="33">IF(P$12=0,0,P48/P$12)</f>
        <v>4.2749613374375751E-3</v>
      </c>
      <c r="S48" s="1"/>
      <c r="T48" s="1">
        <f>SUM(OSRRefT22_2x_0)</f>
        <v>1500</v>
      </c>
      <c r="U48" s="1"/>
      <c r="V48" s="5">
        <f t="shared" ref="V48:V68" si="34">IF(T$12=0,0,T48/T$12)</f>
        <v>6.476823765625337E-3</v>
      </c>
      <c r="W48" s="1"/>
      <c r="X48" s="1">
        <f t="shared" ref="X48:X68" si="35">+P48-T48</f>
        <v>-1295.25</v>
      </c>
      <c r="Y48" s="1"/>
      <c r="Z48" s="5">
        <f t="shared" ref="Z48:Z68" si="36">IF(T48=0,0,X48/T48)</f>
        <v>-0.86350000000000005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9"/>
        <v>0</v>
      </c>
      <c r="G49" s="2"/>
      <c r="H49" s="6">
        <v>500</v>
      </c>
      <c r="I49" s="2"/>
      <c r="J49" s="7">
        <f t="shared" si="30"/>
        <v>2.6986765690105571E-3</v>
      </c>
      <c r="K49" s="2"/>
      <c r="L49" s="6">
        <f t="shared" si="31"/>
        <v>-500</v>
      </c>
      <c r="M49" s="2"/>
      <c r="N49" s="7">
        <f t="shared" si="32"/>
        <v>-1</v>
      </c>
      <c r="O49" s="11"/>
      <c r="P49" s="6">
        <v>204.75</v>
      </c>
      <c r="Q49" s="2"/>
      <c r="R49" s="7">
        <f t="shared" si="33"/>
        <v>4.2749613374375751E-3</v>
      </c>
      <c r="S49" s="2"/>
      <c r="T49" s="6">
        <v>1500</v>
      </c>
      <c r="U49" s="2"/>
      <c r="V49" s="7">
        <f t="shared" si="34"/>
        <v>6.476823765625337E-3</v>
      </c>
      <c r="W49" s="2"/>
      <c r="X49" s="6">
        <f t="shared" si="35"/>
        <v>-1295.25</v>
      </c>
      <c r="Y49" s="2"/>
      <c r="Z49" s="7">
        <f t="shared" si="36"/>
        <v>-0.86350000000000005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9"/>
        <v>0</v>
      </c>
      <c r="G50" s="1"/>
      <c r="H50" s="1">
        <f>SUM(OSRRefH22_3x_0)</f>
        <v>15</v>
      </c>
      <c r="I50" s="1"/>
      <c r="J50" s="5">
        <f t="shared" si="30"/>
        <v>8.0960297070316721E-5</v>
      </c>
      <c r="K50" s="1"/>
      <c r="L50" s="1">
        <f t="shared" si="31"/>
        <v>-15</v>
      </c>
      <c r="M50" s="1"/>
      <c r="N50" s="5">
        <f t="shared" si="32"/>
        <v>-1</v>
      </c>
      <c r="O50" s="14"/>
      <c r="P50" s="1">
        <f>SUM(OSRRefP22_3x_0)</f>
        <v>0</v>
      </c>
      <c r="Q50" s="1"/>
      <c r="R50" s="5">
        <f t="shared" si="33"/>
        <v>0</v>
      </c>
      <c r="S50" s="1"/>
      <c r="T50" s="1">
        <f>SUM(OSRRefT22_3x_0)</f>
        <v>45</v>
      </c>
      <c r="U50" s="1"/>
      <c r="V50" s="5">
        <f t="shared" si="34"/>
        <v>1.9430471296876011E-4</v>
      </c>
      <c r="W50" s="1"/>
      <c r="X50" s="1">
        <f t="shared" si="35"/>
        <v>-45</v>
      </c>
      <c r="Y50" s="1"/>
      <c r="Z50" s="5">
        <f t="shared" si="36"/>
        <v>-1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9"/>
        <v>0</v>
      </c>
      <c r="G51" s="2"/>
      <c r="H51" s="6">
        <v>15</v>
      </c>
      <c r="I51" s="2"/>
      <c r="J51" s="7">
        <f t="shared" si="30"/>
        <v>8.0960297070316721E-5</v>
      </c>
      <c r="K51" s="2"/>
      <c r="L51" s="6">
        <f t="shared" si="31"/>
        <v>-15</v>
      </c>
      <c r="M51" s="2"/>
      <c r="N51" s="7">
        <f t="shared" si="32"/>
        <v>-1</v>
      </c>
      <c r="O51" s="11"/>
      <c r="P51" s="6"/>
      <c r="Q51" s="2"/>
      <c r="R51" s="7">
        <f t="shared" si="33"/>
        <v>0</v>
      </c>
      <c r="S51" s="2"/>
      <c r="T51" s="6">
        <v>45</v>
      </c>
      <c r="U51" s="2"/>
      <c r="V51" s="7">
        <f t="shared" si="34"/>
        <v>1.9430471296876011E-4</v>
      </c>
      <c r="W51" s="2"/>
      <c r="X51" s="6">
        <f t="shared" si="35"/>
        <v>-45</v>
      </c>
      <c r="Y51" s="2"/>
      <c r="Z51" s="7">
        <f t="shared" si="36"/>
        <v>-1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9"/>
        <v>0</v>
      </c>
      <c r="G52" s="1"/>
      <c r="H52" s="1">
        <f>SUM(OSRRefH22_4x_0)</f>
        <v>250</v>
      </c>
      <c r="I52" s="1"/>
      <c r="J52" s="5">
        <f t="shared" si="30"/>
        <v>1.3493382845052786E-3</v>
      </c>
      <c r="K52" s="1"/>
      <c r="L52" s="1">
        <f t="shared" si="31"/>
        <v>-250</v>
      </c>
      <c r="M52" s="1"/>
      <c r="N52" s="5">
        <f t="shared" si="32"/>
        <v>-1</v>
      </c>
      <c r="O52" s="14"/>
      <c r="P52" s="1">
        <f>SUM(OSRRefP22_4x_0)</f>
        <v>0</v>
      </c>
      <c r="Q52" s="1"/>
      <c r="R52" s="5">
        <f t="shared" si="33"/>
        <v>0</v>
      </c>
      <c r="S52" s="1"/>
      <c r="T52" s="1">
        <f>SUM(OSRRefT22_4x_0)</f>
        <v>750</v>
      </c>
      <c r="U52" s="1"/>
      <c r="V52" s="5">
        <f t="shared" si="34"/>
        <v>3.2384118828126685E-3</v>
      </c>
      <c r="W52" s="1"/>
      <c r="X52" s="1">
        <f t="shared" si="35"/>
        <v>-750</v>
      </c>
      <c r="Y52" s="1"/>
      <c r="Z52" s="5">
        <f t="shared" si="36"/>
        <v>-1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9"/>
        <v>0</v>
      </c>
      <c r="G53" s="2"/>
      <c r="H53" s="6">
        <v>250</v>
      </c>
      <c r="I53" s="2"/>
      <c r="J53" s="7">
        <f t="shared" si="30"/>
        <v>1.3493382845052786E-3</v>
      </c>
      <c r="K53" s="2"/>
      <c r="L53" s="6">
        <f t="shared" si="31"/>
        <v>-250</v>
      </c>
      <c r="M53" s="2"/>
      <c r="N53" s="7">
        <f t="shared" si="32"/>
        <v>-1</v>
      </c>
      <c r="O53" s="11"/>
      <c r="P53" s="6"/>
      <c r="Q53" s="2"/>
      <c r="R53" s="7">
        <f t="shared" si="33"/>
        <v>0</v>
      </c>
      <c r="S53" s="2"/>
      <c r="T53" s="6">
        <v>750</v>
      </c>
      <c r="U53" s="2"/>
      <c r="V53" s="7">
        <f t="shared" si="34"/>
        <v>3.2384118828126685E-3</v>
      </c>
      <c r="W53" s="2"/>
      <c r="X53" s="6">
        <f t="shared" si="35"/>
        <v>-750</v>
      </c>
      <c r="Y53" s="2"/>
      <c r="Z53" s="7">
        <f t="shared" si="36"/>
        <v>-1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9"/>
        <v>1.0733463858088764E-2</v>
      </c>
      <c r="G54" s="1"/>
      <c r="H54" s="1">
        <f>SUM(OSRRefH22_5x_0)</f>
        <v>0</v>
      </c>
      <c r="I54" s="1"/>
      <c r="J54" s="5">
        <f t="shared" si="30"/>
        <v>0</v>
      </c>
      <c r="K54" s="1"/>
      <c r="L54" s="1">
        <f t="shared" si="31"/>
        <v>272.74</v>
      </c>
      <c r="M54" s="1"/>
      <c r="N54" s="5">
        <f t="shared" si="32"/>
        <v>0</v>
      </c>
      <c r="O54" s="14"/>
      <c r="P54" s="1">
        <f>SUM(OSRRefP22_5x_0)</f>
        <v>554</v>
      </c>
      <c r="Q54" s="1"/>
      <c r="R54" s="5">
        <f t="shared" si="33"/>
        <v>1.156692835624135E-2</v>
      </c>
      <c r="S54" s="1"/>
      <c r="T54" s="1">
        <f>SUM(OSRRefT22_5x_0)</f>
        <v>0</v>
      </c>
      <c r="U54" s="1"/>
      <c r="V54" s="5">
        <f t="shared" si="34"/>
        <v>0</v>
      </c>
      <c r="W54" s="1"/>
      <c r="X54" s="1">
        <f t="shared" si="35"/>
        <v>554</v>
      </c>
      <c r="Y54" s="1"/>
      <c r="Z54" s="5">
        <f t="shared" si="36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272.74</v>
      </c>
      <c r="E55" s="2"/>
      <c r="F55" s="7">
        <f t="shared" si="29"/>
        <v>1.0733463858088764E-2</v>
      </c>
      <c r="G55" s="2"/>
      <c r="H55" s="6"/>
      <c r="I55" s="2"/>
      <c r="J55" s="7">
        <f t="shared" si="30"/>
        <v>0</v>
      </c>
      <c r="K55" s="2"/>
      <c r="L55" s="6">
        <f t="shared" si="31"/>
        <v>272.74</v>
      </c>
      <c r="M55" s="2"/>
      <c r="N55" s="7">
        <f t="shared" si="32"/>
        <v>0</v>
      </c>
      <c r="O55" s="11"/>
      <c r="P55" s="6">
        <v>554</v>
      </c>
      <c r="Q55" s="2"/>
      <c r="R55" s="7">
        <f t="shared" si="33"/>
        <v>1.156692835624135E-2</v>
      </c>
      <c r="S55" s="2"/>
      <c r="T55" s="6"/>
      <c r="U55" s="2"/>
      <c r="V55" s="7">
        <f t="shared" si="34"/>
        <v>0</v>
      </c>
      <c r="W55" s="2"/>
      <c r="X55" s="6">
        <f t="shared" si="35"/>
        <v>554</v>
      </c>
      <c r="Y55" s="2"/>
      <c r="Z55" s="7">
        <f t="shared" si="36"/>
        <v>0</v>
      </c>
    </row>
    <row r="56" spans="1:26" s="28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0</v>
      </c>
      <c r="E56" s="1"/>
      <c r="F56" s="5">
        <f t="shared" si="29"/>
        <v>0</v>
      </c>
      <c r="G56" s="1"/>
      <c r="H56" s="1">
        <f>SUM(OSRRefH22_6x_0)</f>
        <v>8000</v>
      </c>
      <c r="I56" s="1"/>
      <c r="J56" s="5">
        <f t="shared" si="30"/>
        <v>4.3178825104168914E-2</v>
      </c>
      <c r="K56" s="1"/>
      <c r="L56" s="1">
        <f t="shared" si="31"/>
        <v>-8000</v>
      </c>
      <c r="M56" s="1"/>
      <c r="N56" s="5">
        <f t="shared" si="32"/>
        <v>-1</v>
      </c>
      <c r="O56" s="14"/>
      <c r="P56" s="1">
        <f>SUM(OSRRefP22_6x_0)</f>
        <v>0</v>
      </c>
      <c r="Q56" s="1"/>
      <c r="R56" s="5">
        <f t="shared" si="33"/>
        <v>0</v>
      </c>
      <c r="S56" s="1"/>
      <c r="T56" s="1">
        <f>SUM(OSRRefT22_6x_0)</f>
        <v>13000</v>
      </c>
      <c r="U56" s="1"/>
      <c r="V56" s="5">
        <f t="shared" si="34"/>
        <v>5.6132472635419588E-2</v>
      </c>
      <c r="W56" s="1"/>
      <c r="X56" s="1">
        <f t="shared" si="35"/>
        <v>-13000</v>
      </c>
      <c r="Y56" s="1"/>
      <c r="Z56" s="5">
        <f t="shared" si="36"/>
        <v>-1</v>
      </c>
    </row>
    <row r="57" spans="1:26" s="24" customFormat="1" hidden="1" outlineLevel="2" x14ac:dyDescent="0.25">
      <c r="A57" s="29"/>
      <c r="B57" s="11" t="str">
        <f>CONCATENATE("          ", "6399", " - ", "DONATION-ON CAMPUS")</f>
        <v xml:space="preserve">          6399 - DONATION-ON CAMPUS</v>
      </c>
      <c r="C57" s="11"/>
      <c r="D57" s="6"/>
      <c r="E57" s="2"/>
      <c r="F57" s="7">
        <f t="shared" si="29"/>
        <v>0</v>
      </c>
      <c r="G57" s="2"/>
      <c r="H57" s="6">
        <v>8000</v>
      </c>
      <c r="I57" s="2"/>
      <c r="J57" s="7">
        <f t="shared" si="30"/>
        <v>4.3178825104168914E-2</v>
      </c>
      <c r="K57" s="2"/>
      <c r="L57" s="6">
        <f t="shared" si="31"/>
        <v>-8000</v>
      </c>
      <c r="M57" s="2"/>
      <c r="N57" s="7">
        <f t="shared" si="32"/>
        <v>-1</v>
      </c>
      <c r="O57" s="11"/>
      <c r="P57" s="6"/>
      <c r="Q57" s="2"/>
      <c r="R57" s="7">
        <f t="shared" si="33"/>
        <v>0</v>
      </c>
      <c r="S57" s="2"/>
      <c r="T57" s="6">
        <v>13000</v>
      </c>
      <c r="U57" s="2"/>
      <c r="V57" s="7">
        <f t="shared" si="34"/>
        <v>5.6132472635419588E-2</v>
      </c>
      <c r="W57" s="2"/>
      <c r="X57" s="6">
        <f t="shared" si="35"/>
        <v>-13000</v>
      </c>
      <c r="Y57" s="2"/>
      <c r="Z57" s="7">
        <f t="shared" si="36"/>
        <v>-1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9"/>
        <v>0</v>
      </c>
      <c r="G58" s="1"/>
      <c r="H58" s="1">
        <f>SUM(OSRRefH22_7x_0)</f>
        <v>100</v>
      </c>
      <c r="I58" s="1"/>
      <c r="J58" s="5">
        <f t="shared" si="30"/>
        <v>5.3973531380211142E-4</v>
      </c>
      <c r="K58" s="1"/>
      <c r="L58" s="1">
        <f t="shared" si="31"/>
        <v>-100</v>
      </c>
      <c r="M58" s="1"/>
      <c r="N58" s="5">
        <f t="shared" si="32"/>
        <v>-1</v>
      </c>
      <c r="O58" s="14"/>
      <c r="P58" s="1">
        <f>SUM(OSRRefP22_7x_0)</f>
        <v>0</v>
      </c>
      <c r="Q58" s="1"/>
      <c r="R58" s="5">
        <f t="shared" si="33"/>
        <v>0</v>
      </c>
      <c r="S58" s="1"/>
      <c r="T58" s="1">
        <f>SUM(OSRRefT22_7x_0)</f>
        <v>300</v>
      </c>
      <c r="U58" s="1"/>
      <c r="V58" s="5">
        <f t="shared" si="34"/>
        <v>1.2953647531250675E-3</v>
      </c>
      <c r="W58" s="1"/>
      <c r="X58" s="1">
        <f t="shared" si="35"/>
        <v>-300</v>
      </c>
      <c r="Y58" s="1"/>
      <c r="Z58" s="5">
        <f t="shared" si="36"/>
        <v>-1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9"/>
        <v>0</v>
      </c>
      <c r="G59" s="2"/>
      <c r="H59" s="6">
        <v>100</v>
      </c>
      <c r="I59" s="2"/>
      <c r="J59" s="7">
        <f t="shared" si="30"/>
        <v>5.3973531380211142E-4</v>
      </c>
      <c r="K59" s="2"/>
      <c r="L59" s="6">
        <f t="shared" si="31"/>
        <v>-100</v>
      </c>
      <c r="M59" s="2"/>
      <c r="N59" s="7">
        <f t="shared" si="32"/>
        <v>-1</v>
      </c>
      <c r="O59" s="11"/>
      <c r="P59" s="6"/>
      <c r="Q59" s="2"/>
      <c r="R59" s="7">
        <f t="shared" si="33"/>
        <v>0</v>
      </c>
      <c r="S59" s="2"/>
      <c r="T59" s="6">
        <v>300</v>
      </c>
      <c r="U59" s="2"/>
      <c r="V59" s="7">
        <f t="shared" si="34"/>
        <v>1.2953647531250675E-3</v>
      </c>
      <c r="W59" s="2"/>
      <c r="X59" s="6">
        <f t="shared" si="35"/>
        <v>-300</v>
      </c>
      <c r="Y59" s="2"/>
      <c r="Z59" s="7">
        <f t="shared" si="36"/>
        <v>-1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116.72</v>
      </c>
      <c r="E60" s="1"/>
      <c r="F60" s="5">
        <f t="shared" si="29"/>
        <v>4.5934219458683015E-3</v>
      </c>
      <c r="G60" s="1"/>
      <c r="H60" s="1">
        <f>SUM(OSRRefH22_8x_0)</f>
        <v>400</v>
      </c>
      <c r="I60" s="1"/>
      <c r="J60" s="5">
        <f t="shared" si="30"/>
        <v>2.1589412552084457E-3</v>
      </c>
      <c r="K60" s="1"/>
      <c r="L60" s="1">
        <f t="shared" si="31"/>
        <v>-283.27999999999997</v>
      </c>
      <c r="M60" s="1"/>
      <c r="N60" s="5">
        <f t="shared" si="32"/>
        <v>-0.70819999999999994</v>
      </c>
      <c r="O60" s="14"/>
      <c r="P60" s="1">
        <f>SUM(OSRRefP22_8x_0)</f>
        <v>602.94000000000005</v>
      </c>
      <c r="Q60" s="1"/>
      <c r="R60" s="5">
        <f t="shared" si="33"/>
        <v>1.2588743290816174E-2</v>
      </c>
      <c r="S60" s="1"/>
      <c r="T60" s="1">
        <f>SUM(OSRRefT22_8x_0)</f>
        <v>1200</v>
      </c>
      <c r="U60" s="1"/>
      <c r="V60" s="5">
        <f t="shared" si="34"/>
        <v>5.1814590125002702E-3</v>
      </c>
      <c r="W60" s="1"/>
      <c r="X60" s="1">
        <f t="shared" si="35"/>
        <v>-597.05999999999995</v>
      </c>
      <c r="Y60" s="1"/>
      <c r="Z60" s="5">
        <f t="shared" si="36"/>
        <v>-0.49754999999999994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6">
        <v>116.72</v>
      </c>
      <c r="E61" s="2"/>
      <c r="F61" s="7">
        <f t="shared" si="29"/>
        <v>4.5934219458683015E-3</v>
      </c>
      <c r="G61" s="2"/>
      <c r="H61" s="6">
        <v>400</v>
      </c>
      <c r="I61" s="2"/>
      <c r="J61" s="7">
        <f t="shared" si="30"/>
        <v>2.1589412552084457E-3</v>
      </c>
      <c r="K61" s="2"/>
      <c r="L61" s="6">
        <f t="shared" si="31"/>
        <v>-283.27999999999997</v>
      </c>
      <c r="M61" s="2"/>
      <c r="N61" s="7">
        <f t="shared" si="32"/>
        <v>-0.70819999999999994</v>
      </c>
      <c r="O61" s="11"/>
      <c r="P61" s="6">
        <v>602.94000000000005</v>
      </c>
      <c r="Q61" s="2"/>
      <c r="R61" s="7">
        <f t="shared" si="33"/>
        <v>1.2588743290816174E-2</v>
      </c>
      <c r="S61" s="2"/>
      <c r="T61" s="6">
        <v>1200</v>
      </c>
      <c r="U61" s="2"/>
      <c r="V61" s="7">
        <f t="shared" si="34"/>
        <v>5.1814590125002702E-3</v>
      </c>
      <c r="W61" s="2"/>
      <c r="X61" s="6">
        <f t="shared" si="35"/>
        <v>-597.05999999999995</v>
      </c>
      <c r="Y61" s="2"/>
      <c r="Z61" s="7">
        <f t="shared" si="36"/>
        <v>-0.49754999999999994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9"/>
        <v>0</v>
      </c>
      <c r="G62" s="1"/>
      <c r="H62" s="1">
        <f>SUM(OSRRefH22_9x_0)</f>
        <v>150</v>
      </c>
      <c r="I62" s="1"/>
      <c r="J62" s="5">
        <f t="shared" si="30"/>
        <v>8.0960297070316713E-4</v>
      </c>
      <c r="K62" s="1"/>
      <c r="L62" s="1">
        <f t="shared" si="31"/>
        <v>-150</v>
      </c>
      <c r="M62" s="1"/>
      <c r="N62" s="5">
        <f t="shared" si="32"/>
        <v>-1</v>
      </c>
      <c r="O62" s="14"/>
      <c r="P62" s="1">
        <f>SUM(OSRRefP22_9x_0)</f>
        <v>3500.2</v>
      </c>
      <c r="Q62" s="1"/>
      <c r="R62" s="5">
        <f t="shared" si="33"/>
        <v>7.3080437964830269E-2</v>
      </c>
      <c r="S62" s="1"/>
      <c r="T62" s="1">
        <f>SUM(OSRRefT22_9x_0)</f>
        <v>1800</v>
      </c>
      <c r="U62" s="1"/>
      <c r="V62" s="5">
        <f t="shared" si="34"/>
        <v>7.7721885187504048E-3</v>
      </c>
      <c r="W62" s="1"/>
      <c r="X62" s="1">
        <f t="shared" si="35"/>
        <v>1700.1999999999998</v>
      </c>
      <c r="Y62" s="1"/>
      <c r="Z62" s="5">
        <f t="shared" si="36"/>
        <v>0.94455555555555548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9"/>
        <v>0</v>
      </c>
      <c r="G63" s="2"/>
      <c r="H63" s="6">
        <v>150</v>
      </c>
      <c r="I63" s="2"/>
      <c r="J63" s="7">
        <f t="shared" si="30"/>
        <v>8.0960297070316713E-4</v>
      </c>
      <c r="K63" s="2"/>
      <c r="L63" s="6">
        <f t="shared" si="31"/>
        <v>-150</v>
      </c>
      <c r="M63" s="2"/>
      <c r="N63" s="7">
        <f t="shared" si="32"/>
        <v>-1</v>
      </c>
      <c r="O63" s="11"/>
      <c r="P63" s="6">
        <v>3500.2</v>
      </c>
      <c r="Q63" s="2"/>
      <c r="R63" s="7">
        <f t="shared" si="33"/>
        <v>7.3080437964830269E-2</v>
      </c>
      <c r="S63" s="2"/>
      <c r="T63" s="6">
        <v>1800</v>
      </c>
      <c r="U63" s="2"/>
      <c r="V63" s="7">
        <f t="shared" si="34"/>
        <v>7.7721885187504048E-3</v>
      </c>
      <c r="W63" s="2"/>
      <c r="X63" s="6">
        <f t="shared" si="35"/>
        <v>1700.1999999999998</v>
      </c>
      <c r="Y63" s="2"/>
      <c r="Z63" s="7">
        <f t="shared" si="36"/>
        <v>0.94455555555555548</v>
      </c>
    </row>
    <row r="64" spans="1:26" s="28" customFormat="1" outlineLevel="1" collapsed="1" x14ac:dyDescent="0.25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0</v>
      </c>
      <c r="E64" s="1"/>
      <c r="F64" s="5">
        <f t="shared" si="29"/>
        <v>0</v>
      </c>
      <c r="G64" s="1"/>
      <c r="H64" s="1">
        <f>SUM(OSRRefH22_10x_0)</f>
        <v>14822</v>
      </c>
      <c r="I64" s="1"/>
      <c r="J64" s="5">
        <f t="shared" si="30"/>
        <v>7.9999568211748959E-2</v>
      </c>
      <c r="K64" s="1"/>
      <c r="L64" s="1">
        <f t="shared" si="31"/>
        <v>-14822</v>
      </c>
      <c r="M64" s="1"/>
      <c r="N64" s="5">
        <f t="shared" si="32"/>
        <v>-1</v>
      </c>
      <c r="O64" s="14"/>
      <c r="P64" s="1">
        <f>SUM(OSRRefP22_10x_0)</f>
        <v>1295.68</v>
      </c>
      <c r="Q64" s="1"/>
      <c r="R64" s="5">
        <f t="shared" si="33"/>
        <v>2.7052414679810097E-2</v>
      </c>
      <c r="S64" s="1"/>
      <c r="T64" s="1">
        <f>SUM(OSRRefT22_10x_0)</f>
        <v>18528</v>
      </c>
      <c r="U64" s="1"/>
      <c r="V64" s="5">
        <f t="shared" si="34"/>
        <v>8.0001727153004173E-2</v>
      </c>
      <c r="W64" s="1"/>
      <c r="X64" s="1">
        <f t="shared" si="35"/>
        <v>-17232.32</v>
      </c>
      <c r="Y64" s="1"/>
      <c r="Z64" s="5">
        <f t="shared" si="36"/>
        <v>-0.93006908462867011</v>
      </c>
    </row>
    <row r="65" spans="1:26" s="24" customFormat="1" hidden="1" outlineLevel="2" x14ac:dyDescent="0.25">
      <c r="A65" s="29"/>
      <c r="B65" s="11" t="str">
        <f>CONCATENATE("          ", "6387", " - ", "COMMISSION DUE HOUSING")</f>
        <v xml:space="preserve">          6387 - COMMISSION DUE HOUSING</v>
      </c>
      <c r="C65" s="11"/>
      <c r="D65" s="6"/>
      <c r="E65" s="2"/>
      <c r="F65" s="7">
        <f t="shared" si="29"/>
        <v>0</v>
      </c>
      <c r="G65" s="2"/>
      <c r="H65" s="6">
        <v>14822</v>
      </c>
      <c r="I65" s="2"/>
      <c r="J65" s="7">
        <f t="shared" si="30"/>
        <v>7.9999568211748959E-2</v>
      </c>
      <c r="K65" s="2"/>
      <c r="L65" s="6">
        <f t="shared" si="31"/>
        <v>-14822</v>
      </c>
      <c r="M65" s="2"/>
      <c r="N65" s="7">
        <f t="shared" si="32"/>
        <v>-1</v>
      </c>
      <c r="O65" s="11"/>
      <c r="P65" s="6">
        <v>1295.68</v>
      </c>
      <c r="Q65" s="2"/>
      <c r="R65" s="7">
        <f t="shared" si="33"/>
        <v>2.7052414679810097E-2</v>
      </c>
      <c r="S65" s="2"/>
      <c r="T65" s="6">
        <v>18528</v>
      </c>
      <c r="U65" s="2"/>
      <c r="V65" s="7">
        <f t="shared" si="34"/>
        <v>8.0001727153004173E-2</v>
      </c>
      <c r="W65" s="2"/>
      <c r="X65" s="6">
        <f t="shared" si="35"/>
        <v>-17232.32</v>
      </c>
      <c r="Y65" s="2"/>
      <c r="Z65" s="7">
        <f t="shared" si="36"/>
        <v>-0.93006908462867011</v>
      </c>
    </row>
    <row r="66" spans="1:26" s="28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72.349999999999994</v>
      </c>
      <c r="E66" s="1"/>
      <c r="F66" s="5">
        <f t="shared" si="29"/>
        <v>2.847276197597426E-3</v>
      </c>
      <c r="G66" s="1"/>
      <c r="H66" s="1">
        <f>SUM(OSRRefH22_11x_0)</f>
        <v>200</v>
      </c>
      <c r="I66" s="1"/>
      <c r="J66" s="5">
        <f t="shared" si="30"/>
        <v>1.0794706276042228E-3</v>
      </c>
      <c r="K66" s="1"/>
      <c r="L66" s="1">
        <f t="shared" si="31"/>
        <v>-127.65</v>
      </c>
      <c r="M66" s="1"/>
      <c r="N66" s="5">
        <f t="shared" si="32"/>
        <v>-0.63824999999999998</v>
      </c>
      <c r="O66" s="14"/>
      <c r="P66" s="1">
        <f>SUM(OSRRefP22_11x_0)</f>
        <v>1157.45</v>
      </c>
      <c r="Q66" s="1"/>
      <c r="R66" s="5">
        <f t="shared" si="33"/>
        <v>2.4166319902403522E-2</v>
      </c>
      <c r="S66" s="1"/>
      <c r="T66" s="1">
        <f>SUM(OSRRefT22_11x_0)</f>
        <v>2400</v>
      </c>
      <c r="U66" s="1"/>
      <c r="V66" s="5">
        <f t="shared" si="34"/>
        <v>1.036291802500054E-2</v>
      </c>
      <c r="W66" s="1"/>
      <c r="X66" s="1">
        <f t="shared" si="35"/>
        <v>-1242.55</v>
      </c>
      <c r="Y66" s="1"/>
      <c r="Z66" s="5">
        <f t="shared" si="36"/>
        <v>-0.51772916666666668</v>
      </c>
    </row>
    <row r="67" spans="1:26" s="24" customFormat="1" hidden="1" outlineLevel="2" x14ac:dyDescent="0.25">
      <c r="A67" s="29"/>
      <c r="B67" s="11" t="str">
        <f>CONCATENATE("          ", "6373", " - ", "MAINTENANCE CONTRACTS")</f>
        <v xml:space="preserve">          6373 - MAINTENANCE CONTRACTS</v>
      </c>
      <c r="C67" s="11"/>
      <c r="D67" s="6">
        <v>72.349999999999994</v>
      </c>
      <c r="E67" s="2"/>
      <c r="F67" s="7">
        <f t="shared" si="29"/>
        <v>2.847276197597426E-3</v>
      </c>
      <c r="G67" s="2"/>
      <c r="H67" s="6"/>
      <c r="I67" s="2"/>
      <c r="J67" s="7">
        <f t="shared" si="30"/>
        <v>0</v>
      </c>
      <c r="K67" s="2"/>
      <c r="L67" s="6">
        <f t="shared" si="31"/>
        <v>72.349999999999994</v>
      </c>
      <c r="M67" s="2"/>
      <c r="N67" s="7">
        <f t="shared" si="32"/>
        <v>0</v>
      </c>
      <c r="O67" s="11"/>
      <c r="P67" s="6">
        <v>1157.45</v>
      </c>
      <c r="Q67" s="2"/>
      <c r="R67" s="7">
        <f t="shared" si="33"/>
        <v>2.4166319902403522E-2</v>
      </c>
      <c r="S67" s="2"/>
      <c r="T67" s="6">
        <v>1800</v>
      </c>
      <c r="U67" s="2"/>
      <c r="V67" s="7">
        <f t="shared" si="34"/>
        <v>7.7721885187504048E-3</v>
      </c>
      <c r="W67" s="2"/>
      <c r="X67" s="6">
        <f t="shared" si="35"/>
        <v>-642.54999999999995</v>
      </c>
      <c r="Y67" s="2"/>
      <c r="Z67" s="7">
        <f t="shared" si="36"/>
        <v>-0.35697222222222219</v>
      </c>
    </row>
    <row r="68" spans="1:26" s="24" customFormat="1" hidden="1" outlineLevel="2" x14ac:dyDescent="0.25">
      <c r="A68" s="29"/>
      <c r="B68" s="11" t="str">
        <f>CONCATENATE("          ", "6375", " - ", "OUTSIDE REPAIRS &amp; MAINTENANCE")</f>
        <v xml:space="preserve">          6375 - OUTSIDE REPAIRS &amp; MAINTENANCE</v>
      </c>
      <c r="C68" s="11"/>
      <c r="D68" s="6"/>
      <c r="E68" s="2"/>
      <c r="F68" s="7">
        <f t="shared" si="29"/>
        <v>0</v>
      </c>
      <c r="G68" s="2"/>
      <c r="H68" s="6">
        <v>200</v>
      </c>
      <c r="I68" s="2"/>
      <c r="J68" s="7">
        <f t="shared" si="30"/>
        <v>1.0794706276042228E-3</v>
      </c>
      <c r="K68" s="2"/>
      <c r="L68" s="6">
        <f t="shared" si="31"/>
        <v>-200</v>
      </c>
      <c r="M68" s="2"/>
      <c r="N68" s="7">
        <f t="shared" si="32"/>
        <v>-1</v>
      </c>
      <c r="O68" s="11"/>
      <c r="P68" s="6"/>
      <c r="Q68" s="2"/>
      <c r="R68" s="7">
        <f t="shared" si="33"/>
        <v>0</v>
      </c>
      <c r="S68" s="2"/>
      <c r="T68" s="6">
        <v>600</v>
      </c>
      <c r="U68" s="2"/>
      <c r="V68" s="7">
        <f t="shared" si="34"/>
        <v>2.5907295062501351E-3</v>
      </c>
      <c r="W68" s="2"/>
      <c r="X68" s="6">
        <f t="shared" si="35"/>
        <v>-600</v>
      </c>
      <c r="Y68" s="2"/>
      <c r="Z68" s="7">
        <f t="shared" si="36"/>
        <v>-1</v>
      </c>
    </row>
    <row r="69" spans="1:26" s="28" customFormat="1" outlineLevel="1" collapsed="1" x14ac:dyDescent="0.25">
      <c r="A69" s="27"/>
      <c r="B69" s="14" t="str">
        <f>CONCATENATE("     ","Services                                          ")</f>
        <v xml:space="preserve">     Services                                          </v>
      </c>
      <c r="C69" s="14"/>
      <c r="D69" s="1">
        <f>SUM(OSRRefD22_12x_0)</f>
        <v>4375.8600000000006</v>
      </c>
      <c r="E69" s="1"/>
      <c r="F69" s="5">
        <f t="shared" ref="F69:F73" si="37">IF(D$12=0,0,D69/D$12)</f>
        <v>0.17220845918477781</v>
      </c>
      <c r="G69" s="1"/>
      <c r="H69" s="1">
        <f>SUM(OSRRefH22_12x_0)</f>
        <v>6607</v>
      </c>
      <c r="I69" s="1"/>
      <c r="J69" s="5">
        <f t="shared" ref="J69:J73" si="38">IF(H$12=0,0,H69/H$12)</f>
        <v>3.5660312182905503E-2</v>
      </c>
      <c r="K69" s="1"/>
      <c r="L69" s="1">
        <f t="shared" ref="L69:L73" si="39">+D69-H69</f>
        <v>-2231.1399999999994</v>
      </c>
      <c r="M69" s="1"/>
      <c r="N69" s="5">
        <f t="shared" ref="N69:N73" si="40">IF(H69=0,0,L69/H69)</f>
        <v>-0.33769335553201141</v>
      </c>
      <c r="O69" s="14"/>
      <c r="P69" s="1">
        <f>SUM(OSRRefP22_12x_0)</f>
        <v>20317.730000000003</v>
      </c>
      <c r="Q69" s="1"/>
      <c r="R69" s="5">
        <f t="shared" ref="R69:R73" si="41">IF(P$12=0,0,P69/P$12)</f>
        <v>0.42421250410010036</v>
      </c>
      <c r="S69" s="1"/>
      <c r="T69" s="1">
        <f>SUM(OSRRefT22_12x_0)</f>
        <v>19821</v>
      </c>
      <c r="U69" s="1"/>
      <c r="V69" s="5">
        <f t="shared" ref="V69:V73" si="42">IF(T$12=0,0,T69/T$12)</f>
        <v>8.5584749238973204E-2</v>
      </c>
      <c r="W69" s="1"/>
      <c r="X69" s="1">
        <f t="shared" ref="X69:X73" si="43">+P69-T69</f>
        <v>496.7300000000032</v>
      </c>
      <c r="Y69" s="1"/>
      <c r="Z69" s="5">
        <f t="shared" ref="Z69:Z73" si="44">IF(T69=0,0,X69/T69)</f>
        <v>2.5060794107260139E-2</v>
      </c>
    </row>
    <row r="70" spans="1:26" s="24" customFormat="1" hidden="1" outlineLevel="2" x14ac:dyDescent="0.25">
      <c r="A70" s="29"/>
      <c r="B70" s="11" t="str">
        <f>CONCATENATE("          ", "6282", " - ", "JANITORIAL/EXTERMINATOR EXPENS")</f>
        <v xml:space="preserve">          6282 - JANITORIAL/EXTERMINATOR EXPENS</v>
      </c>
      <c r="C70" s="11"/>
      <c r="D70" s="6"/>
      <c r="E70" s="2"/>
      <c r="F70" s="7">
        <f t="shared" si="37"/>
        <v>0</v>
      </c>
      <c r="G70" s="2"/>
      <c r="H70" s="6">
        <v>450</v>
      </c>
      <c r="I70" s="2"/>
      <c r="J70" s="7">
        <f t="shared" si="38"/>
        <v>2.4288089121095014E-3</v>
      </c>
      <c r="K70" s="2"/>
      <c r="L70" s="6">
        <f t="shared" si="39"/>
        <v>-450</v>
      </c>
      <c r="M70" s="2"/>
      <c r="N70" s="7">
        <f t="shared" si="40"/>
        <v>-1</v>
      </c>
      <c r="O70" s="11"/>
      <c r="P70" s="6">
        <v>548.02</v>
      </c>
      <c r="Q70" s="2"/>
      <c r="R70" s="7">
        <f t="shared" si="41"/>
        <v>1.1442072342576506E-2</v>
      </c>
      <c r="S70" s="2"/>
      <c r="T70" s="6">
        <v>1350</v>
      </c>
      <c r="U70" s="2"/>
      <c r="V70" s="7">
        <f t="shared" si="42"/>
        <v>5.829141389062804E-3</v>
      </c>
      <c r="W70" s="2"/>
      <c r="X70" s="6">
        <f t="shared" si="43"/>
        <v>-801.98</v>
      </c>
      <c r="Y70" s="2"/>
      <c r="Z70" s="7">
        <f t="shared" si="44"/>
        <v>-0.59405925925925929</v>
      </c>
    </row>
    <row r="71" spans="1:26" s="24" customFormat="1" hidden="1" outlineLevel="2" x14ac:dyDescent="0.25">
      <c r="A71" s="29"/>
      <c r="B71" s="11" t="str">
        <f>CONCATENATE("          ", "6284", " - ", "TRASH REMOVAL EXPENSE")</f>
        <v xml:space="preserve">          6284 - TRASH REMOVAL EXPENSE</v>
      </c>
      <c r="C71" s="11"/>
      <c r="D71" s="6"/>
      <c r="E71" s="2"/>
      <c r="F71" s="7">
        <f t="shared" si="37"/>
        <v>0</v>
      </c>
      <c r="G71" s="2"/>
      <c r="H71" s="6">
        <v>500</v>
      </c>
      <c r="I71" s="2"/>
      <c r="J71" s="7">
        <f t="shared" si="38"/>
        <v>2.6986765690105571E-3</v>
      </c>
      <c r="K71" s="2"/>
      <c r="L71" s="6">
        <f t="shared" si="39"/>
        <v>-500</v>
      </c>
      <c r="M71" s="2"/>
      <c r="N71" s="7">
        <f t="shared" si="40"/>
        <v>-1</v>
      </c>
      <c r="O71" s="11"/>
      <c r="P71" s="6"/>
      <c r="Q71" s="2"/>
      <c r="R71" s="7">
        <f t="shared" si="41"/>
        <v>0</v>
      </c>
      <c r="S71" s="2"/>
      <c r="T71" s="6">
        <v>1500</v>
      </c>
      <c r="U71" s="2"/>
      <c r="V71" s="7">
        <f t="shared" si="42"/>
        <v>6.476823765625337E-3</v>
      </c>
      <c r="W71" s="2"/>
      <c r="X71" s="6">
        <f t="shared" si="43"/>
        <v>-1500</v>
      </c>
      <c r="Y71" s="2"/>
      <c r="Z71" s="7">
        <f t="shared" si="44"/>
        <v>-1</v>
      </c>
    </row>
    <row r="72" spans="1:26" s="24" customFormat="1" hidden="1" outlineLevel="2" x14ac:dyDescent="0.25">
      <c r="A72" s="29"/>
      <c r="B72" s="11" t="str">
        <f>CONCATENATE("          ", "6285", " - ", "JANITORIAL SERVICES")</f>
        <v xml:space="preserve">          6285 - JANITORIAL SERVICES</v>
      </c>
      <c r="C72" s="11"/>
      <c r="D72" s="6">
        <v>4157.05</v>
      </c>
      <c r="E72" s="2"/>
      <c r="F72" s="7">
        <f t="shared" si="37"/>
        <v>0.16359736720417942</v>
      </c>
      <c r="G72" s="2"/>
      <c r="H72" s="6">
        <v>4157</v>
      </c>
      <c r="I72" s="2"/>
      <c r="J72" s="7">
        <f t="shared" si="38"/>
        <v>2.2436796994753774E-2</v>
      </c>
      <c r="K72" s="2"/>
      <c r="L72" s="6">
        <f t="shared" si="39"/>
        <v>5.0000000000181899E-2</v>
      </c>
      <c r="M72" s="2"/>
      <c r="N72" s="7">
        <f t="shared" si="40"/>
        <v>1.2027904739038225E-5</v>
      </c>
      <c r="O72" s="11"/>
      <c r="P72" s="6">
        <v>16628.2</v>
      </c>
      <c r="Q72" s="2"/>
      <c r="R72" s="7">
        <f t="shared" si="41"/>
        <v>0.34717905793005854</v>
      </c>
      <c r="S72" s="2"/>
      <c r="T72" s="6">
        <v>12471</v>
      </c>
      <c r="U72" s="2"/>
      <c r="V72" s="7">
        <f t="shared" si="42"/>
        <v>5.3848312787409057E-2</v>
      </c>
      <c r="W72" s="2"/>
      <c r="X72" s="6">
        <f t="shared" si="43"/>
        <v>4157.2000000000007</v>
      </c>
      <c r="Y72" s="2"/>
      <c r="Z72" s="7">
        <f t="shared" si="44"/>
        <v>0.33334937053965202</v>
      </c>
    </row>
    <row r="73" spans="1:26" s="24" customFormat="1" hidden="1" outlineLevel="2" x14ac:dyDescent="0.25">
      <c r="A73" s="29"/>
      <c r="B73" s="11" t="str">
        <f>CONCATENATE("          ", "6286", " - ", "LAUNDRY EXPENSE")</f>
        <v xml:space="preserve">          6286 - LAUNDRY EXPENSE</v>
      </c>
      <c r="C73" s="11"/>
      <c r="D73" s="6">
        <v>218.81</v>
      </c>
      <c r="E73" s="2"/>
      <c r="F73" s="7">
        <f t="shared" si="37"/>
        <v>8.6110919805983798E-3</v>
      </c>
      <c r="G73" s="2"/>
      <c r="H73" s="6">
        <v>1500</v>
      </c>
      <c r="I73" s="2"/>
      <c r="J73" s="7">
        <f t="shared" si="38"/>
        <v>8.0960297070316722E-3</v>
      </c>
      <c r="K73" s="2"/>
      <c r="L73" s="6">
        <f t="shared" si="39"/>
        <v>-1281.19</v>
      </c>
      <c r="M73" s="2"/>
      <c r="N73" s="7">
        <f t="shared" si="40"/>
        <v>-0.8541266666666667</v>
      </c>
      <c r="O73" s="11"/>
      <c r="P73" s="6">
        <v>3141.51</v>
      </c>
      <c r="Q73" s="2"/>
      <c r="R73" s="7">
        <f t="shared" si="41"/>
        <v>6.5591373827465285E-2</v>
      </c>
      <c r="S73" s="2"/>
      <c r="T73" s="6">
        <v>4500</v>
      </c>
      <c r="U73" s="2"/>
      <c r="V73" s="7">
        <f t="shared" si="42"/>
        <v>1.9430471296876011E-2</v>
      </c>
      <c r="W73" s="2"/>
      <c r="X73" s="6">
        <f t="shared" si="43"/>
        <v>-1358.4899999999998</v>
      </c>
      <c r="Y73" s="2"/>
      <c r="Z73" s="7">
        <f t="shared" si="44"/>
        <v>-0.30188666666666664</v>
      </c>
    </row>
    <row r="74" spans="1:26" s="28" customFormat="1" outlineLevel="1" collapsed="1" x14ac:dyDescent="0.2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1628.65</v>
      </c>
      <c r="E74" s="1"/>
      <c r="F74" s="5">
        <f t="shared" ref="F74:F82" si="45">IF(D$12=0,0,D74/D$12)</f>
        <v>6.4094213949095355E-2</v>
      </c>
      <c r="G74" s="1"/>
      <c r="H74" s="1">
        <f>SUM(OSRRefH22_13x_0)</f>
        <v>11750</v>
      </c>
      <c r="I74" s="1"/>
      <c r="J74" s="5">
        <f t="shared" ref="J74:J82" si="46">IF(H$12=0,0,H74/H$12)</f>
        <v>6.3418899371748091E-2</v>
      </c>
      <c r="K74" s="1"/>
      <c r="L74" s="1">
        <f t="shared" ref="L74:L82" si="47">+D74-H74</f>
        <v>-10121.35</v>
      </c>
      <c r="M74" s="1"/>
      <c r="N74" s="5">
        <f t="shared" ref="N74:N82" si="48">IF(H74=0,0,L74/H74)</f>
        <v>-0.86139148936170218</v>
      </c>
      <c r="O74" s="14"/>
      <c r="P74" s="1">
        <f>SUM(OSRRefP22_13x_0)</f>
        <v>7986.3899999999994</v>
      </c>
      <c r="Q74" s="1"/>
      <c r="R74" s="5">
        <f t="shared" ref="R74:R82" si="49">IF(P$12=0,0,P74/P$12)</f>
        <v>0.16674729414260353</v>
      </c>
      <c r="S74" s="1"/>
      <c r="T74" s="1">
        <f>SUM(OSRRefT22_13x_0)</f>
        <v>38250</v>
      </c>
      <c r="U74" s="1"/>
      <c r="V74" s="5">
        <f t="shared" ref="V74:V82" si="50">IF(T$12=0,0,T74/T$12)</f>
        <v>0.1651590060234461</v>
      </c>
      <c r="W74" s="1"/>
      <c r="X74" s="1">
        <f t="shared" ref="X74:X82" si="51">+P74-T74</f>
        <v>-30263.61</v>
      </c>
      <c r="Y74" s="1"/>
      <c r="Z74" s="5">
        <f t="shared" ref="Z74:Z82" si="52">IF(T74=0,0,X74/T74)</f>
        <v>-0.79120549019607844</v>
      </c>
    </row>
    <row r="75" spans="1:26" s="24" customFormat="1" hidden="1" outlineLevel="2" x14ac:dyDescent="0.25">
      <c r="A75" s="29"/>
      <c r="B75" s="11" t="str">
        <f>CONCATENATE("          ", "6235", " - ", "COVID-19 EXPENSES")</f>
        <v xml:space="preserve">          6235 - COVID-19 EXPENSES</v>
      </c>
      <c r="C75" s="11"/>
      <c r="D75" s="6">
        <v>265.7</v>
      </c>
      <c r="E75" s="2"/>
      <c r="F75" s="7">
        <f t="shared" si="45"/>
        <v>1.0456410306864356E-2</v>
      </c>
      <c r="G75" s="2"/>
      <c r="H75" s="6">
        <v>5000</v>
      </c>
      <c r="I75" s="2"/>
      <c r="J75" s="7">
        <f t="shared" si="46"/>
        <v>2.6986765690105573E-2</v>
      </c>
      <c r="K75" s="2"/>
      <c r="L75" s="6">
        <f t="shared" si="47"/>
        <v>-4734.3</v>
      </c>
      <c r="M75" s="2"/>
      <c r="N75" s="7">
        <f t="shared" si="48"/>
        <v>-0.94686000000000003</v>
      </c>
      <c r="O75" s="11"/>
      <c r="P75" s="6">
        <v>1375.08</v>
      </c>
      <c r="Q75" s="2"/>
      <c r="R75" s="7">
        <f t="shared" si="49"/>
        <v>2.8710201884657682E-2</v>
      </c>
      <c r="S75" s="2"/>
      <c r="T75" s="6">
        <v>15000</v>
      </c>
      <c r="U75" s="2"/>
      <c r="V75" s="7">
        <f t="shared" si="50"/>
        <v>6.4768237656253377E-2</v>
      </c>
      <c r="W75" s="2"/>
      <c r="X75" s="6">
        <f t="shared" si="51"/>
        <v>-13624.92</v>
      </c>
      <c r="Y75" s="2"/>
      <c r="Z75" s="7">
        <f t="shared" si="52"/>
        <v>-0.90832800000000002</v>
      </c>
    </row>
    <row r="76" spans="1:26" s="24" customFormat="1" hidden="1" outlineLevel="2" x14ac:dyDescent="0.25">
      <c r="A76" s="29"/>
      <c r="B76" s="11" t="str">
        <f>CONCATENATE("          ", "6237", " - ", "JANITORIAL SUPPLIES")</f>
        <v xml:space="preserve">          6237 - JANITORIAL SUPPLIES</v>
      </c>
      <c r="C76" s="11"/>
      <c r="D76" s="6">
        <v>1362.95</v>
      </c>
      <c r="E76" s="2"/>
      <c r="F76" s="7">
        <f t="shared" si="45"/>
        <v>5.3637803642230988E-2</v>
      </c>
      <c r="G76" s="2"/>
      <c r="H76" s="6">
        <v>4000</v>
      </c>
      <c r="I76" s="2"/>
      <c r="J76" s="7">
        <f t="shared" si="46"/>
        <v>2.1589412552084457E-2</v>
      </c>
      <c r="K76" s="2"/>
      <c r="L76" s="6">
        <f t="shared" si="47"/>
        <v>-2637.05</v>
      </c>
      <c r="M76" s="2"/>
      <c r="N76" s="7">
        <f t="shared" si="48"/>
        <v>-0.65926250000000008</v>
      </c>
      <c r="O76" s="11"/>
      <c r="P76" s="6">
        <v>2550.9899999999998</v>
      </c>
      <c r="Q76" s="2"/>
      <c r="R76" s="7">
        <f t="shared" si="49"/>
        <v>5.3261946872722239E-2</v>
      </c>
      <c r="S76" s="2"/>
      <c r="T76" s="6">
        <v>12000</v>
      </c>
      <c r="U76" s="2"/>
      <c r="V76" s="7">
        <f t="shared" si="50"/>
        <v>5.1814590125002696E-2</v>
      </c>
      <c r="W76" s="2"/>
      <c r="X76" s="6">
        <f t="shared" si="51"/>
        <v>-9449.01</v>
      </c>
      <c r="Y76" s="2"/>
      <c r="Z76" s="7">
        <f t="shared" si="52"/>
        <v>-0.78741749999999999</v>
      </c>
    </row>
    <row r="77" spans="1:26" s="24" customFormat="1" hidden="1" outlineLevel="2" x14ac:dyDescent="0.25">
      <c r="A77" s="29"/>
      <c r="B77" s="11" t="str">
        <f>CONCATENATE("          ", "6239", " - ", "KITCHEN SUPPLIES")</f>
        <v xml:space="preserve">          6239 - KITCHEN SUPPLIES</v>
      </c>
      <c r="C77" s="11"/>
      <c r="D77" s="6"/>
      <c r="E77" s="2"/>
      <c r="F77" s="7">
        <f t="shared" si="45"/>
        <v>0</v>
      </c>
      <c r="G77" s="2"/>
      <c r="H77" s="6">
        <v>1500</v>
      </c>
      <c r="I77" s="2"/>
      <c r="J77" s="7">
        <f t="shared" si="46"/>
        <v>8.0960297070316722E-3</v>
      </c>
      <c r="K77" s="2"/>
      <c r="L77" s="6">
        <f t="shared" si="47"/>
        <v>-1500</v>
      </c>
      <c r="M77" s="2"/>
      <c r="N77" s="7">
        <f t="shared" si="48"/>
        <v>-1</v>
      </c>
      <c r="O77" s="11"/>
      <c r="P77" s="6">
        <v>1031.07</v>
      </c>
      <c r="Q77" s="2"/>
      <c r="R77" s="7">
        <f t="shared" si="49"/>
        <v>2.1527640469801025E-2</v>
      </c>
      <c r="S77" s="2"/>
      <c r="T77" s="6">
        <v>4500</v>
      </c>
      <c r="U77" s="2"/>
      <c r="V77" s="7">
        <f t="shared" si="50"/>
        <v>1.9430471296876011E-2</v>
      </c>
      <c r="W77" s="2"/>
      <c r="X77" s="6">
        <f t="shared" si="51"/>
        <v>-3468.9300000000003</v>
      </c>
      <c r="Y77" s="2"/>
      <c r="Z77" s="7">
        <f t="shared" si="52"/>
        <v>-0.77087333333333341</v>
      </c>
    </row>
    <row r="78" spans="1:26" s="24" customFormat="1" hidden="1" outlineLevel="2" x14ac:dyDescent="0.25">
      <c r="A78" s="29"/>
      <c r="B78" s="11" t="str">
        <f>CONCATENATE("          ", "6241", " - ", "OFFICE EXPENSE")</f>
        <v xml:space="preserve">          6241 - OFFICE EXPENSE</v>
      </c>
      <c r="C78" s="11"/>
      <c r="D78" s="6"/>
      <c r="E78" s="2"/>
      <c r="F78" s="7">
        <f t="shared" si="45"/>
        <v>0</v>
      </c>
      <c r="G78" s="2"/>
      <c r="H78" s="6">
        <v>500</v>
      </c>
      <c r="I78" s="2"/>
      <c r="J78" s="7">
        <f t="shared" si="46"/>
        <v>2.6986765690105571E-3</v>
      </c>
      <c r="K78" s="2"/>
      <c r="L78" s="6">
        <f t="shared" si="47"/>
        <v>-500</v>
      </c>
      <c r="M78" s="2"/>
      <c r="N78" s="7">
        <f t="shared" si="48"/>
        <v>-1</v>
      </c>
      <c r="O78" s="11"/>
      <c r="P78" s="6">
        <v>19.7</v>
      </c>
      <c r="Q78" s="2"/>
      <c r="R78" s="7">
        <f t="shared" si="49"/>
        <v>4.1131496140425018E-4</v>
      </c>
      <c r="S78" s="2"/>
      <c r="T78" s="6">
        <v>1500</v>
      </c>
      <c r="U78" s="2"/>
      <c r="V78" s="7">
        <f t="shared" si="50"/>
        <v>6.476823765625337E-3</v>
      </c>
      <c r="W78" s="2"/>
      <c r="X78" s="6">
        <f t="shared" si="51"/>
        <v>-1480.3</v>
      </c>
      <c r="Y78" s="2"/>
      <c r="Z78" s="7">
        <f t="shared" si="52"/>
        <v>-0.98686666666666667</v>
      </c>
    </row>
    <row r="79" spans="1:26" s="24" customFormat="1" hidden="1" outlineLevel="2" x14ac:dyDescent="0.25">
      <c r="A79" s="29"/>
      <c r="B79" s="11" t="str">
        <f>CONCATENATE("          ", "6243", " - ", "PAPER SUPPLIES")</f>
        <v xml:space="preserve">          6243 - PAPER SUPPLIES</v>
      </c>
      <c r="C79" s="11"/>
      <c r="D79" s="6"/>
      <c r="E79" s="2"/>
      <c r="F79" s="7">
        <f t="shared" si="45"/>
        <v>0</v>
      </c>
      <c r="G79" s="2"/>
      <c r="H79" s="6">
        <v>500</v>
      </c>
      <c r="I79" s="2"/>
      <c r="J79" s="7">
        <f t="shared" si="46"/>
        <v>2.6986765690105571E-3</v>
      </c>
      <c r="K79" s="2"/>
      <c r="L79" s="6">
        <f t="shared" si="47"/>
        <v>-500</v>
      </c>
      <c r="M79" s="2"/>
      <c r="N79" s="7">
        <f t="shared" si="48"/>
        <v>-1</v>
      </c>
      <c r="O79" s="11"/>
      <c r="P79" s="6">
        <v>3009.55</v>
      </c>
      <c r="Q79" s="2"/>
      <c r="R79" s="7">
        <f t="shared" si="49"/>
        <v>6.2836189954018337E-2</v>
      </c>
      <c r="S79" s="2"/>
      <c r="T79" s="6">
        <v>1500</v>
      </c>
      <c r="U79" s="2"/>
      <c r="V79" s="7">
        <f t="shared" si="50"/>
        <v>6.476823765625337E-3</v>
      </c>
      <c r="W79" s="2"/>
      <c r="X79" s="6">
        <f t="shared" si="51"/>
        <v>1509.5500000000002</v>
      </c>
      <c r="Y79" s="2"/>
      <c r="Z79" s="7">
        <f t="shared" si="52"/>
        <v>1.0063666666666669</v>
      </c>
    </row>
    <row r="80" spans="1:26" s="24" customFormat="1" hidden="1" outlineLevel="2" x14ac:dyDescent="0.25">
      <c r="A80" s="29"/>
      <c r="B80" s="11" t="str">
        <f>CONCATENATE("          ", "6244", " - ", "SAFETY SUPPLY EXPENSE")</f>
        <v xml:space="preserve">          6244 - SAFETY SUPPLY EXPENSE</v>
      </c>
      <c r="C80" s="11"/>
      <c r="D80" s="6"/>
      <c r="E80" s="2"/>
      <c r="F80" s="7">
        <f t="shared" si="45"/>
        <v>0</v>
      </c>
      <c r="G80" s="2"/>
      <c r="H80" s="6">
        <v>100</v>
      </c>
      <c r="I80" s="2"/>
      <c r="J80" s="7">
        <f t="shared" si="46"/>
        <v>5.3973531380211142E-4</v>
      </c>
      <c r="K80" s="2"/>
      <c r="L80" s="6">
        <f t="shared" si="47"/>
        <v>-100</v>
      </c>
      <c r="M80" s="2"/>
      <c r="N80" s="7">
        <f t="shared" si="48"/>
        <v>-1</v>
      </c>
      <c r="O80" s="11"/>
      <c r="P80" s="6"/>
      <c r="Q80" s="2"/>
      <c r="R80" s="7">
        <f t="shared" si="49"/>
        <v>0</v>
      </c>
      <c r="S80" s="2"/>
      <c r="T80" s="6">
        <v>300</v>
      </c>
      <c r="U80" s="2"/>
      <c r="V80" s="7">
        <f t="shared" si="50"/>
        <v>1.2953647531250675E-3</v>
      </c>
      <c r="W80" s="2"/>
      <c r="X80" s="6">
        <f t="shared" si="51"/>
        <v>-300</v>
      </c>
      <c r="Y80" s="2"/>
      <c r="Z80" s="7">
        <f t="shared" si="52"/>
        <v>-1</v>
      </c>
    </row>
    <row r="81" spans="1:26" s="24" customFormat="1" hidden="1" outlineLevel="2" x14ac:dyDescent="0.25">
      <c r="A81" s="29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5"/>
        <v>0</v>
      </c>
      <c r="G81" s="2"/>
      <c r="H81" s="6">
        <v>150</v>
      </c>
      <c r="I81" s="2"/>
      <c r="J81" s="7">
        <f t="shared" si="46"/>
        <v>8.0960297070316713E-4</v>
      </c>
      <c r="K81" s="2"/>
      <c r="L81" s="6">
        <f t="shared" si="47"/>
        <v>-150</v>
      </c>
      <c r="M81" s="2"/>
      <c r="N81" s="7">
        <f t="shared" si="48"/>
        <v>-1</v>
      </c>
      <c r="O81" s="11"/>
      <c r="P81" s="6"/>
      <c r="Q81" s="2"/>
      <c r="R81" s="7">
        <f t="shared" si="49"/>
        <v>0</v>
      </c>
      <c r="S81" s="2"/>
      <c r="T81" s="6">
        <v>450</v>
      </c>
      <c r="U81" s="2"/>
      <c r="V81" s="7">
        <f t="shared" si="50"/>
        <v>1.9430471296876012E-3</v>
      </c>
      <c r="W81" s="2"/>
      <c r="X81" s="6">
        <f t="shared" si="51"/>
        <v>-450</v>
      </c>
      <c r="Y81" s="2"/>
      <c r="Z81" s="7">
        <f t="shared" si="52"/>
        <v>-1</v>
      </c>
    </row>
    <row r="82" spans="1:26" s="24" customFormat="1" hidden="1" outlineLevel="2" x14ac:dyDescent="0.25">
      <c r="A82" s="29"/>
      <c r="B82" s="11" t="str">
        <f>CONCATENATE("          ", "6248", " - ", "UNIFORMS")</f>
        <v xml:space="preserve">          6248 - UNIFORMS</v>
      </c>
      <c r="C82" s="11"/>
      <c r="D82" s="6"/>
      <c r="E82" s="2"/>
      <c r="F82" s="7">
        <f t="shared" si="45"/>
        <v>0</v>
      </c>
      <c r="G82" s="2"/>
      <c r="H82" s="6"/>
      <c r="I82" s="2"/>
      <c r="J82" s="7">
        <f t="shared" si="46"/>
        <v>0</v>
      </c>
      <c r="K82" s="2"/>
      <c r="L82" s="6">
        <f t="shared" si="47"/>
        <v>0</v>
      </c>
      <c r="M82" s="2"/>
      <c r="N82" s="7">
        <f t="shared" si="48"/>
        <v>0</v>
      </c>
      <c r="O82" s="11"/>
      <c r="P82" s="6"/>
      <c r="Q82" s="2"/>
      <c r="R82" s="7">
        <f t="shared" si="49"/>
        <v>0</v>
      </c>
      <c r="S82" s="2"/>
      <c r="T82" s="6">
        <v>3000</v>
      </c>
      <c r="U82" s="2"/>
      <c r="V82" s="7">
        <f t="shared" si="50"/>
        <v>1.2953647531250674E-2</v>
      </c>
      <c r="W82" s="2"/>
      <c r="X82" s="6">
        <f t="shared" si="51"/>
        <v>-3000</v>
      </c>
      <c r="Y82" s="2"/>
      <c r="Z82" s="7">
        <f t="shared" si="52"/>
        <v>-1</v>
      </c>
    </row>
    <row r="83" spans="1:26" s="28" customFormat="1" outlineLevel="1" collapsed="1" x14ac:dyDescent="0.25">
      <c r="A83" s="27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SUM(OSRRefD22_14x_0)</f>
        <v>225</v>
      </c>
      <c r="E83" s="1"/>
      <c r="F83" s="5">
        <f t="shared" ref="F83:F84" si="53">IF(D$12=0,0,D83/D$12)</f>
        <v>8.8546944638482495E-3</v>
      </c>
      <c r="G83" s="1"/>
      <c r="H83" s="1">
        <f>SUM(OSRRefH22_14x_0)</f>
        <v>175</v>
      </c>
      <c r="I83" s="1"/>
      <c r="J83" s="5">
        <f t="shared" ref="J83:J84" si="54">IF(H$12=0,0,H83/H$12)</f>
        <v>9.4453679915369499E-4</v>
      </c>
      <c r="K83" s="1"/>
      <c r="L83" s="1">
        <f t="shared" ref="L83:L84" si="55">+D83-H83</f>
        <v>50</v>
      </c>
      <c r="M83" s="1"/>
      <c r="N83" s="5">
        <f t="shared" ref="N83:N84" si="56">IF(H83=0,0,L83/H83)</f>
        <v>0.2857142857142857</v>
      </c>
      <c r="O83" s="14"/>
      <c r="P83" s="1">
        <f>SUM(OSRRefP22_14x_0)</f>
        <v>503</v>
      </c>
      <c r="Q83" s="1"/>
      <c r="R83" s="5">
        <f t="shared" ref="R83:R84" si="57">IF(P$12=0,0,P83/P$12)</f>
        <v>1.0502102821641515E-2</v>
      </c>
      <c r="S83" s="1"/>
      <c r="T83" s="1">
        <f>SUM(OSRRefT22_14x_0)</f>
        <v>525</v>
      </c>
      <c r="U83" s="1"/>
      <c r="V83" s="5">
        <f t="shared" ref="V83:V84" si="58">IF(T$12=0,0,T83/T$12)</f>
        <v>2.2668883179688681E-3</v>
      </c>
      <c r="W83" s="1"/>
      <c r="X83" s="1">
        <f t="shared" ref="X83:X84" si="59">+P83-T83</f>
        <v>-22</v>
      </c>
      <c r="Y83" s="1"/>
      <c r="Z83" s="5">
        <f t="shared" ref="Z83:Z84" si="60">IF(T83=0,0,X83/T83)</f>
        <v>-4.1904761904761903E-2</v>
      </c>
    </row>
    <row r="84" spans="1:26" s="24" customFormat="1" hidden="1" outlineLevel="2" x14ac:dyDescent="0.25">
      <c r="A84" s="29"/>
      <c r="B84" s="11" t="str">
        <f>CONCATENATE("          ", "6309", " - ", "TELEPHONE")</f>
        <v xml:space="preserve">          6309 - TELEPHONE</v>
      </c>
      <c r="C84" s="11"/>
      <c r="D84" s="6">
        <v>225</v>
      </c>
      <c r="E84" s="2"/>
      <c r="F84" s="7">
        <f t="shared" si="53"/>
        <v>8.8546944638482495E-3</v>
      </c>
      <c r="G84" s="2"/>
      <c r="H84" s="6">
        <v>175</v>
      </c>
      <c r="I84" s="2"/>
      <c r="J84" s="7">
        <f t="shared" si="54"/>
        <v>9.4453679915369499E-4</v>
      </c>
      <c r="K84" s="2"/>
      <c r="L84" s="6">
        <f t="shared" si="55"/>
        <v>50</v>
      </c>
      <c r="M84" s="2"/>
      <c r="N84" s="7">
        <f t="shared" si="56"/>
        <v>0.2857142857142857</v>
      </c>
      <c r="O84" s="11"/>
      <c r="P84" s="6">
        <v>503</v>
      </c>
      <c r="Q84" s="2"/>
      <c r="R84" s="7">
        <f t="shared" si="57"/>
        <v>1.0502102821641515E-2</v>
      </c>
      <c r="S84" s="2"/>
      <c r="T84" s="6">
        <v>525</v>
      </c>
      <c r="U84" s="2"/>
      <c r="V84" s="7">
        <f t="shared" si="58"/>
        <v>2.2668883179688681E-3</v>
      </c>
      <c r="W84" s="2"/>
      <c r="X84" s="6">
        <f t="shared" si="59"/>
        <v>-22</v>
      </c>
      <c r="Y84" s="2"/>
      <c r="Z84" s="7">
        <f t="shared" si="60"/>
        <v>-4.1904761904761903E-2</v>
      </c>
    </row>
    <row r="85" spans="1:26" s="61" customFormat="1" x14ac:dyDescent="0.25">
      <c r="A85" s="36"/>
      <c r="B85" s="36"/>
      <c r="C85" s="36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6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6" t="s">
        <v>3</v>
      </c>
      <c r="C88" s="26"/>
      <c r="D88" s="20">
        <f>+D23-D25+D86</f>
        <v>-26482.909999999989</v>
      </c>
      <c r="E88" s="13"/>
      <c r="F88" s="21">
        <f>IF(D$12=0,0,D88/D$12)</f>
        <v>-1.0422136736159617</v>
      </c>
      <c r="G88" s="13"/>
      <c r="H88" s="20">
        <f>+H23-H25+H86</f>
        <v>1803.3872692307632</v>
      </c>
      <c r="I88" s="13"/>
      <c r="J88" s="21">
        <f>IF(H$12=0,0,H88/H$12)</f>
        <v>9.7335179366499873E-3</v>
      </c>
      <c r="K88" s="16"/>
      <c r="L88" s="20">
        <f>+D88-H88</f>
        <v>-28286.297269230752</v>
      </c>
      <c r="M88" s="16"/>
      <c r="N88" s="21">
        <f>IF(H88=0,0,L88/H88)</f>
        <v>-15.685093131047944</v>
      </c>
      <c r="O88" s="25"/>
      <c r="P88" s="20">
        <f>+P23-P25+P86</f>
        <v>-142636.68</v>
      </c>
      <c r="Q88" s="13"/>
      <c r="R88" s="21">
        <f>IF(P$12=0,0,P88/P$12)</f>
        <v>-2.9781015496969734</v>
      </c>
      <c r="S88" s="13"/>
      <c r="T88" s="20">
        <f>+T23-T25+T86</f>
        <v>-163909.65799500002</v>
      </c>
      <c r="U88" s="13"/>
      <c r="V88" s="21">
        <f>IF(T$12=0,0,T88/T$12)</f>
        <v>-0.70774264554502475</v>
      </c>
      <c r="W88" s="16"/>
      <c r="X88" s="20">
        <f>+P88-T88</f>
        <v>21272.977995000023</v>
      </c>
      <c r="Y88" s="16"/>
      <c r="Z88" s="21">
        <f>IF(T88=0,0,X88/T88)</f>
        <v>-0.12978477446184986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2"/>
      <c r="B90" s="10" t="s">
        <v>14</v>
      </c>
      <c r="C90" s="10"/>
      <c r="D90" s="4">
        <v>5076.54</v>
      </c>
      <c r="E90" s="4"/>
      <c r="F90" s="12">
        <f>IF(D$12=0,0,D90/D$12)</f>
        <v>0.19978315837112975</v>
      </c>
      <c r="G90" s="4"/>
      <c r="H90" s="4">
        <v>25918</v>
      </c>
      <c r="I90" s="4"/>
      <c r="J90" s="12">
        <f>IF(H$12=0,0,H90/H$12)</f>
        <v>0.13988859863123124</v>
      </c>
      <c r="K90" s="4"/>
      <c r="L90" s="4">
        <f>+D90-H90</f>
        <v>-20841.46</v>
      </c>
      <c r="M90" s="4"/>
      <c r="N90" s="12">
        <f>IF(H90=0,0,L90/H90)</f>
        <v>-0.80413071996296004</v>
      </c>
      <c r="O90" s="10"/>
      <c r="P90" s="4">
        <v>8872.82</v>
      </c>
      <c r="Q90" s="4"/>
      <c r="R90" s="12">
        <f>IF(P$12=0,0,P90/P$12)</f>
        <v>0.18525500588055122</v>
      </c>
      <c r="S90" s="4"/>
      <c r="T90" s="4">
        <v>33482</v>
      </c>
      <c r="U90" s="4"/>
      <c r="V90" s="12">
        <f>IF(T$12=0,0,T90/T$12)</f>
        <v>0.14457134221377838</v>
      </c>
      <c r="W90" s="4"/>
      <c r="X90" s="4">
        <f>+P90-T90</f>
        <v>-24609.18</v>
      </c>
      <c r="Y90" s="4"/>
      <c r="Z90" s="12">
        <f>IF(T90=0,0,X90/T90)</f>
        <v>-0.73499731198853113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4</v>
      </c>
      <c r="C92" s="26"/>
      <c r="D92" s="33">
        <f>+D88-D90</f>
        <v>-31559.44999999999</v>
      </c>
      <c r="E92" s="13"/>
      <c r="F92" s="34">
        <f>IF(D$12=0,0,D92/D$12)</f>
        <v>-1.2419968319870913</v>
      </c>
      <c r="G92" s="13"/>
      <c r="H92" s="33">
        <f>+H88-H90</f>
        <v>-24114.612730769237</v>
      </c>
      <c r="I92" s="13"/>
      <c r="J92" s="34">
        <f>IF(H$12=0,0,H92/H$12)</f>
        <v>-0.13015508069458126</v>
      </c>
      <c r="K92" s="16"/>
      <c r="L92" s="33">
        <f>D92-H92</f>
        <v>-7444.837269230753</v>
      </c>
      <c r="M92" s="16"/>
      <c r="N92" s="34">
        <f>IF(H92=0,0,L92/H92)</f>
        <v>0.30872721666110159</v>
      </c>
      <c r="O92" s="25"/>
      <c r="P92" s="33">
        <f>+P88-P90</f>
        <v>-151509.5</v>
      </c>
      <c r="Q92" s="13"/>
      <c r="R92" s="34">
        <f>IF(P$12=0,0,P92/P$12)</f>
        <v>-3.1633565555775252</v>
      </c>
      <c r="S92" s="13"/>
      <c r="T92" s="33">
        <f>+T88-T90</f>
        <v>-197391.65799500002</v>
      </c>
      <c r="U92" s="13"/>
      <c r="V92" s="34">
        <f>IF(T$12=0,0,T92/T$12)</f>
        <v>-0.85231398775880318</v>
      </c>
      <c r="W92" s="16"/>
      <c r="X92" s="33">
        <f>P92-T92</f>
        <v>45882.157995000016</v>
      </c>
      <c r="Y92" s="16"/>
      <c r="Z92" s="34">
        <f>IF(T92=0,0,X92/T92)</f>
        <v>-0.23244223419088067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5</v>
      </c>
      <c r="C95" s="26"/>
      <c r="D95" s="31">
        <f>SUM(D92:D94)</f>
        <v>-31559.44999999999</v>
      </c>
      <c r="E95" s="13"/>
      <c r="F95" s="32">
        <f>IF(D$12=0,0,D95/D$12)</f>
        <v>-1.2419968319870913</v>
      </c>
      <c r="G95" s="13"/>
      <c r="H95" s="31">
        <f>SUM(H92:H94)</f>
        <v>-24114.612730769237</v>
      </c>
      <c r="I95" s="13"/>
      <c r="J95" s="32">
        <f>IF(H$12=0,0,H95/H$12)</f>
        <v>-0.13015508069458126</v>
      </c>
      <c r="K95" s="16"/>
      <c r="L95" s="31">
        <f>+D95-H95</f>
        <v>-7444.837269230753</v>
      </c>
      <c r="M95" s="16"/>
      <c r="N95" s="32">
        <f>IF(H95=0,0,L95/H95)</f>
        <v>0.30872721666110159</v>
      </c>
      <c r="O95" s="25"/>
      <c r="P95" s="31">
        <f>SUM(P92:P94)</f>
        <v>-151509.5</v>
      </c>
      <c r="Q95" s="13"/>
      <c r="R95" s="32">
        <f>IF(P$12=0,0,P95/P$12)</f>
        <v>-3.1633565555775252</v>
      </c>
      <c r="S95" s="13"/>
      <c r="T95" s="31">
        <f>SUM(T92:T94)</f>
        <v>-197391.65799500002</v>
      </c>
      <c r="U95" s="13"/>
      <c r="V95" s="32">
        <f>IF(T$12=0,0,T95/T$12)</f>
        <v>-0.85231398775880318</v>
      </c>
      <c r="W95" s="16"/>
      <c r="X95" s="31">
        <f>+P95-T95</f>
        <v>45882.157995000016</v>
      </c>
      <c r="Y95" s="16"/>
      <c r="Z95" s="32">
        <f>IF(T95=0,0,X95/T95)</f>
        <v>-0.23244223419088067</v>
      </c>
    </row>
    <row r="96" spans="1:26" ht="15.75" thickTop="1" x14ac:dyDescent="0.25">
      <c r="A96" s="9"/>
      <c r="C96" s="9"/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55">
        <v>44123.572506053242</v>
      </c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A98" s="9"/>
      <c r="B98" s="53" t="s">
        <v>314</v>
      </c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  <row r="99" spans="1:24" x14ac:dyDescent="0.25">
      <c r="A99" s="9"/>
      <c r="B99" s="62"/>
      <c r="D99" s="17"/>
      <c r="E99" s="17"/>
      <c r="G99" s="17"/>
      <c r="H99" s="17"/>
      <c r="I99" s="17"/>
      <c r="J99" s="43"/>
      <c r="K99" s="17"/>
      <c r="L99" s="17"/>
      <c r="M99" s="17"/>
      <c r="P99" s="17"/>
      <c r="Q99" s="17"/>
      <c r="R99" s="43"/>
      <c r="S99" s="17"/>
      <c r="T99" s="17"/>
      <c r="U99" s="17"/>
      <c r="V99" s="43"/>
      <c r="W99" s="17"/>
      <c r="X99" s="17"/>
    </row>
    <row r="100" spans="1:24" x14ac:dyDescent="0.25"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","435", " - ", "Ground Floor Coffee House")</f>
        <v>Department 435 - Ground Floor Coffee House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0">
        <f>D12-D14</f>
        <v>0</v>
      </c>
      <c r="E16" s="13"/>
      <c r="F16" s="21">
        <f>IF(D$12=0,0,D16/D$12)</f>
        <v>0</v>
      </c>
      <c r="G16" s="13"/>
      <c r="H16" s="20">
        <f>H12-H14</f>
        <v>0</v>
      </c>
      <c r="I16" s="13"/>
      <c r="J16" s="21">
        <f>IF(H$12=0,0,H16/H$12)</f>
        <v>0</v>
      </c>
      <c r="K16" s="16"/>
      <c r="L16" s="20">
        <f>+D16-H16</f>
        <v>0</v>
      </c>
      <c r="M16" s="16"/>
      <c r="N16" s="21">
        <f>IF(H16=0,0,L16/H16)</f>
        <v>0</v>
      </c>
      <c r="O16" s="25"/>
      <c r="P16" s="20">
        <f>P12-P14</f>
        <v>0</v>
      </c>
      <c r="Q16" s="13"/>
      <c r="R16" s="21">
        <f>IF(P$12=0,0,P16/P$12)</f>
        <v>0</v>
      </c>
      <c r="S16" s="13"/>
      <c r="T16" s="20">
        <f>T12-T14</f>
        <v>0</v>
      </c>
      <c r="U16" s="13"/>
      <c r="V16" s="21">
        <f>IF(T$12=0,0,T16/T$12)</f>
        <v>0</v>
      </c>
      <c r="W16" s="16"/>
      <c r="X16" s="20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6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19">
        <f>SUM(OSRRefD22x_0)</f>
        <v>0</v>
      </c>
      <c r="E18" s="19"/>
      <c r="F18" s="35">
        <f t="shared" ref="F18:F20" si="0">IF(D$12=0,0,D18/D$12)</f>
        <v>0</v>
      </c>
      <c r="G18" s="19"/>
      <c r="H18" s="19">
        <f>SUM(OSRRefH22x_0)</f>
        <v>0</v>
      </c>
      <c r="I18" s="19"/>
      <c r="J18" s="35">
        <f t="shared" ref="J18:J20" si="1">IF(H$12=0,0,H18/H$12)</f>
        <v>0</v>
      </c>
      <c r="K18" s="4"/>
      <c r="L18" s="19">
        <f t="shared" ref="L18:L20" si="2">+D18-H18</f>
        <v>0</v>
      </c>
      <c r="M18" s="4"/>
      <c r="N18" s="35">
        <f t="shared" ref="N18:N20" si="3">IF(H18=0,0,L18/H18)</f>
        <v>0</v>
      </c>
      <c r="O18" s="10"/>
      <c r="P18" s="19">
        <f>SUM(OSRRefP22x_0)</f>
        <v>151</v>
      </c>
      <c r="Q18" s="19"/>
      <c r="R18" s="35">
        <f t="shared" ref="R18:R20" si="4">IF(P$12=0,0,P18/P$12)</f>
        <v>0</v>
      </c>
      <c r="S18" s="19"/>
      <c r="T18" s="19">
        <f>SUM(OSRRefT22x_0)</f>
        <v>0</v>
      </c>
      <c r="U18" s="19"/>
      <c r="V18" s="35">
        <f t="shared" ref="V18:V20" si="5">IF(T$12=0,0,T18/T$12)</f>
        <v>0</v>
      </c>
      <c r="W18" s="4"/>
      <c r="X18" s="19">
        <f t="shared" ref="X18:X20" si="6">+P18-T18</f>
        <v>151</v>
      </c>
      <c r="Y18" s="4"/>
      <c r="Z18" s="35">
        <f t="shared" ref="Z18:Z20" si="7">IF(T18=0,0,X18/T18)</f>
        <v>0</v>
      </c>
    </row>
    <row r="19" spans="1:26" s="28" customFormat="1" outlineLevel="1" collapsed="1" x14ac:dyDescent="0.25">
      <c r="A19" s="27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151</v>
      </c>
      <c r="Q19" s="1"/>
      <c r="R19" s="5">
        <f t="shared" si="4"/>
        <v>0</v>
      </c>
      <c r="S19" s="1"/>
      <c r="T19" s="1">
        <f>SUM(OSRRefT22_0x_0)</f>
        <v>0</v>
      </c>
      <c r="U19" s="1"/>
      <c r="V19" s="5">
        <f t="shared" si="5"/>
        <v>0</v>
      </c>
      <c r="W19" s="1"/>
      <c r="X19" s="1">
        <f t="shared" si="6"/>
        <v>151</v>
      </c>
      <c r="Y19" s="1"/>
      <c r="Z19" s="5">
        <f t="shared" si="7"/>
        <v>0</v>
      </c>
    </row>
    <row r="20" spans="1:26" s="24" customFormat="1" hidden="1" outlineLevel="2" x14ac:dyDescent="0.25">
      <c r="A20" s="29"/>
      <c r="B20" s="11" t="str">
        <f>CONCATENATE("          ", "6309", " - ", "TELEPHONE")</f>
        <v xml:space="preserve">          6309 - TELEPHONE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151</v>
      </c>
      <c r="Q20" s="2"/>
      <c r="R20" s="7">
        <f t="shared" si="4"/>
        <v>0</v>
      </c>
      <c r="S20" s="2"/>
      <c r="T20" s="6"/>
      <c r="U20" s="2"/>
      <c r="V20" s="7">
        <f t="shared" si="5"/>
        <v>0</v>
      </c>
      <c r="W20" s="2"/>
      <c r="X20" s="6">
        <f t="shared" si="6"/>
        <v>151</v>
      </c>
      <c r="Y20" s="2"/>
      <c r="Z20" s="7">
        <f t="shared" si="7"/>
        <v>0</v>
      </c>
    </row>
    <row r="21" spans="1:26" s="61" customFormat="1" x14ac:dyDescent="0.25">
      <c r="A21" s="36"/>
      <c r="B21" s="36"/>
      <c r="C21" s="36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6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0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3</v>
      </c>
      <c r="C24" s="26"/>
      <c r="D24" s="20">
        <f>+D16-D18+D22</f>
        <v>0</v>
      </c>
      <c r="E24" s="13"/>
      <c r="F24" s="21">
        <f>IF(D$12=0,0,D24/D$12)</f>
        <v>0</v>
      </c>
      <c r="G24" s="13"/>
      <c r="H24" s="20">
        <f>+H16-H18+H22</f>
        <v>0</v>
      </c>
      <c r="I24" s="13"/>
      <c r="J24" s="21">
        <f>IF(H$12=0,0,H24/H$12)</f>
        <v>0</v>
      </c>
      <c r="K24" s="16"/>
      <c r="L24" s="20">
        <f>+D24-H24</f>
        <v>0</v>
      </c>
      <c r="M24" s="16"/>
      <c r="N24" s="21">
        <f>IF(H24=0,0,L24/H24)</f>
        <v>0</v>
      </c>
      <c r="O24" s="25"/>
      <c r="P24" s="20">
        <f>+P16-P18+P22</f>
        <v>-151</v>
      </c>
      <c r="Q24" s="13"/>
      <c r="R24" s="21">
        <f>IF(P$12=0,0,P24/P$12)</f>
        <v>0</v>
      </c>
      <c r="S24" s="13"/>
      <c r="T24" s="20">
        <f>+T16-T18+T22</f>
        <v>0</v>
      </c>
      <c r="U24" s="13"/>
      <c r="V24" s="21">
        <f>IF(T$12=0,0,T24/T$12)</f>
        <v>0</v>
      </c>
      <c r="W24" s="16"/>
      <c r="X24" s="20">
        <f>+P24-T24</f>
        <v>-151</v>
      </c>
      <c r="Y24" s="16"/>
      <c r="Z24" s="21">
        <f>IF(T24=0,0,X24/T24)</f>
        <v>0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52"/>
      <c r="B26" s="10" t="s">
        <v>14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.75" thickBot="1" x14ac:dyDescent="0.3">
      <c r="A28" s="10"/>
      <c r="B28" s="26" t="s">
        <v>4</v>
      </c>
      <c r="C28" s="26"/>
      <c r="D28" s="33">
        <f>+D24-D26</f>
        <v>0</v>
      </c>
      <c r="E28" s="13"/>
      <c r="F28" s="34">
        <f>IF(D$12=0,0,D28/D$12)</f>
        <v>0</v>
      </c>
      <c r="G28" s="13"/>
      <c r="H28" s="33">
        <f>+H24-H26</f>
        <v>0</v>
      </c>
      <c r="I28" s="13"/>
      <c r="J28" s="34">
        <f>IF(H$12=0,0,H28/H$12)</f>
        <v>0</v>
      </c>
      <c r="K28" s="16"/>
      <c r="L28" s="33">
        <f>D28-H28</f>
        <v>0</v>
      </c>
      <c r="M28" s="16"/>
      <c r="N28" s="34">
        <f>IF(H28=0,0,L28/H28)</f>
        <v>0</v>
      </c>
      <c r="O28" s="25"/>
      <c r="P28" s="33">
        <f>+P24-P26</f>
        <v>-151</v>
      </c>
      <c r="Q28" s="13"/>
      <c r="R28" s="34">
        <f>IF(P$12=0,0,P28/P$12)</f>
        <v>0</v>
      </c>
      <c r="S28" s="13"/>
      <c r="T28" s="33">
        <f>+T24-T26</f>
        <v>0</v>
      </c>
      <c r="U28" s="13"/>
      <c r="V28" s="34">
        <f>IF(T$12=0,0,T28/T$12)</f>
        <v>0</v>
      </c>
      <c r="W28" s="16"/>
      <c r="X28" s="33">
        <f>P28-T28</f>
        <v>-151</v>
      </c>
      <c r="Y28" s="16"/>
      <c r="Z28" s="34">
        <f>IF(T28=0,0,X28/T28)</f>
        <v>0</v>
      </c>
    </row>
    <row r="29" spans="1:26" ht="15.75" thickTop="1" x14ac:dyDescent="0.25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1">
        <f>SUM(D28:D30)</f>
        <v>0</v>
      </c>
      <c r="E31" s="13"/>
      <c r="F31" s="32">
        <f>IF(D$12=0,0,D31/D$12)</f>
        <v>0</v>
      </c>
      <c r="G31" s="13"/>
      <c r="H31" s="31">
        <f>SUM(H28:H30)</f>
        <v>0</v>
      </c>
      <c r="I31" s="13"/>
      <c r="J31" s="32">
        <f>IF(H$12=0,0,H31/H$12)</f>
        <v>0</v>
      </c>
      <c r="K31" s="16"/>
      <c r="L31" s="31">
        <f>+D31-H31</f>
        <v>0</v>
      </c>
      <c r="M31" s="16"/>
      <c r="N31" s="32">
        <f>IF(H31=0,0,L31/H31)</f>
        <v>0</v>
      </c>
      <c r="O31" s="25"/>
      <c r="P31" s="31">
        <f>SUM(P28:P30)</f>
        <v>-151</v>
      </c>
      <c r="Q31" s="13"/>
      <c r="R31" s="32">
        <f>IF(P$12=0,0,P31/P$12)</f>
        <v>0</v>
      </c>
      <c r="S31" s="13"/>
      <c r="T31" s="31">
        <f>SUM(T28:T30)</f>
        <v>0</v>
      </c>
      <c r="U31" s="13"/>
      <c r="V31" s="32">
        <f>IF(T$12=0,0,T31/T$12)</f>
        <v>0</v>
      </c>
      <c r="W31" s="16"/>
      <c r="X31" s="31">
        <f>+P31-T31</f>
        <v>-151</v>
      </c>
      <c r="Y31" s="16"/>
      <c r="Z31" s="32">
        <f>IF(T31=0,0,X31/T31)</f>
        <v>0</v>
      </c>
    </row>
    <row r="32" spans="1:26" ht="15.75" thickTop="1" x14ac:dyDescent="0.25">
      <c r="A32" s="9"/>
      <c r="C32" s="9"/>
      <c r="D32" s="17"/>
      <c r="E32" s="17"/>
      <c r="G32" s="17"/>
      <c r="H32" s="17"/>
      <c r="I32" s="17"/>
      <c r="J32" s="43"/>
      <c r="K32" s="17"/>
      <c r="L32" s="17"/>
      <c r="M32" s="17"/>
      <c r="P32" s="17"/>
      <c r="Q32" s="17"/>
      <c r="R32" s="43"/>
      <c r="S32" s="17"/>
      <c r="T32" s="17"/>
      <c r="U32" s="17"/>
      <c r="V32" s="43"/>
      <c r="W32" s="17"/>
      <c r="X32" s="17"/>
    </row>
    <row r="33" spans="1:24" x14ac:dyDescent="0.25">
      <c r="A33" s="9"/>
      <c r="B33" s="55">
        <v>44123.572522951392</v>
      </c>
      <c r="D33" s="17"/>
      <c r="E33" s="17"/>
      <c r="G33" s="17"/>
      <c r="H33" s="17"/>
      <c r="I33" s="17"/>
      <c r="J33" s="43"/>
      <c r="K33" s="17"/>
      <c r="L33" s="17"/>
      <c r="M33" s="17"/>
      <c r="P33" s="17"/>
      <c r="Q33" s="17"/>
      <c r="R33" s="43"/>
      <c r="S33" s="17"/>
      <c r="T33" s="17"/>
      <c r="U33" s="17"/>
      <c r="V33" s="43"/>
      <c r="W33" s="17"/>
      <c r="X33" s="17"/>
    </row>
    <row r="34" spans="1:24" x14ac:dyDescent="0.25">
      <c r="A34" s="9"/>
      <c r="B34" s="53" t="s">
        <v>314</v>
      </c>
      <c r="D34" s="17"/>
      <c r="E34" s="17"/>
      <c r="G34" s="17"/>
      <c r="H34" s="17"/>
      <c r="I34" s="17"/>
      <c r="J34" s="43"/>
      <c r="K34" s="17"/>
      <c r="L34" s="17"/>
      <c r="M34" s="17"/>
      <c r="P34" s="17"/>
      <c r="Q34" s="17"/>
      <c r="R34" s="43"/>
      <c r="S34" s="17"/>
      <c r="T34" s="17"/>
      <c r="U34" s="17"/>
      <c r="V34" s="43"/>
      <c r="W34" s="17"/>
      <c r="X34" s="17"/>
    </row>
    <row r="35" spans="1:24" x14ac:dyDescent="0.25">
      <c r="A35" s="9"/>
      <c r="B35" s="62"/>
      <c r="D35" s="17"/>
      <c r="E35" s="17"/>
      <c r="G35" s="17"/>
      <c r="H35" s="17"/>
      <c r="I35" s="17"/>
      <c r="J35" s="43"/>
      <c r="K35" s="17"/>
      <c r="L35" s="17"/>
      <c r="M35" s="17"/>
      <c r="P35" s="17"/>
      <c r="Q35" s="17"/>
      <c r="R35" s="43"/>
      <c r="S35" s="17"/>
      <c r="T35" s="17"/>
      <c r="U35" s="17"/>
      <c r="V35" s="43"/>
      <c r="W35" s="17"/>
      <c r="X35" s="17"/>
    </row>
    <row r="36" spans="1:24" x14ac:dyDescent="0.25">
      <c r="D36" s="17"/>
      <c r="E36" s="17"/>
      <c r="G36" s="17"/>
      <c r="H36" s="17"/>
      <c r="I36" s="17"/>
      <c r="J36" s="43"/>
      <c r="K36" s="17"/>
      <c r="L36" s="17"/>
      <c r="M36" s="17"/>
      <c r="P36" s="17"/>
      <c r="Q36" s="17"/>
      <c r="R36" s="43"/>
      <c r="S36" s="17"/>
      <c r="T36" s="17"/>
      <c r="U36" s="17"/>
      <c r="V36" s="43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","444", " - ", "Parkside Dining Hall")</f>
        <v>Department 444 - Parkside Dining Hall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184399.6</v>
      </c>
      <c r="E12" s="4"/>
      <c r="F12" s="12"/>
      <c r="G12" s="4"/>
      <c r="H12" s="4">
        <f>SUM(OSRRefH13x_0)</f>
        <v>206917</v>
      </c>
      <c r="I12" s="4"/>
      <c r="J12" s="12"/>
      <c r="K12" s="4"/>
      <c r="L12" s="4">
        <f t="shared" ref="L12:L16" si="0">+D12-H12</f>
        <v>-22517.399999999994</v>
      </c>
      <c r="M12" s="4"/>
      <c r="N12" s="12">
        <f t="shared" ref="N12:N16" si="1">IF(H12=0,0,L12/H12)</f>
        <v>-0.10882334462610609</v>
      </c>
      <c r="O12" s="10"/>
      <c r="P12" s="4">
        <f>SUM(OSRRefP13x_0)</f>
        <v>231070.68000000002</v>
      </c>
      <c r="Q12" s="4"/>
      <c r="R12" s="12"/>
      <c r="S12" s="4"/>
      <c r="T12" s="4">
        <f>SUM(OSRRefT13x_0)</f>
        <v>277771</v>
      </c>
      <c r="U12" s="4"/>
      <c r="V12" s="12"/>
      <c r="W12" s="4"/>
      <c r="X12" s="4">
        <f t="shared" ref="X12:X16" si="2">+P12-T12</f>
        <v>-46700.319999999978</v>
      </c>
      <c r="Y12" s="4"/>
      <c r="Z12" s="12">
        <f t="shared" ref="Z12:Z16" si="3">IF(T12=0,0,X12/T12)</f>
        <v>-0.16812525425620378</v>
      </c>
    </row>
    <row r="13" spans="1:26" s="24" customFormat="1" hidden="1" outlineLevel="1" x14ac:dyDescent="0.25">
      <c r="A13" s="51"/>
      <c r="B13" s="11" t="str">
        <f>CONCATENATE("          ", "4053", " - ", "TAXABLE SALES-FOOD")</f>
        <v xml:space="preserve">          4053 - TAXABLE SALES-FOOD</v>
      </c>
      <c r="C13" s="11"/>
      <c r="D13" s="2">
        <f>--62.54</f>
        <v>62.54</v>
      </c>
      <c r="E13" s="2"/>
      <c r="F13" s="22"/>
      <c r="G13" s="2"/>
      <c r="H13" s="2"/>
      <c r="I13" s="2"/>
      <c r="J13" s="22"/>
      <c r="K13" s="2"/>
      <c r="L13" s="2">
        <f t="shared" si="0"/>
        <v>62.54</v>
      </c>
      <c r="M13" s="2"/>
      <c r="N13" s="22">
        <f t="shared" si="1"/>
        <v>0</v>
      </c>
      <c r="O13" s="11"/>
      <c r="P13" s="2">
        <f>--184.79</f>
        <v>184.79</v>
      </c>
      <c r="Q13" s="2"/>
      <c r="R13" s="22"/>
      <c r="S13" s="2"/>
      <c r="T13" s="2"/>
      <c r="U13" s="2"/>
      <c r="V13" s="22"/>
      <c r="W13" s="2"/>
      <c r="X13" s="2">
        <f t="shared" si="2"/>
        <v>184.79</v>
      </c>
      <c r="Y13" s="2"/>
      <c r="Z13" s="22">
        <f t="shared" si="3"/>
        <v>0</v>
      </c>
    </row>
    <row r="14" spans="1:26" s="24" customFormat="1" hidden="1" outlineLevel="1" x14ac:dyDescent="0.25">
      <c r="A14" s="51"/>
      <c r="B14" s="11" t="str">
        <f>CONCATENATE("          ", "4100", " - ", "NON-TAXABLE SALES")</f>
        <v xml:space="preserve">          4100 - NON-TAXABLE SALES</v>
      </c>
      <c r="C14" s="11"/>
      <c r="D14" s="2">
        <f>0</f>
        <v>0</v>
      </c>
      <c r="E14" s="2"/>
      <c r="F14" s="22"/>
      <c r="G14" s="2"/>
      <c r="H14" s="2">
        <v>206917</v>
      </c>
      <c r="I14" s="2"/>
      <c r="J14" s="22"/>
      <c r="K14" s="2"/>
      <c r="L14" s="2">
        <f t="shared" si="0"/>
        <v>-206917</v>
      </c>
      <c r="M14" s="2"/>
      <c r="N14" s="22">
        <f t="shared" si="1"/>
        <v>-1</v>
      </c>
      <c r="O14" s="11"/>
      <c r="P14" s="2">
        <f>0</f>
        <v>0</v>
      </c>
      <c r="Q14" s="2"/>
      <c r="R14" s="22"/>
      <c r="S14" s="2"/>
      <c r="T14" s="2">
        <v>277771</v>
      </c>
      <c r="U14" s="2"/>
      <c r="V14" s="22"/>
      <c r="W14" s="2"/>
      <c r="X14" s="2">
        <f t="shared" si="2"/>
        <v>-277771</v>
      </c>
      <c r="Y14" s="2"/>
      <c r="Z14" s="22">
        <f t="shared" si="3"/>
        <v>-1</v>
      </c>
    </row>
    <row r="15" spans="1:26" s="24" customFormat="1" hidden="1" outlineLevel="1" x14ac:dyDescent="0.25">
      <c r="A15" s="51"/>
      <c r="B15" s="11" t="str">
        <f>CONCATENATE("          ", "4151", " - ", "NON-TAXABLE SALES-FOOD")</f>
        <v xml:space="preserve">          4151 - NON-TAXABLE SALES-FOOD</v>
      </c>
      <c r="C15" s="11"/>
      <c r="D15" s="2">
        <f>--181378.7</f>
        <v>181378.7</v>
      </c>
      <c r="E15" s="2"/>
      <c r="F15" s="22"/>
      <c r="G15" s="2"/>
      <c r="H15" s="2"/>
      <c r="I15" s="2"/>
      <c r="J15" s="22"/>
      <c r="K15" s="2"/>
      <c r="L15" s="2">
        <f t="shared" si="0"/>
        <v>181378.7</v>
      </c>
      <c r="M15" s="2"/>
      <c r="N15" s="22">
        <f t="shared" si="1"/>
        <v>0</v>
      </c>
      <c r="O15" s="11"/>
      <c r="P15" s="2">
        <f>--220129.38</f>
        <v>220129.38</v>
      </c>
      <c r="Q15" s="2"/>
      <c r="R15" s="22"/>
      <c r="S15" s="2"/>
      <c r="T15" s="2"/>
      <c r="U15" s="2"/>
      <c r="V15" s="22"/>
      <c r="W15" s="2"/>
      <c r="X15" s="2">
        <f t="shared" si="2"/>
        <v>220129.38</v>
      </c>
      <c r="Y15" s="2"/>
      <c r="Z15" s="22">
        <f t="shared" si="3"/>
        <v>0</v>
      </c>
    </row>
    <row r="16" spans="1:26" s="24" customFormat="1" hidden="1" outlineLevel="1" x14ac:dyDescent="0.25">
      <c r="A16" s="51"/>
      <c r="B16" s="11" t="str">
        <f>CONCATENATE("          ", "4153", " - ", "NON-TAXABLE SALES-FOOD")</f>
        <v xml:space="preserve">          4153 - NON-TAXABLE SALES-FOOD</v>
      </c>
      <c r="C16" s="11"/>
      <c r="D16" s="2">
        <f>--2958.36</f>
        <v>2958.36</v>
      </c>
      <c r="E16" s="2"/>
      <c r="F16" s="22"/>
      <c r="G16" s="2"/>
      <c r="H16" s="2"/>
      <c r="I16" s="2"/>
      <c r="J16" s="22"/>
      <c r="K16" s="2"/>
      <c r="L16" s="2">
        <f t="shared" si="0"/>
        <v>2958.36</v>
      </c>
      <c r="M16" s="2"/>
      <c r="N16" s="22">
        <f t="shared" si="1"/>
        <v>0</v>
      </c>
      <c r="O16" s="11"/>
      <c r="P16" s="2">
        <f>--10756.51</f>
        <v>10756.51</v>
      </c>
      <c r="Q16" s="2"/>
      <c r="R16" s="22"/>
      <c r="S16" s="2"/>
      <c r="T16" s="2"/>
      <c r="U16" s="2"/>
      <c r="V16" s="22"/>
      <c r="W16" s="2"/>
      <c r="X16" s="2">
        <f t="shared" si="2"/>
        <v>10756.51</v>
      </c>
      <c r="Y16" s="2"/>
      <c r="Z16" s="22">
        <f t="shared" si="3"/>
        <v>0</v>
      </c>
    </row>
    <row r="17" spans="1:26" x14ac:dyDescent="0.25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25">
      <c r="A18" s="10"/>
      <c r="B18" s="25" t="s">
        <v>8</v>
      </c>
      <c r="C18" s="10"/>
      <c r="D18" s="4">
        <f>SUM(OSRRefD16x_0)</f>
        <v>43646.619999999995</v>
      </c>
      <c r="E18" s="4"/>
      <c r="F18" s="12">
        <f t="shared" ref="F18:F21" si="4">IF(D$12=0,0,D18/D$12)</f>
        <v>0.23669584966561746</v>
      </c>
      <c r="G18" s="4"/>
      <c r="H18" s="4">
        <f>SUM(OSRRefH16x_0)</f>
        <v>49660</v>
      </c>
      <c r="I18" s="4"/>
      <c r="J18" s="12">
        <f t="shared" ref="J18:J21" si="5">IF(H$12=0,0,H18/H$12)</f>
        <v>0.2399996133715451</v>
      </c>
      <c r="K18" s="4"/>
      <c r="L18" s="4">
        <f t="shared" ref="L18:L21" si="6">+D18-H18</f>
        <v>-6013.3800000000047</v>
      </c>
      <c r="M18" s="4"/>
      <c r="N18" s="12">
        <f t="shared" ref="N18:N21" si="7">IF(H18=0,0,L18/H18)</f>
        <v>-0.12109101892871536</v>
      </c>
      <c r="O18" s="10"/>
      <c r="P18" s="4">
        <f>SUM(OSRRefP16x_0)</f>
        <v>76291.920000000013</v>
      </c>
      <c r="Q18" s="4"/>
      <c r="R18" s="12">
        <f t="shared" ref="R18:R21" si="8">IF(P$12=0,0,P18/P$12)</f>
        <v>0.33016702941281867</v>
      </c>
      <c r="S18" s="4"/>
      <c r="T18" s="4">
        <f>SUM(OSRRefT16x_0)</f>
        <v>80127</v>
      </c>
      <c r="U18" s="4"/>
      <c r="V18" s="12">
        <f t="shared" ref="V18:V21" si="9">IF(T$12=0,0,T18/T$12)</f>
        <v>0.28846423852742009</v>
      </c>
      <c r="W18" s="4"/>
      <c r="X18" s="4">
        <f t="shared" ref="X18:X21" si="10">+P18-T18</f>
        <v>-3835.0799999999872</v>
      </c>
      <c r="Y18" s="4"/>
      <c r="Z18" s="12">
        <f t="shared" ref="Z18:Z21" si="11">IF(T18=0,0,X18/T18)</f>
        <v>-4.7862518252274354E-2</v>
      </c>
    </row>
    <row r="19" spans="1:26" s="24" customFormat="1" hidden="1" outlineLevel="1" x14ac:dyDescent="0.25">
      <c r="A19" s="51"/>
      <c r="B19" s="11" t="str">
        <f>CONCATENATE("          ", "5000", " - ", "PURCHASES @ COST")</f>
        <v xml:space="preserve">          5000 - PURCHASES @ COST</v>
      </c>
      <c r="C19" s="11"/>
      <c r="D19" s="2"/>
      <c r="E19" s="2"/>
      <c r="F19" s="22">
        <f t="shared" si="4"/>
        <v>0</v>
      </c>
      <c r="G19" s="2"/>
      <c r="H19" s="2">
        <v>49660</v>
      </c>
      <c r="I19" s="2"/>
      <c r="J19" s="22">
        <f t="shared" si="5"/>
        <v>0.2399996133715451</v>
      </c>
      <c r="K19" s="2"/>
      <c r="L19" s="2">
        <f t="shared" si="6"/>
        <v>-49660</v>
      </c>
      <c r="M19" s="2"/>
      <c r="N19" s="22">
        <f t="shared" si="7"/>
        <v>-1</v>
      </c>
      <c r="O19" s="11"/>
      <c r="P19" s="2"/>
      <c r="Q19" s="2"/>
      <c r="R19" s="22">
        <f t="shared" si="8"/>
        <v>0</v>
      </c>
      <c r="S19" s="2"/>
      <c r="T19" s="2">
        <v>80127</v>
      </c>
      <c r="U19" s="2"/>
      <c r="V19" s="22">
        <f t="shared" si="9"/>
        <v>0.28846423852742009</v>
      </c>
      <c r="W19" s="2"/>
      <c r="X19" s="2">
        <f t="shared" si="10"/>
        <v>-80127</v>
      </c>
      <c r="Y19" s="2"/>
      <c r="Z19" s="22">
        <f t="shared" si="11"/>
        <v>-1</v>
      </c>
    </row>
    <row r="20" spans="1:26" s="24" customFormat="1" hidden="1" outlineLevel="1" x14ac:dyDescent="0.25">
      <c r="A20" s="51"/>
      <c r="B20" s="11" t="str">
        <f>CONCATENATE("          ", "5053", " - ", "PURCHASES @ COST-FOOD")</f>
        <v xml:space="preserve">          5053 - PURCHASES @ COST-FOOD</v>
      </c>
      <c r="C20" s="11"/>
      <c r="D20" s="2">
        <v>40326.199999999997</v>
      </c>
      <c r="E20" s="2"/>
      <c r="F20" s="22">
        <f t="shared" si="4"/>
        <v>0.21868919455356733</v>
      </c>
      <c r="G20" s="2"/>
      <c r="H20" s="2"/>
      <c r="I20" s="2"/>
      <c r="J20" s="22">
        <f t="shared" si="5"/>
        <v>0</v>
      </c>
      <c r="K20" s="2"/>
      <c r="L20" s="2">
        <f t="shared" si="6"/>
        <v>40326.199999999997</v>
      </c>
      <c r="M20" s="2"/>
      <c r="N20" s="22">
        <f t="shared" si="7"/>
        <v>0</v>
      </c>
      <c r="O20" s="11"/>
      <c r="P20" s="2">
        <v>110730.5</v>
      </c>
      <c r="Q20" s="2"/>
      <c r="R20" s="22">
        <f t="shared" si="8"/>
        <v>0.4792061892058308</v>
      </c>
      <c r="S20" s="2"/>
      <c r="T20" s="2"/>
      <c r="U20" s="2"/>
      <c r="V20" s="22">
        <f t="shared" si="9"/>
        <v>0</v>
      </c>
      <c r="W20" s="2"/>
      <c r="X20" s="2">
        <f t="shared" si="10"/>
        <v>110730.5</v>
      </c>
      <c r="Y20" s="2"/>
      <c r="Z20" s="22">
        <f t="shared" si="11"/>
        <v>0</v>
      </c>
    </row>
    <row r="21" spans="1:26" s="24" customFormat="1" hidden="1" outlineLevel="1" x14ac:dyDescent="0.25">
      <c r="A21" s="51"/>
      <c r="B21" s="11" t="str">
        <f>CONCATENATE("          ", "5059", " - ", "PURCHASES @ COST-FOOD")</f>
        <v xml:space="preserve">          5059 - PURCHASES @ COST-FOOD</v>
      </c>
      <c r="C21" s="11"/>
      <c r="D21" s="2">
        <v>3320.42</v>
      </c>
      <c r="E21" s="2"/>
      <c r="F21" s="22">
        <f t="shared" si="4"/>
        <v>1.8006655112050133E-2</v>
      </c>
      <c r="G21" s="2"/>
      <c r="H21" s="2"/>
      <c r="I21" s="2"/>
      <c r="J21" s="22">
        <f t="shared" si="5"/>
        <v>0</v>
      </c>
      <c r="K21" s="2"/>
      <c r="L21" s="2">
        <f t="shared" si="6"/>
        <v>3320.42</v>
      </c>
      <c r="M21" s="2"/>
      <c r="N21" s="22">
        <f t="shared" si="7"/>
        <v>0</v>
      </c>
      <c r="O21" s="11"/>
      <c r="P21" s="2">
        <v>-34438.579999999994</v>
      </c>
      <c r="Q21" s="2"/>
      <c r="R21" s="22">
        <f t="shared" si="8"/>
        <v>-0.14903915979301222</v>
      </c>
      <c r="S21" s="2"/>
      <c r="T21" s="2"/>
      <c r="U21" s="2"/>
      <c r="V21" s="22">
        <f t="shared" si="9"/>
        <v>0</v>
      </c>
      <c r="W21" s="2"/>
      <c r="X21" s="2">
        <f t="shared" si="10"/>
        <v>-34438.579999999994</v>
      </c>
      <c r="Y21" s="2"/>
      <c r="Z21" s="22">
        <f t="shared" si="11"/>
        <v>0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0">
        <f>D12-D18</f>
        <v>140752.98000000001</v>
      </c>
      <c r="E23" s="13"/>
      <c r="F23" s="21">
        <f>IF(D$12=0,0,D23/D$12)</f>
        <v>0.76330415033438259</v>
      </c>
      <c r="G23" s="13"/>
      <c r="H23" s="20">
        <f>H12-H18</f>
        <v>157257</v>
      </c>
      <c r="I23" s="13"/>
      <c r="J23" s="21">
        <f>IF(H$12=0,0,H23/H$12)</f>
        <v>0.76000038662845493</v>
      </c>
      <c r="K23" s="16"/>
      <c r="L23" s="20">
        <f>+D23-H23</f>
        <v>-16504.01999999999</v>
      </c>
      <c r="M23" s="16"/>
      <c r="N23" s="21">
        <f>IF(H23=0,0,L23/H23)</f>
        <v>-0.10494935042637205</v>
      </c>
      <c r="O23" s="25"/>
      <c r="P23" s="20">
        <f>P12-P18</f>
        <v>154778.76</v>
      </c>
      <c r="Q23" s="13"/>
      <c r="R23" s="21">
        <f>IF(P$12=0,0,P23/P$12)</f>
        <v>0.66983297058718139</v>
      </c>
      <c r="S23" s="13"/>
      <c r="T23" s="20">
        <f>T12-T18</f>
        <v>197644</v>
      </c>
      <c r="U23" s="13"/>
      <c r="V23" s="21">
        <f>IF(T$12=0,0,T23/T$12)</f>
        <v>0.71153576147257991</v>
      </c>
      <c r="W23" s="16"/>
      <c r="X23" s="20">
        <f>+P23-T23</f>
        <v>-42865.239999999991</v>
      </c>
      <c r="Y23" s="16"/>
      <c r="Z23" s="21">
        <f>IF(T23=0,0,X23/T23)</f>
        <v>-0.21688105887353012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6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19">
        <f>SUM(OSRRefD22x_0)</f>
        <v>134039.1</v>
      </c>
      <c r="E25" s="19"/>
      <c r="F25" s="35">
        <f t="shared" ref="F25:F36" si="12">IF(D$12=0,0,D25/D$12)</f>
        <v>0.72689474380638575</v>
      </c>
      <c r="G25" s="19"/>
      <c r="H25" s="19">
        <f>SUM(OSRRefH22x_0)</f>
        <v>127894.62882776929</v>
      </c>
      <c r="I25" s="19"/>
      <c r="J25" s="35">
        <f t="shared" ref="J25:J36" si="13">IF(H$12=0,0,H25/H$12)</f>
        <v>0.618096284151468</v>
      </c>
      <c r="K25" s="4"/>
      <c r="L25" s="19">
        <f t="shared" ref="L25:L36" si="14">+D25-H25</f>
        <v>6144.4711722307111</v>
      </c>
      <c r="M25" s="4"/>
      <c r="N25" s="35">
        <f t="shared" ref="N25:N36" si="15">IF(H25=0,0,L25/H25)</f>
        <v>4.8043230810773378E-2</v>
      </c>
      <c r="O25" s="10"/>
      <c r="P25" s="19">
        <f>SUM(OSRRefP22x_0)</f>
        <v>293484.42999999988</v>
      </c>
      <c r="Q25" s="19"/>
      <c r="R25" s="35">
        <f t="shared" ref="R25:R36" si="16">IF(P$12=0,0,P25/P$12)</f>
        <v>1.2701067482901762</v>
      </c>
      <c r="S25" s="19"/>
      <c r="T25" s="19">
        <f>SUM(OSRRefT22x_0)</f>
        <v>337041.74913250009</v>
      </c>
      <c r="U25" s="19"/>
      <c r="V25" s="35">
        <f t="shared" ref="V25:V36" si="17">IF(T$12=0,0,T25/T$12)</f>
        <v>1.2133799033466419</v>
      </c>
      <c r="W25" s="4"/>
      <c r="X25" s="19">
        <f t="shared" ref="X25:X36" si="18">+P25-T25</f>
        <v>-43557.319132500212</v>
      </c>
      <c r="Y25" s="4"/>
      <c r="Z25" s="35">
        <f t="shared" ref="Z25:Z36" si="19">IF(T25=0,0,X25/T25)</f>
        <v>-0.12923419500584382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29955.019999999997</v>
      </c>
      <c r="E26" s="1"/>
      <c r="F26" s="5">
        <f t="shared" si="12"/>
        <v>0.16244623090288696</v>
      </c>
      <c r="G26" s="1"/>
      <c r="H26" s="1">
        <f>SUM(OSRRefH22_0x_0)</f>
        <v>35269.847546230791</v>
      </c>
      <c r="I26" s="1"/>
      <c r="J26" s="5">
        <f t="shared" si="13"/>
        <v>0.17045408326155315</v>
      </c>
      <c r="K26" s="1"/>
      <c r="L26" s="1">
        <f t="shared" si="14"/>
        <v>-5314.8275462307938</v>
      </c>
      <c r="M26" s="1"/>
      <c r="N26" s="5">
        <f t="shared" si="15"/>
        <v>-0.15069040316276552</v>
      </c>
      <c r="O26" s="14"/>
      <c r="P26" s="1">
        <f>SUM(OSRRefP22_0x_0)</f>
        <v>85758.930000000008</v>
      </c>
      <c r="Q26" s="1"/>
      <c r="R26" s="5">
        <f t="shared" si="16"/>
        <v>0.37113722087112044</v>
      </c>
      <c r="S26" s="1"/>
      <c r="T26" s="1">
        <f>SUM(OSRRefT22_0x_0)</f>
        <v>110577.82515249999</v>
      </c>
      <c r="U26" s="1"/>
      <c r="V26" s="5">
        <f t="shared" si="17"/>
        <v>0.39808988394216815</v>
      </c>
      <c r="W26" s="1"/>
      <c r="X26" s="1">
        <f t="shared" si="18"/>
        <v>-24818.895152499987</v>
      </c>
      <c r="Y26" s="1"/>
      <c r="Z26" s="5">
        <f t="shared" si="19"/>
        <v>-0.22444730775154759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6">
        <v>3793.18</v>
      </c>
      <c r="E27" s="2"/>
      <c r="F27" s="7">
        <f t="shared" si="12"/>
        <v>2.0570435076865675E-2</v>
      </c>
      <c r="G27" s="2"/>
      <c r="H27" s="6">
        <v>3171.7882047692301</v>
      </c>
      <c r="I27" s="2"/>
      <c r="J27" s="7">
        <f t="shared" si="13"/>
        <v>1.5328794660512332E-2</v>
      </c>
      <c r="K27" s="2"/>
      <c r="L27" s="6">
        <f t="shared" si="14"/>
        <v>621.39179523076973</v>
      </c>
      <c r="M27" s="2"/>
      <c r="N27" s="7">
        <f t="shared" si="15"/>
        <v>0.19591213382293929</v>
      </c>
      <c r="O27" s="11"/>
      <c r="P27" s="6">
        <v>9033.4500000000007</v>
      </c>
      <c r="Q27" s="2"/>
      <c r="R27" s="7">
        <f t="shared" si="16"/>
        <v>3.9093882443242044E-2</v>
      </c>
      <c r="S27" s="2"/>
      <c r="T27" s="6">
        <v>11038.331335500001</v>
      </c>
      <c r="U27" s="2"/>
      <c r="V27" s="7">
        <f t="shared" si="17"/>
        <v>3.9738962438483502E-2</v>
      </c>
      <c r="W27" s="2"/>
      <c r="X27" s="6">
        <f t="shared" si="18"/>
        <v>-2004.8813355000002</v>
      </c>
      <c r="Y27" s="2"/>
      <c r="Z27" s="7">
        <f t="shared" si="19"/>
        <v>-0.18162902295314962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6">
        <v>2815.82</v>
      </c>
      <c r="E28" s="2"/>
      <c r="F28" s="7">
        <f t="shared" si="12"/>
        <v>1.5270206659884294E-2</v>
      </c>
      <c r="G28" s="2"/>
      <c r="H28" s="6">
        <v>2677.5149873999999</v>
      </c>
      <c r="I28" s="2"/>
      <c r="J28" s="7">
        <f t="shared" si="13"/>
        <v>1.2940043531464307E-2</v>
      </c>
      <c r="K28" s="2"/>
      <c r="L28" s="6">
        <f t="shared" si="14"/>
        <v>138.30501260000028</v>
      </c>
      <c r="M28" s="2"/>
      <c r="N28" s="7">
        <f t="shared" si="15"/>
        <v>5.1654244047500672E-2</v>
      </c>
      <c r="O28" s="11"/>
      <c r="P28" s="6">
        <v>5806.22</v>
      </c>
      <c r="Q28" s="2"/>
      <c r="R28" s="7">
        <f t="shared" si="16"/>
        <v>2.5127463164084686E-2</v>
      </c>
      <c r="S28" s="2"/>
      <c r="T28" s="6">
        <v>7300.3159085999996</v>
      </c>
      <c r="U28" s="2"/>
      <c r="V28" s="7">
        <f t="shared" si="17"/>
        <v>2.6281778546356528E-2</v>
      </c>
      <c r="W28" s="2"/>
      <c r="X28" s="6">
        <f t="shared" si="18"/>
        <v>-1494.0959085999993</v>
      </c>
      <c r="Y28" s="2"/>
      <c r="Z28" s="7">
        <f t="shared" si="19"/>
        <v>-0.20466181564004754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6">
        <v>16509.649999999998</v>
      </c>
      <c r="E29" s="2"/>
      <c r="F29" s="7">
        <f t="shared" si="12"/>
        <v>8.9531918724335607E-2</v>
      </c>
      <c r="G29" s="2"/>
      <c r="H29" s="6">
        <v>19569.615384615401</v>
      </c>
      <c r="I29" s="2"/>
      <c r="J29" s="7">
        <f t="shared" si="13"/>
        <v>9.4577126986257296E-2</v>
      </c>
      <c r="K29" s="2"/>
      <c r="L29" s="6">
        <f t="shared" si="14"/>
        <v>-3059.9653846154033</v>
      </c>
      <c r="M29" s="2"/>
      <c r="N29" s="7">
        <f t="shared" si="15"/>
        <v>-0.15636308248658717</v>
      </c>
      <c r="O29" s="11"/>
      <c r="P29" s="6">
        <v>49528.950000000004</v>
      </c>
      <c r="Q29" s="2"/>
      <c r="R29" s="7">
        <f t="shared" si="16"/>
        <v>0.21434545481927866</v>
      </c>
      <c r="S29" s="2"/>
      <c r="T29" s="6">
        <v>61770</v>
      </c>
      <c r="U29" s="2"/>
      <c r="V29" s="7">
        <f t="shared" si="17"/>
        <v>0.22237742600919463</v>
      </c>
      <c r="W29" s="2"/>
      <c r="X29" s="6">
        <f t="shared" si="18"/>
        <v>-12241.049999999996</v>
      </c>
      <c r="Y29" s="2"/>
      <c r="Z29" s="7">
        <f t="shared" si="19"/>
        <v>-0.19817144244779011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170.64</v>
      </c>
      <c r="E30" s="2"/>
      <c r="F30" s="7">
        <f t="shared" si="12"/>
        <v>9.2538161687986302E-4</v>
      </c>
      <c r="G30" s="2"/>
      <c r="H30" s="6">
        <v>162.27363560000001</v>
      </c>
      <c r="I30" s="2"/>
      <c r="J30" s="7">
        <f t="shared" si="13"/>
        <v>7.8424506251298831E-4</v>
      </c>
      <c r="K30" s="2"/>
      <c r="L30" s="6">
        <f t="shared" si="14"/>
        <v>8.3663643999999806</v>
      </c>
      <c r="M30" s="2"/>
      <c r="N30" s="7">
        <f t="shared" si="15"/>
        <v>5.1557139082178675E-2</v>
      </c>
      <c r="O30" s="11"/>
      <c r="P30" s="6">
        <v>424.03</v>
      </c>
      <c r="Q30" s="2"/>
      <c r="R30" s="7">
        <f t="shared" si="16"/>
        <v>1.8350662230275166E-3</v>
      </c>
      <c r="S30" s="2"/>
      <c r="T30" s="6">
        <v>442.4433884</v>
      </c>
      <c r="U30" s="2"/>
      <c r="V30" s="7">
        <f t="shared" si="17"/>
        <v>1.5928350634155472E-3</v>
      </c>
      <c r="W30" s="2"/>
      <c r="X30" s="6">
        <f t="shared" si="18"/>
        <v>-18.413388400000031</v>
      </c>
      <c r="Y30" s="2"/>
      <c r="Z30" s="7">
        <f t="shared" si="19"/>
        <v>-4.1617501544294812E-2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6">
        <v>1457.5</v>
      </c>
      <c r="E31" s="2"/>
      <c r="F31" s="7">
        <f t="shared" si="12"/>
        <v>7.9040301605860317E-3</v>
      </c>
      <c r="G31" s="2"/>
      <c r="H31" s="6">
        <v>1778.4998461538501</v>
      </c>
      <c r="I31" s="2"/>
      <c r="J31" s="7">
        <f t="shared" si="13"/>
        <v>8.5952330942061315E-3</v>
      </c>
      <c r="K31" s="2"/>
      <c r="L31" s="6">
        <f t="shared" si="14"/>
        <v>-320.99984615385006</v>
      </c>
      <c r="M31" s="2"/>
      <c r="N31" s="7">
        <f t="shared" si="15"/>
        <v>-0.18048910538172844</v>
      </c>
      <c r="O31" s="11"/>
      <c r="P31" s="6">
        <v>5101.25</v>
      </c>
      <c r="Q31" s="2"/>
      <c r="R31" s="7">
        <f t="shared" si="16"/>
        <v>2.2076578473737989E-2</v>
      </c>
      <c r="S31" s="2"/>
      <c r="T31" s="6">
        <v>5780.1245000000099</v>
      </c>
      <c r="U31" s="2"/>
      <c r="V31" s="7">
        <f t="shared" si="17"/>
        <v>2.0808955938524935E-2</v>
      </c>
      <c r="W31" s="2"/>
      <c r="X31" s="6">
        <f t="shared" si="18"/>
        <v>-678.8745000000099</v>
      </c>
      <c r="Y31" s="2"/>
      <c r="Z31" s="7">
        <f t="shared" si="19"/>
        <v>-0.11744980579570713</v>
      </c>
    </row>
    <row r="32" spans="1:26" s="24" customFormat="1" hidden="1" outlineLevel="2" x14ac:dyDescent="0.25">
      <c r="A32" s="29"/>
      <c r="B32" s="11" t="str">
        <f>CONCATENATE("          ", "6116", " - ", "EDUCATIONAL BENEFITS")</f>
        <v xml:space="preserve">          6116 - EDUCATIONAL BENEFITS</v>
      </c>
      <c r="C32" s="11"/>
      <c r="D32" s="6"/>
      <c r="E32" s="2"/>
      <c r="F32" s="7">
        <f t="shared" si="12"/>
        <v>0</v>
      </c>
      <c r="G32" s="2"/>
      <c r="H32" s="6">
        <v>0</v>
      </c>
      <c r="I32" s="2"/>
      <c r="J32" s="7">
        <f t="shared" si="13"/>
        <v>0</v>
      </c>
      <c r="K32" s="2"/>
      <c r="L32" s="6">
        <f t="shared" si="14"/>
        <v>0</v>
      </c>
      <c r="M32" s="2"/>
      <c r="N32" s="7">
        <f t="shared" si="15"/>
        <v>0</v>
      </c>
      <c r="O32" s="11"/>
      <c r="P32" s="6"/>
      <c r="Q32" s="2"/>
      <c r="R32" s="7">
        <f t="shared" si="16"/>
        <v>0</v>
      </c>
      <c r="S32" s="2"/>
      <c r="T32" s="6">
        <v>0</v>
      </c>
      <c r="U32" s="2"/>
      <c r="V32" s="7">
        <f t="shared" si="17"/>
        <v>0</v>
      </c>
      <c r="W32" s="2"/>
      <c r="X32" s="6">
        <f t="shared" si="18"/>
        <v>0</v>
      </c>
      <c r="Y32" s="2"/>
      <c r="Z32" s="7">
        <f t="shared" si="19"/>
        <v>0</v>
      </c>
    </row>
    <row r="33" spans="1:26" s="24" customFormat="1" hidden="1" outlineLevel="2" x14ac:dyDescent="0.25">
      <c r="A33" s="29"/>
      <c r="B33" s="11" t="str">
        <f>CONCATENATE("          ", "6117", " - ", "RETIREMENT STAFF HOURLY")</f>
        <v xml:space="preserve">          6117 - RETIREMENT STAFF HOURLY</v>
      </c>
      <c r="C33" s="11"/>
      <c r="D33" s="6">
        <v>582.11</v>
      </c>
      <c r="E33" s="2"/>
      <c r="F33" s="7">
        <f t="shared" si="12"/>
        <v>3.1567855895565933E-3</v>
      </c>
      <c r="G33" s="2"/>
      <c r="H33" s="6"/>
      <c r="I33" s="2"/>
      <c r="J33" s="7">
        <f t="shared" si="13"/>
        <v>0</v>
      </c>
      <c r="K33" s="2"/>
      <c r="L33" s="6">
        <f t="shared" si="14"/>
        <v>582.11</v>
      </c>
      <c r="M33" s="2"/>
      <c r="N33" s="7">
        <f t="shared" si="15"/>
        <v>0</v>
      </c>
      <c r="O33" s="11"/>
      <c r="P33" s="6">
        <v>1838.03</v>
      </c>
      <c r="Q33" s="2"/>
      <c r="R33" s="7">
        <f t="shared" si="16"/>
        <v>7.9544059852162969E-3</v>
      </c>
      <c r="S33" s="2"/>
      <c r="T33" s="6"/>
      <c r="U33" s="2"/>
      <c r="V33" s="7">
        <f t="shared" si="17"/>
        <v>0</v>
      </c>
      <c r="W33" s="2"/>
      <c r="X33" s="6">
        <f t="shared" si="18"/>
        <v>1838.03</v>
      </c>
      <c r="Y33" s="2"/>
      <c r="Z33" s="7">
        <f t="shared" si="19"/>
        <v>0</v>
      </c>
    </row>
    <row r="34" spans="1:26" s="24" customFormat="1" hidden="1" outlineLevel="2" x14ac:dyDescent="0.25">
      <c r="A34" s="29"/>
      <c r="B34" s="11" t="str">
        <f>CONCATENATE("          ", "6118", " - ", "VACATION")</f>
        <v xml:space="preserve">          6118 - VACATION</v>
      </c>
      <c r="C34" s="11"/>
      <c r="D34" s="6">
        <v>2445.52</v>
      </c>
      <c r="E34" s="2"/>
      <c r="F34" s="7">
        <f t="shared" si="12"/>
        <v>1.3262067813596125E-2</v>
      </c>
      <c r="G34" s="2"/>
      <c r="H34" s="6">
        <v>3283.8667692307704</v>
      </c>
      <c r="I34" s="2"/>
      <c r="J34" s="7">
        <f t="shared" si="13"/>
        <v>1.5870454188059803E-2</v>
      </c>
      <c r="K34" s="2"/>
      <c r="L34" s="6">
        <f t="shared" si="14"/>
        <v>-838.34676923077041</v>
      </c>
      <c r="M34" s="2"/>
      <c r="N34" s="7">
        <f t="shared" si="15"/>
        <v>-0.25529256457232857</v>
      </c>
      <c r="O34" s="11"/>
      <c r="P34" s="6">
        <v>7194</v>
      </c>
      <c r="Q34" s="2"/>
      <c r="R34" s="7">
        <f t="shared" si="16"/>
        <v>3.1133331152182524E-2</v>
      </c>
      <c r="S34" s="2"/>
      <c r="T34" s="6">
        <v>10672.567000000001</v>
      </c>
      <c r="U34" s="2"/>
      <c r="V34" s="7">
        <f t="shared" si="17"/>
        <v>3.8422178701160312E-2</v>
      </c>
      <c r="W34" s="2"/>
      <c r="X34" s="6">
        <f t="shared" si="18"/>
        <v>-3478.5670000000009</v>
      </c>
      <c r="Y34" s="2"/>
      <c r="Z34" s="7">
        <f t="shared" si="19"/>
        <v>-0.32593536306682364</v>
      </c>
    </row>
    <row r="35" spans="1:26" s="24" customFormat="1" hidden="1" outlineLevel="2" x14ac:dyDescent="0.25">
      <c r="A35" s="29"/>
      <c r="B35" s="11" t="str">
        <f>CONCATENATE("          ", "6119", " - ", "SICK LEAVE")</f>
        <v xml:space="preserve">          6119 - SICK LEAVE</v>
      </c>
      <c r="C35" s="11"/>
      <c r="D35" s="6">
        <v>1504</v>
      </c>
      <c r="E35" s="2"/>
      <c r="F35" s="7">
        <f t="shared" si="12"/>
        <v>8.1561999049889478E-3</v>
      </c>
      <c r="G35" s="2"/>
      <c r="H35" s="6">
        <v>2701.2887184615402</v>
      </c>
      <c r="I35" s="2"/>
      <c r="J35" s="7">
        <f t="shared" si="13"/>
        <v>1.3054938542804796E-2</v>
      </c>
      <c r="K35" s="2"/>
      <c r="L35" s="6">
        <f t="shared" si="14"/>
        <v>-1197.2887184615402</v>
      </c>
      <c r="M35" s="2"/>
      <c r="N35" s="7">
        <f t="shared" si="15"/>
        <v>-0.44322871164376304</v>
      </c>
      <c r="O35" s="11"/>
      <c r="P35" s="6">
        <v>4512</v>
      </c>
      <c r="Q35" s="2"/>
      <c r="R35" s="7">
        <f t="shared" si="16"/>
        <v>1.9526492932811723E-2</v>
      </c>
      <c r="S35" s="2"/>
      <c r="T35" s="6">
        <v>7799.0430200000001</v>
      </c>
      <c r="U35" s="2"/>
      <c r="V35" s="7">
        <f t="shared" si="17"/>
        <v>2.8077239956654943E-2</v>
      </c>
      <c r="W35" s="2"/>
      <c r="X35" s="6">
        <f t="shared" si="18"/>
        <v>-3287.0430200000001</v>
      </c>
      <c r="Y35" s="2"/>
      <c r="Z35" s="7">
        <f t="shared" si="19"/>
        <v>-0.42146748153211239</v>
      </c>
    </row>
    <row r="36" spans="1:26" s="24" customFormat="1" hidden="1" outlineLevel="2" x14ac:dyDescent="0.25">
      <c r="A36" s="29"/>
      <c r="B36" s="11" t="str">
        <f>CONCATENATE("          ", "6156", " - ", "EMPLOYEE MEALS")</f>
        <v xml:space="preserve">          6156 - EMPLOYEE MEALS</v>
      </c>
      <c r="C36" s="11"/>
      <c r="D36" s="6">
        <v>676.6</v>
      </c>
      <c r="E36" s="2"/>
      <c r="F36" s="7">
        <f t="shared" si="12"/>
        <v>3.6692053561938314E-3</v>
      </c>
      <c r="G36" s="2"/>
      <c r="H36" s="6">
        <v>1925</v>
      </c>
      <c r="I36" s="2"/>
      <c r="J36" s="7">
        <f t="shared" si="13"/>
        <v>9.3032471957354874E-3</v>
      </c>
      <c r="K36" s="2"/>
      <c r="L36" s="6">
        <f t="shared" si="14"/>
        <v>-1248.4000000000001</v>
      </c>
      <c r="M36" s="2"/>
      <c r="N36" s="7">
        <f t="shared" si="15"/>
        <v>-0.64851948051948061</v>
      </c>
      <c r="O36" s="11"/>
      <c r="P36" s="6">
        <v>2321</v>
      </c>
      <c r="Q36" s="2"/>
      <c r="R36" s="7">
        <f t="shared" si="16"/>
        <v>1.0044545677539009E-2</v>
      </c>
      <c r="S36" s="2"/>
      <c r="T36" s="6">
        <v>5775</v>
      </c>
      <c r="U36" s="2"/>
      <c r="V36" s="7">
        <f t="shared" si="17"/>
        <v>2.0790507288377835E-2</v>
      </c>
      <c r="W36" s="2"/>
      <c r="X36" s="6">
        <f t="shared" si="18"/>
        <v>-3454</v>
      </c>
      <c r="Y36" s="2"/>
      <c r="Z36" s="7">
        <f t="shared" si="19"/>
        <v>-0.59809523809523812</v>
      </c>
    </row>
    <row r="37" spans="1:26" s="28" customFormat="1" outlineLevel="1" collapsed="1" x14ac:dyDescent="0.25">
      <c r="A37" s="27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65737.73</v>
      </c>
      <c r="E37" s="1"/>
      <c r="F37" s="5">
        <f t="shared" ref="F37:F47" si="20">IF(D$12=0,0,D37/D$12)</f>
        <v>0.35649605530597678</v>
      </c>
      <c r="G37" s="1"/>
      <c r="H37" s="1">
        <f>SUM(OSRRefH22_1x_0)</f>
        <v>56427.781281538497</v>
      </c>
      <c r="I37" s="1"/>
      <c r="J37" s="5">
        <f t="shared" ref="J37:J47" si="21">IF(H$12=0,0,H37/H$12)</f>
        <v>0.27270732362028494</v>
      </c>
      <c r="K37" s="1"/>
      <c r="L37" s="1">
        <f t="shared" ref="L37:L47" si="22">+D37-H37</f>
        <v>9309.9487184614991</v>
      </c>
      <c r="M37" s="1"/>
      <c r="N37" s="5">
        <f t="shared" ref="N37:N47" si="23">IF(H37=0,0,L37/H37)</f>
        <v>0.16498874325770166</v>
      </c>
      <c r="O37" s="14"/>
      <c r="P37" s="1">
        <f>SUM(OSRRefP22_1x_0)</f>
        <v>141427.77000000002</v>
      </c>
      <c r="Q37" s="1"/>
      <c r="R37" s="5">
        <f t="shared" ref="R37:R47" si="24">IF(P$12=0,0,P37/P$12)</f>
        <v>0.61205415589723455</v>
      </c>
      <c r="S37" s="1"/>
      <c r="T37" s="1">
        <f>SUM(OSRRefT22_1x_0)</f>
        <v>151698.92398000011</v>
      </c>
      <c r="U37" s="1"/>
      <c r="V37" s="5">
        <f t="shared" ref="V37:V47" si="25">IF(T$12=0,0,T37/T$12)</f>
        <v>0.54612945188662643</v>
      </c>
      <c r="W37" s="1"/>
      <c r="X37" s="1">
        <f t="shared" ref="X37:X47" si="26">+P37-T37</f>
        <v>-10271.15398000009</v>
      </c>
      <c r="Y37" s="1"/>
      <c r="Z37" s="5">
        <f t="shared" ref="Z37:Z47" si="27">IF(T37=0,0,X37/T37)</f>
        <v>-6.7707493965838764E-2</v>
      </c>
    </row>
    <row r="38" spans="1:26" s="24" customFormat="1" hidden="1" outlineLevel="2" x14ac:dyDescent="0.25">
      <c r="A38" s="29"/>
      <c r="B38" s="11" t="str">
        <f>CONCATENATE("          ", "6001", " - ", "ADMINISTRATIVE SALARIES")</f>
        <v xml:space="preserve">          6001 - ADMINISTRATIVE SALARIES</v>
      </c>
      <c r="C38" s="11"/>
      <c r="D38" s="6"/>
      <c r="E38" s="2"/>
      <c r="F38" s="7">
        <f t="shared" si="20"/>
        <v>0</v>
      </c>
      <c r="G38" s="2"/>
      <c r="H38" s="6">
        <v>0</v>
      </c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/>
      <c r="Q38" s="2"/>
      <c r="R38" s="7">
        <f t="shared" si="24"/>
        <v>0</v>
      </c>
      <c r="S38" s="2"/>
      <c r="T38" s="6">
        <v>0</v>
      </c>
      <c r="U38" s="2"/>
      <c r="V38" s="7">
        <f t="shared" si="25"/>
        <v>0</v>
      </c>
      <c r="W38" s="2"/>
      <c r="X38" s="6">
        <f t="shared" si="26"/>
        <v>0</v>
      </c>
      <c r="Y38" s="2"/>
      <c r="Z38" s="7">
        <f t="shared" si="27"/>
        <v>0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6">
        <v>14008.24</v>
      </c>
      <c r="E39" s="2"/>
      <c r="F39" s="7">
        <f t="shared" si="20"/>
        <v>7.5966759146982962E-2</v>
      </c>
      <c r="G39" s="2"/>
      <c r="H39" s="6">
        <v>17815.8884615385</v>
      </c>
      <c r="I39" s="2"/>
      <c r="J39" s="7">
        <f t="shared" si="21"/>
        <v>8.6101617854204823E-2</v>
      </c>
      <c r="K39" s="2"/>
      <c r="L39" s="6">
        <f t="shared" si="22"/>
        <v>-3807.6484615384998</v>
      </c>
      <c r="M39" s="2"/>
      <c r="N39" s="7">
        <f t="shared" si="23"/>
        <v>-0.21372206442348193</v>
      </c>
      <c r="O39" s="11"/>
      <c r="P39" s="6">
        <v>47794.080000000002</v>
      </c>
      <c r="Q39" s="2"/>
      <c r="R39" s="7">
        <f t="shared" si="24"/>
        <v>0.20683749232053153</v>
      </c>
      <c r="S39" s="2"/>
      <c r="T39" s="6">
        <v>57901.637500000099</v>
      </c>
      <c r="U39" s="2"/>
      <c r="V39" s="7">
        <f t="shared" si="25"/>
        <v>0.20845098120394173</v>
      </c>
      <c r="W39" s="2"/>
      <c r="X39" s="6">
        <f t="shared" si="26"/>
        <v>-10107.557500000097</v>
      </c>
      <c r="Y39" s="2"/>
      <c r="Z39" s="7">
        <f t="shared" si="27"/>
        <v>-0.17456427721927692</v>
      </c>
    </row>
    <row r="40" spans="1:26" s="24" customFormat="1" hidden="1" outlineLevel="2" x14ac:dyDescent="0.25">
      <c r="A40" s="29"/>
      <c r="B40" s="11" t="str">
        <f>CONCATENATE("          ", "6003", " - ", "STAFF HOURLY-9 MONTH")</f>
        <v xml:space="preserve">          6003 - STAFF HOURLY-9 MONTH</v>
      </c>
      <c r="C40" s="11"/>
      <c r="D40" s="6"/>
      <c r="E40" s="2"/>
      <c r="F40" s="7">
        <f t="shared" si="20"/>
        <v>0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0</v>
      </c>
      <c r="M40" s="2"/>
      <c r="N40" s="7">
        <f t="shared" si="23"/>
        <v>0</v>
      </c>
      <c r="O40" s="11"/>
      <c r="P40" s="6"/>
      <c r="Q40" s="2"/>
      <c r="R40" s="7">
        <f t="shared" si="24"/>
        <v>0</v>
      </c>
      <c r="S40" s="2"/>
      <c r="T40" s="6">
        <v>0</v>
      </c>
      <c r="U40" s="2"/>
      <c r="V40" s="7">
        <f t="shared" si="25"/>
        <v>0</v>
      </c>
      <c r="W40" s="2"/>
      <c r="X40" s="6">
        <f t="shared" si="26"/>
        <v>0</v>
      </c>
      <c r="Y40" s="2"/>
      <c r="Z40" s="7">
        <f t="shared" si="27"/>
        <v>0</v>
      </c>
    </row>
    <row r="41" spans="1:26" s="24" customFormat="1" hidden="1" outlineLevel="2" x14ac:dyDescent="0.25">
      <c r="A41" s="29"/>
      <c r="B41" s="11" t="str">
        <f>CONCATENATE("          ", "6004", " - ", "STAFF HOURLY")</f>
        <v xml:space="preserve">          6004 - STAFF HOURLY</v>
      </c>
      <c r="C41" s="11"/>
      <c r="D41" s="6">
        <v>18181.080000000002</v>
      </c>
      <c r="E41" s="2"/>
      <c r="F41" s="7">
        <f t="shared" si="20"/>
        <v>9.8596092399332758E-2</v>
      </c>
      <c r="G41" s="2"/>
      <c r="H41" s="6">
        <v>18273.024000000001</v>
      </c>
      <c r="I41" s="2"/>
      <c r="J41" s="7">
        <f t="shared" si="21"/>
        <v>8.8310887940575206E-2</v>
      </c>
      <c r="K41" s="2"/>
      <c r="L41" s="6">
        <f t="shared" si="22"/>
        <v>-91.943999999999505</v>
      </c>
      <c r="M41" s="2"/>
      <c r="N41" s="7">
        <f t="shared" si="23"/>
        <v>-5.0316794855629534E-3</v>
      </c>
      <c r="O41" s="11"/>
      <c r="P41" s="6">
        <v>44599.18</v>
      </c>
      <c r="Q41" s="2"/>
      <c r="R41" s="7">
        <f t="shared" si="24"/>
        <v>0.19301098694131161</v>
      </c>
      <c r="S41" s="2"/>
      <c r="T41" s="6">
        <v>59387.328000000001</v>
      </c>
      <c r="U41" s="2"/>
      <c r="V41" s="7">
        <f t="shared" si="25"/>
        <v>0.21379959751017924</v>
      </c>
      <c r="W41" s="2"/>
      <c r="X41" s="6">
        <f t="shared" si="26"/>
        <v>-14788.148000000001</v>
      </c>
      <c r="Y41" s="2"/>
      <c r="Z41" s="7">
        <f t="shared" si="27"/>
        <v>-0.24901184306524113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6">
        <v>13566.64</v>
      </c>
      <c r="E42" s="2"/>
      <c r="F42" s="7">
        <f t="shared" si="20"/>
        <v>7.3571960025943656E-2</v>
      </c>
      <c r="G42" s="2"/>
      <c r="H42" s="6">
        <v>6584.2688199999993</v>
      </c>
      <c r="I42" s="2"/>
      <c r="J42" s="7">
        <f t="shared" si="21"/>
        <v>3.1820821005523948E-2</v>
      </c>
      <c r="K42" s="2"/>
      <c r="L42" s="6">
        <f t="shared" si="22"/>
        <v>6982.3711800000001</v>
      </c>
      <c r="M42" s="2"/>
      <c r="N42" s="7">
        <f t="shared" si="23"/>
        <v>1.0604626528599117</v>
      </c>
      <c r="O42" s="11"/>
      <c r="P42" s="6">
        <v>14519.74</v>
      </c>
      <c r="Q42" s="2"/>
      <c r="R42" s="7">
        <f t="shared" si="24"/>
        <v>6.2836790890129363E-2</v>
      </c>
      <c r="S42" s="2"/>
      <c r="T42" s="6">
        <v>11402.528480000001</v>
      </c>
      <c r="U42" s="2"/>
      <c r="V42" s="7">
        <f t="shared" si="25"/>
        <v>4.1050104150541278E-2</v>
      </c>
      <c r="W42" s="2"/>
      <c r="X42" s="6">
        <f t="shared" si="26"/>
        <v>3117.2115199999989</v>
      </c>
      <c r="Y42" s="2"/>
      <c r="Z42" s="7">
        <f t="shared" si="27"/>
        <v>0.27337897252066312</v>
      </c>
    </row>
    <row r="43" spans="1:26" s="24" customFormat="1" hidden="1" outlineLevel="2" x14ac:dyDescent="0.25">
      <c r="A43" s="29"/>
      <c r="B43" s="11" t="str">
        <f>CONCATENATE("          ", "6006", " - ", "TEMPORARY PART TIME")</f>
        <v xml:space="preserve">          6006 - TEMPORARY PART TIME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4" customFormat="1" hidden="1" outlineLevel="2" x14ac:dyDescent="0.25">
      <c r="A44" s="29"/>
      <c r="B44" s="11" t="str">
        <f>CONCATENATE("          ", "6007", " - ", "STUDENT HOURLY")</f>
        <v xml:space="preserve">          6007 - STUDENT HOURLY</v>
      </c>
      <c r="C44" s="11"/>
      <c r="D44" s="6">
        <v>16895.439999999999</v>
      </c>
      <c r="E44" s="2"/>
      <c r="F44" s="7">
        <f t="shared" si="20"/>
        <v>9.162405992203887E-2</v>
      </c>
      <c r="G44" s="2"/>
      <c r="H44" s="6">
        <v>0</v>
      </c>
      <c r="I44" s="2"/>
      <c r="J44" s="7">
        <f t="shared" si="21"/>
        <v>0</v>
      </c>
      <c r="K44" s="2"/>
      <c r="L44" s="6">
        <f t="shared" si="22"/>
        <v>16895.439999999999</v>
      </c>
      <c r="M44" s="2"/>
      <c r="N44" s="7">
        <f t="shared" si="23"/>
        <v>0</v>
      </c>
      <c r="O44" s="11"/>
      <c r="P44" s="6">
        <v>30812.11</v>
      </c>
      <c r="Q44" s="2"/>
      <c r="R44" s="7">
        <f t="shared" si="24"/>
        <v>0.13334495748227337</v>
      </c>
      <c r="S44" s="2"/>
      <c r="T44" s="6">
        <v>9252.83</v>
      </c>
      <c r="U44" s="2"/>
      <c r="V44" s="7">
        <f t="shared" si="25"/>
        <v>3.331100078841924E-2</v>
      </c>
      <c r="W44" s="2"/>
      <c r="X44" s="6">
        <f t="shared" si="26"/>
        <v>21559.279999999999</v>
      </c>
      <c r="Y44" s="2"/>
      <c r="Z44" s="7">
        <f t="shared" si="27"/>
        <v>2.3300201127654998</v>
      </c>
    </row>
    <row r="45" spans="1:26" s="24" customFormat="1" hidden="1" outlineLevel="2" x14ac:dyDescent="0.25">
      <c r="A45" s="29"/>
      <c r="B45" s="11" t="str">
        <f>CONCATENATE("          ", "6008", " - ", "STUDENT HOURLY-FICA EXEMPT")</f>
        <v xml:space="preserve">          6008 - STUDENT HOURLY-FICA EXEMPT</v>
      </c>
      <c r="C45" s="11"/>
      <c r="D45" s="6">
        <v>3086.33</v>
      </c>
      <c r="E45" s="2"/>
      <c r="F45" s="7">
        <f t="shared" si="20"/>
        <v>1.673718381167855E-2</v>
      </c>
      <c r="G45" s="2"/>
      <c r="H45" s="6">
        <v>13754.6</v>
      </c>
      <c r="I45" s="2"/>
      <c r="J45" s="7">
        <f t="shared" si="21"/>
        <v>6.6473996819980966E-2</v>
      </c>
      <c r="K45" s="2"/>
      <c r="L45" s="6">
        <f t="shared" si="22"/>
        <v>-10668.27</v>
      </c>
      <c r="M45" s="2"/>
      <c r="N45" s="7">
        <f t="shared" si="23"/>
        <v>-0.77561470344466577</v>
      </c>
      <c r="O45" s="11"/>
      <c r="P45" s="6">
        <v>3702.66</v>
      </c>
      <c r="Q45" s="2"/>
      <c r="R45" s="7">
        <f t="shared" si="24"/>
        <v>1.602392826298862E-2</v>
      </c>
      <c r="S45" s="2"/>
      <c r="T45" s="6">
        <v>13754.6</v>
      </c>
      <c r="U45" s="2"/>
      <c r="V45" s="7">
        <f t="shared" si="25"/>
        <v>4.9517768233544902E-2</v>
      </c>
      <c r="W45" s="2"/>
      <c r="X45" s="6">
        <f t="shared" si="26"/>
        <v>-10051.94</v>
      </c>
      <c r="Y45" s="2"/>
      <c r="Z45" s="7">
        <f t="shared" si="27"/>
        <v>-0.73080569409506635</v>
      </c>
    </row>
    <row r="46" spans="1:26" s="24" customFormat="1" hidden="1" outlineLevel="2" x14ac:dyDescent="0.25">
      <c r="A46" s="29"/>
      <c r="B46" s="11" t="str">
        <f>CONCATENATE("          ", "6009", " - ", "TEMPORARY-SEASONAL")</f>
        <v xml:space="preserve">          6009 - TEMPORARY-SEASONAL</v>
      </c>
      <c r="C46" s="11"/>
      <c r="D46" s="6"/>
      <c r="E46" s="2"/>
      <c r="F46" s="7">
        <f t="shared" si="20"/>
        <v>0</v>
      </c>
      <c r="G46" s="2"/>
      <c r="H46" s="6">
        <v>0</v>
      </c>
      <c r="I46" s="2"/>
      <c r="J46" s="7">
        <f t="shared" si="21"/>
        <v>0</v>
      </c>
      <c r="K46" s="2"/>
      <c r="L46" s="6">
        <f t="shared" si="22"/>
        <v>0</v>
      </c>
      <c r="M46" s="2"/>
      <c r="N46" s="7">
        <f t="shared" si="23"/>
        <v>0</v>
      </c>
      <c r="O46" s="11"/>
      <c r="P46" s="6"/>
      <c r="Q46" s="2"/>
      <c r="R46" s="7">
        <f t="shared" si="24"/>
        <v>0</v>
      </c>
      <c r="S46" s="2"/>
      <c r="T46" s="6">
        <v>0</v>
      </c>
      <c r="U46" s="2"/>
      <c r="V46" s="7">
        <f t="shared" si="25"/>
        <v>0</v>
      </c>
      <c r="W46" s="2"/>
      <c r="X46" s="6">
        <f t="shared" si="26"/>
        <v>0</v>
      </c>
      <c r="Y46" s="2"/>
      <c r="Z46" s="7">
        <f t="shared" si="27"/>
        <v>0</v>
      </c>
    </row>
    <row r="47" spans="1:26" s="24" customFormat="1" hidden="1" outlineLevel="2" x14ac:dyDescent="0.25">
      <c r="A47" s="29"/>
      <c r="B47" s="11" t="str">
        <f>CONCATENATE("          ", "6010", " - ", "GRATUITY")</f>
        <v xml:space="preserve">          6010 - GRATUITY</v>
      </c>
      <c r="C47" s="11"/>
      <c r="D47" s="6"/>
      <c r="E47" s="2"/>
      <c r="F47" s="7">
        <f t="shared" si="20"/>
        <v>0</v>
      </c>
      <c r="G47" s="2"/>
      <c r="H47" s="6">
        <v>0</v>
      </c>
      <c r="I47" s="2"/>
      <c r="J47" s="7">
        <f t="shared" si="21"/>
        <v>0</v>
      </c>
      <c r="K47" s="2"/>
      <c r="L47" s="6">
        <f t="shared" si="22"/>
        <v>0</v>
      </c>
      <c r="M47" s="2"/>
      <c r="N47" s="7">
        <f t="shared" si="23"/>
        <v>0</v>
      </c>
      <c r="O47" s="11"/>
      <c r="P47" s="6"/>
      <c r="Q47" s="2"/>
      <c r="R47" s="7">
        <f t="shared" si="24"/>
        <v>0</v>
      </c>
      <c r="S47" s="2"/>
      <c r="T47" s="6">
        <v>0</v>
      </c>
      <c r="U47" s="2"/>
      <c r="V47" s="7">
        <f t="shared" si="25"/>
        <v>0</v>
      </c>
      <c r="W47" s="2"/>
      <c r="X47" s="6">
        <f t="shared" si="26"/>
        <v>0</v>
      </c>
      <c r="Y47" s="2"/>
      <c r="Z47" s="7">
        <f t="shared" si="27"/>
        <v>0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69" si="28">IF(D$12=0,0,D48/D$12)</f>
        <v>0</v>
      </c>
      <c r="G48" s="1"/>
      <c r="H48" s="1">
        <f>SUM(OSRRefH22_2x_0)</f>
        <v>369</v>
      </c>
      <c r="I48" s="1"/>
      <c r="J48" s="5">
        <f t="shared" ref="J48:J69" si="29">IF(H$12=0,0,H48/H$12)</f>
        <v>1.7833237481695559E-3</v>
      </c>
      <c r="K48" s="1"/>
      <c r="L48" s="1">
        <f t="shared" ref="L48:L69" si="30">+D48-H48</f>
        <v>-369</v>
      </c>
      <c r="M48" s="1"/>
      <c r="N48" s="5">
        <f t="shared" ref="N48:N69" si="31">IF(H48=0,0,L48/H48)</f>
        <v>-1</v>
      </c>
      <c r="O48" s="14"/>
      <c r="P48" s="1">
        <f>SUM(OSRRefP22_2x_0)</f>
        <v>1224.25</v>
      </c>
      <c r="Q48" s="1"/>
      <c r="R48" s="5">
        <f t="shared" ref="R48:R69" si="32">IF(P$12=0,0,P48/P$12)</f>
        <v>5.2981624496885532E-3</v>
      </c>
      <c r="S48" s="1"/>
      <c r="T48" s="1">
        <f>SUM(OSRRefT22_2x_0)</f>
        <v>1107</v>
      </c>
      <c r="U48" s="1"/>
      <c r="V48" s="5">
        <f t="shared" ref="V48:V69" si="33">IF(T$12=0,0,T48/T$12)</f>
        <v>3.9852972412526867E-3</v>
      </c>
      <c r="W48" s="1"/>
      <c r="X48" s="1">
        <f t="shared" ref="X48:X69" si="34">+P48-T48</f>
        <v>117.25</v>
      </c>
      <c r="Y48" s="1"/>
      <c r="Z48" s="5">
        <f t="shared" ref="Z48:Z69" si="35">IF(T48=0,0,X48/T48)</f>
        <v>0.10591689250225836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6"/>
      <c r="E49" s="2"/>
      <c r="F49" s="7">
        <f t="shared" si="28"/>
        <v>0</v>
      </c>
      <c r="G49" s="2"/>
      <c r="H49" s="6">
        <v>369</v>
      </c>
      <c r="I49" s="2"/>
      <c r="J49" s="7">
        <f t="shared" si="29"/>
        <v>1.7833237481695559E-3</v>
      </c>
      <c r="K49" s="2"/>
      <c r="L49" s="6">
        <f t="shared" si="30"/>
        <v>-369</v>
      </c>
      <c r="M49" s="2"/>
      <c r="N49" s="7">
        <f t="shared" si="31"/>
        <v>-1</v>
      </c>
      <c r="O49" s="11"/>
      <c r="P49" s="6">
        <v>1224.25</v>
      </c>
      <c r="Q49" s="2"/>
      <c r="R49" s="7">
        <f t="shared" si="32"/>
        <v>5.2981624496885532E-3</v>
      </c>
      <c r="S49" s="2"/>
      <c r="T49" s="6">
        <v>1107</v>
      </c>
      <c r="U49" s="2"/>
      <c r="V49" s="7">
        <f t="shared" si="33"/>
        <v>3.9852972412526867E-3</v>
      </c>
      <c r="W49" s="2"/>
      <c r="X49" s="6">
        <f t="shared" si="34"/>
        <v>117.25</v>
      </c>
      <c r="Y49" s="2"/>
      <c r="Z49" s="7">
        <f t="shared" si="35"/>
        <v>0.10591689250225836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0</v>
      </c>
      <c r="E50" s="1"/>
      <c r="F50" s="5">
        <f t="shared" si="28"/>
        <v>0</v>
      </c>
      <c r="G50" s="1"/>
      <c r="H50" s="1">
        <f>SUM(OSRRefH22_3x_0)</f>
        <v>8</v>
      </c>
      <c r="I50" s="1"/>
      <c r="J50" s="5">
        <f t="shared" si="29"/>
        <v>3.8662845488770857E-5</v>
      </c>
      <c r="K50" s="1"/>
      <c r="L50" s="1">
        <f t="shared" si="30"/>
        <v>-8</v>
      </c>
      <c r="M50" s="1"/>
      <c r="N50" s="5">
        <f t="shared" si="31"/>
        <v>-1</v>
      </c>
      <c r="O50" s="14"/>
      <c r="P50" s="1">
        <f>SUM(OSRRefP22_3x_0)</f>
        <v>32</v>
      </c>
      <c r="Q50" s="1"/>
      <c r="R50" s="5">
        <f t="shared" si="32"/>
        <v>1.3848576548093421E-4</v>
      </c>
      <c r="S50" s="1"/>
      <c r="T50" s="1">
        <f>SUM(OSRRefT22_3x_0)</f>
        <v>16</v>
      </c>
      <c r="U50" s="1"/>
      <c r="V50" s="5">
        <f t="shared" si="33"/>
        <v>5.7601405474293572E-5</v>
      </c>
      <c r="W50" s="1"/>
      <c r="X50" s="1">
        <f t="shared" si="34"/>
        <v>16</v>
      </c>
      <c r="Y50" s="1"/>
      <c r="Z50" s="5">
        <f t="shared" si="35"/>
        <v>1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6"/>
      <c r="E51" s="2"/>
      <c r="F51" s="7">
        <f t="shared" si="28"/>
        <v>0</v>
      </c>
      <c r="G51" s="2"/>
      <c r="H51" s="6">
        <v>8</v>
      </c>
      <c r="I51" s="2"/>
      <c r="J51" s="7">
        <f t="shared" si="29"/>
        <v>3.8662845488770857E-5</v>
      </c>
      <c r="K51" s="2"/>
      <c r="L51" s="6">
        <f t="shared" si="30"/>
        <v>-8</v>
      </c>
      <c r="M51" s="2"/>
      <c r="N51" s="7">
        <f t="shared" si="31"/>
        <v>-1</v>
      </c>
      <c r="O51" s="11"/>
      <c r="P51" s="6">
        <v>32</v>
      </c>
      <c r="Q51" s="2"/>
      <c r="R51" s="7">
        <f t="shared" si="32"/>
        <v>1.3848576548093421E-4</v>
      </c>
      <c r="S51" s="2"/>
      <c r="T51" s="6">
        <v>16</v>
      </c>
      <c r="U51" s="2"/>
      <c r="V51" s="7">
        <f t="shared" si="33"/>
        <v>5.7601405474293572E-5</v>
      </c>
      <c r="W51" s="2"/>
      <c r="X51" s="6">
        <f t="shared" si="34"/>
        <v>16</v>
      </c>
      <c r="Y51" s="2"/>
      <c r="Z51" s="7">
        <f t="shared" si="35"/>
        <v>1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0</v>
      </c>
      <c r="E52" s="1"/>
      <c r="F52" s="5">
        <f t="shared" si="28"/>
        <v>0</v>
      </c>
      <c r="G52" s="1"/>
      <c r="H52" s="1">
        <f>SUM(OSRRefH22_4x_0)</f>
        <v>270</v>
      </c>
      <c r="I52" s="1"/>
      <c r="J52" s="5">
        <f t="shared" si="29"/>
        <v>1.3048710352460166E-3</v>
      </c>
      <c r="K52" s="1"/>
      <c r="L52" s="1">
        <f t="shared" si="30"/>
        <v>-270</v>
      </c>
      <c r="M52" s="1"/>
      <c r="N52" s="5">
        <f t="shared" si="31"/>
        <v>-1</v>
      </c>
      <c r="O52" s="14"/>
      <c r="P52" s="1">
        <f>SUM(OSRRefP22_4x_0)</f>
        <v>0</v>
      </c>
      <c r="Q52" s="1"/>
      <c r="R52" s="5">
        <f t="shared" si="32"/>
        <v>0</v>
      </c>
      <c r="S52" s="1"/>
      <c r="T52" s="1">
        <f>SUM(OSRRefT22_4x_0)</f>
        <v>405</v>
      </c>
      <c r="U52" s="1"/>
      <c r="V52" s="5">
        <f t="shared" si="33"/>
        <v>1.458035576068056E-3</v>
      </c>
      <c r="W52" s="1"/>
      <c r="X52" s="1">
        <f t="shared" si="34"/>
        <v>-405</v>
      </c>
      <c r="Y52" s="1"/>
      <c r="Z52" s="5">
        <f t="shared" si="35"/>
        <v>-1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6"/>
      <c r="E53" s="2"/>
      <c r="F53" s="7">
        <f t="shared" si="28"/>
        <v>0</v>
      </c>
      <c r="G53" s="2"/>
      <c r="H53" s="6">
        <v>270</v>
      </c>
      <c r="I53" s="2"/>
      <c r="J53" s="7">
        <f t="shared" si="29"/>
        <v>1.3048710352460166E-3</v>
      </c>
      <c r="K53" s="2"/>
      <c r="L53" s="6">
        <f t="shared" si="30"/>
        <v>-270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405</v>
      </c>
      <c r="U53" s="2"/>
      <c r="V53" s="7">
        <f t="shared" si="33"/>
        <v>1.458035576068056E-3</v>
      </c>
      <c r="W53" s="2"/>
      <c r="X53" s="6">
        <f t="shared" si="34"/>
        <v>-405</v>
      </c>
      <c r="Y53" s="2"/>
      <c r="Z53" s="7">
        <f t="shared" si="35"/>
        <v>-1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272.74</v>
      </c>
      <c r="E54" s="1"/>
      <c r="F54" s="5">
        <f t="shared" si="28"/>
        <v>1.4790704535150836E-3</v>
      </c>
      <c r="G54" s="1"/>
      <c r="H54" s="1">
        <f>SUM(OSRRefH22_5x_0)</f>
        <v>0</v>
      </c>
      <c r="I54" s="1"/>
      <c r="J54" s="5">
        <f t="shared" si="29"/>
        <v>0</v>
      </c>
      <c r="K54" s="1"/>
      <c r="L54" s="1">
        <f t="shared" si="30"/>
        <v>272.74</v>
      </c>
      <c r="M54" s="1"/>
      <c r="N54" s="5">
        <f t="shared" si="31"/>
        <v>0</v>
      </c>
      <c r="O54" s="14"/>
      <c r="P54" s="1">
        <f>SUM(OSRRefP22_5x_0)</f>
        <v>554</v>
      </c>
      <c r="Q54" s="1"/>
      <c r="R54" s="5">
        <f t="shared" si="32"/>
        <v>2.3975348148886737E-3</v>
      </c>
      <c r="S54" s="1"/>
      <c r="T54" s="1">
        <f>SUM(OSRRefT22_5x_0)</f>
        <v>0</v>
      </c>
      <c r="U54" s="1"/>
      <c r="V54" s="5">
        <f t="shared" si="33"/>
        <v>0</v>
      </c>
      <c r="W54" s="1"/>
      <c r="X54" s="1">
        <f t="shared" si="34"/>
        <v>554</v>
      </c>
      <c r="Y54" s="1"/>
      <c r="Z54" s="5">
        <f t="shared" si="35"/>
        <v>0</v>
      </c>
    </row>
    <row r="55" spans="1:26" s="24" customFormat="1" hidden="1" outlineLevel="2" x14ac:dyDescent="0.25">
      <c r="A55" s="29"/>
      <c r="B55" s="11" t="str">
        <f>CONCATENATE("          ", "6322", " - ", "EQUIPMENT DEPRECIATION EXPENSE")</f>
        <v xml:space="preserve">          6322 - EQUIPMENT DEPRECIATION EXPENSE</v>
      </c>
      <c r="C55" s="11"/>
      <c r="D55" s="6">
        <v>272.74</v>
      </c>
      <c r="E55" s="2"/>
      <c r="F55" s="7">
        <f t="shared" si="28"/>
        <v>1.4790704535150836E-3</v>
      </c>
      <c r="G55" s="2"/>
      <c r="H55" s="6"/>
      <c r="I55" s="2"/>
      <c r="J55" s="7">
        <f t="shared" si="29"/>
        <v>0</v>
      </c>
      <c r="K55" s="2"/>
      <c r="L55" s="6">
        <f t="shared" si="30"/>
        <v>272.74</v>
      </c>
      <c r="M55" s="2"/>
      <c r="N55" s="7">
        <f t="shared" si="31"/>
        <v>0</v>
      </c>
      <c r="O55" s="11"/>
      <c r="P55" s="6">
        <v>554</v>
      </c>
      <c r="Q55" s="2"/>
      <c r="R55" s="7">
        <f t="shared" si="32"/>
        <v>2.3975348148886737E-3</v>
      </c>
      <c r="S55" s="2"/>
      <c r="T55" s="6"/>
      <c r="U55" s="2"/>
      <c r="V55" s="7">
        <f t="shared" si="33"/>
        <v>0</v>
      </c>
      <c r="W55" s="2"/>
      <c r="X55" s="6">
        <f t="shared" si="34"/>
        <v>554</v>
      </c>
      <c r="Y55" s="2"/>
      <c r="Z55" s="7">
        <f t="shared" si="35"/>
        <v>0</v>
      </c>
    </row>
    <row r="56" spans="1:26" s="28" customFormat="1" outlineLevel="1" collapsed="1" x14ac:dyDescent="0.25">
      <c r="A56" s="27"/>
      <c r="B56" s="14" t="str">
        <f>CONCATENATE("     ","Donations                                         ")</f>
        <v xml:space="preserve">     Donations                                         </v>
      </c>
      <c r="C56" s="14"/>
      <c r="D56" s="1">
        <f>SUM(OSRRefD22_6x_0)</f>
        <v>8888.07</v>
      </c>
      <c r="E56" s="1"/>
      <c r="F56" s="5">
        <f t="shared" si="28"/>
        <v>4.8200050325488769E-2</v>
      </c>
      <c r="G56" s="1"/>
      <c r="H56" s="1">
        <f>SUM(OSRRefH22_6x_0)</f>
        <v>3100</v>
      </c>
      <c r="I56" s="1"/>
      <c r="J56" s="5">
        <f t="shared" si="29"/>
        <v>1.4981852626898709E-2</v>
      </c>
      <c r="K56" s="1"/>
      <c r="L56" s="1">
        <f t="shared" si="30"/>
        <v>5788.07</v>
      </c>
      <c r="M56" s="1"/>
      <c r="N56" s="5">
        <f t="shared" si="31"/>
        <v>1.8671193548387095</v>
      </c>
      <c r="O56" s="14"/>
      <c r="P56" s="1">
        <f>SUM(OSRRefP22_6x_0)</f>
        <v>11110.09</v>
      </c>
      <c r="Q56" s="1"/>
      <c r="R56" s="5">
        <f t="shared" si="32"/>
        <v>4.8080916194127264E-2</v>
      </c>
      <c r="S56" s="1"/>
      <c r="T56" s="1">
        <f>SUM(OSRRefT22_6x_0)</f>
        <v>6200</v>
      </c>
      <c r="U56" s="1"/>
      <c r="V56" s="5">
        <f t="shared" si="33"/>
        <v>2.2320544621288758E-2</v>
      </c>
      <c r="W56" s="1"/>
      <c r="X56" s="1">
        <f t="shared" si="34"/>
        <v>4910.09</v>
      </c>
      <c r="Y56" s="1"/>
      <c r="Z56" s="5">
        <f t="shared" si="35"/>
        <v>0.79195000000000004</v>
      </c>
    </row>
    <row r="57" spans="1:26" s="24" customFormat="1" hidden="1" outlineLevel="2" x14ac:dyDescent="0.25">
      <c r="A57" s="29"/>
      <c r="B57" s="11" t="str">
        <f>CONCATENATE("          ", "6399", " - ", "DONATION-ON CAMPUS")</f>
        <v xml:space="preserve">          6399 - DONATION-ON CAMPUS</v>
      </c>
      <c r="C57" s="11"/>
      <c r="D57" s="6">
        <v>8888.07</v>
      </c>
      <c r="E57" s="2"/>
      <c r="F57" s="7">
        <f t="shared" si="28"/>
        <v>4.8200050325488769E-2</v>
      </c>
      <c r="G57" s="2"/>
      <c r="H57" s="6">
        <v>3100</v>
      </c>
      <c r="I57" s="2"/>
      <c r="J57" s="7">
        <f t="shared" si="29"/>
        <v>1.4981852626898709E-2</v>
      </c>
      <c r="K57" s="2"/>
      <c r="L57" s="6">
        <f t="shared" si="30"/>
        <v>5788.07</v>
      </c>
      <c r="M57" s="2"/>
      <c r="N57" s="7">
        <f t="shared" si="31"/>
        <v>1.8671193548387095</v>
      </c>
      <c r="O57" s="11"/>
      <c r="P57" s="6">
        <v>11110.09</v>
      </c>
      <c r="Q57" s="2"/>
      <c r="R57" s="7">
        <f t="shared" si="32"/>
        <v>4.8080916194127264E-2</v>
      </c>
      <c r="S57" s="2"/>
      <c r="T57" s="6">
        <v>6200</v>
      </c>
      <c r="U57" s="2"/>
      <c r="V57" s="7">
        <f t="shared" si="33"/>
        <v>2.2320544621288758E-2</v>
      </c>
      <c r="W57" s="2"/>
      <c r="X57" s="6">
        <f t="shared" si="34"/>
        <v>4910.09</v>
      </c>
      <c r="Y57" s="2"/>
      <c r="Z57" s="7">
        <f t="shared" si="35"/>
        <v>0.79195000000000004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SUM(OSRRefD22_7x_0)</f>
        <v>0</v>
      </c>
      <c r="E58" s="1"/>
      <c r="F58" s="5">
        <f t="shared" si="28"/>
        <v>0</v>
      </c>
      <c r="G58" s="1"/>
      <c r="H58" s="1">
        <f>SUM(OSRRefH22_7x_0)</f>
        <v>150</v>
      </c>
      <c r="I58" s="1"/>
      <c r="J58" s="5">
        <f t="shared" si="29"/>
        <v>7.2492835291445364E-4</v>
      </c>
      <c r="K58" s="1"/>
      <c r="L58" s="1">
        <f t="shared" si="30"/>
        <v>-150</v>
      </c>
      <c r="M58" s="1"/>
      <c r="N58" s="5">
        <f t="shared" si="31"/>
        <v>-1</v>
      </c>
      <c r="O58" s="14"/>
      <c r="P58" s="1">
        <f>SUM(OSRRefP22_7x_0)</f>
        <v>0</v>
      </c>
      <c r="Q58" s="1"/>
      <c r="R58" s="5">
        <f t="shared" si="32"/>
        <v>0</v>
      </c>
      <c r="S58" s="1"/>
      <c r="T58" s="1">
        <f>SUM(OSRRefT22_7x_0)</f>
        <v>300</v>
      </c>
      <c r="U58" s="1"/>
      <c r="V58" s="5">
        <f t="shared" si="33"/>
        <v>1.0800263526430044E-3</v>
      </c>
      <c r="W58" s="1"/>
      <c r="X58" s="1">
        <f t="shared" si="34"/>
        <v>-300</v>
      </c>
      <c r="Y58" s="1"/>
      <c r="Z58" s="5">
        <f t="shared" si="35"/>
        <v>-1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28"/>
        <v>0</v>
      </c>
      <c r="G59" s="2"/>
      <c r="H59" s="6">
        <v>150</v>
      </c>
      <c r="I59" s="2"/>
      <c r="J59" s="7">
        <f t="shared" si="29"/>
        <v>7.2492835291445364E-4</v>
      </c>
      <c r="K59" s="2"/>
      <c r="L59" s="6">
        <f t="shared" si="30"/>
        <v>-150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300</v>
      </c>
      <c r="U59" s="2"/>
      <c r="V59" s="7">
        <f t="shared" si="33"/>
        <v>1.0800263526430044E-3</v>
      </c>
      <c r="W59" s="2"/>
      <c r="X59" s="6">
        <f t="shared" si="34"/>
        <v>-300</v>
      </c>
      <c r="Y59" s="2"/>
      <c r="Z59" s="7">
        <f t="shared" si="35"/>
        <v>-1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SUM(OSRRefD22_8x_0)</f>
        <v>485.2</v>
      </c>
      <c r="E60" s="1"/>
      <c r="F60" s="5">
        <f t="shared" si="28"/>
        <v>2.6312421501998918E-3</v>
      </c>
      <c r="G60" s="1"/>
      <c r="H60" s="1">
        <f>SUM(OSRRefH22_8x_0)</f>
        <v>290</v>
      </c>
      <c r="I60" s="1"/>
      <c r="J60" s="5">
        <f t="shared" si="29"/>
        <v>1.4015281489679436E-3</v>
      </c>
      <c r="K60" s="1"/>
      <c r="L60" s="1">
        <f t="shared" si="30"/>
        <v>195.2</v>
      </c>
      <c r="M60" s="1"/>
      <c r="N60" s="5">
        <f t="shared" si="31"/>
        <v>0.67310344827586199</v>
      </c>
      <c r="O60" s="14"/>
      <c r="P60" s="1">
        <f>SUM(OSRRefP22_8x_0)</f>
        <v>1035.74</v>
      </c>
      <c r="Q60" s="1"/>
      <c r="R60" s="5">
        <f t="shared" si="32"/>
        <v>4.4823514606007128E-3</v>
      </c>
      <c r="S60" s="1"/>
      <c r="T60" s="1">
        <f>SUM(OSRRefT22_8x_0)</f>
        <v>870</v>
      </c>
      <c r="U60" s="1"/>
      <c r="V60" s="5">
        <f t="shared" si="33"/>
        <v>3.1320764226647128E-3</v>
      </c>
      <c r="W60" s="1"/>
      <c r="X60" s="1">
        <f t="shared" si="34"/>
        <v>165.74</v>
      </c>
      <c r="Y60" s="1"/>
      <c r="Z60" s="5">
        <f t="shared" si="35"/>
        <v>0.19050574712643678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6">
        <v>485.2</v>
      </c>
      <c r="E61" s="2"/>
      <c r="F61" s="7">
        <f t="shared" si="28"/>
        <v>2.6312421501998918E-3</v>
      </c>
      <c r="G61" s="2"/>
      <c r="H61" s="6">
        <v>290</v>
      </c>
      <c r="I61" s="2"/>
      <c r="J61" s="7">
        <f t="shared" si="29"/>
        <v>1.4015281489679436E-3</v>
      </c>
      <c r="K61" s="2"/>
      <c r="L61" s="6">
        <f t="shared" si="30"/>
        <v>195.2</v>
      </c>
      <c r="M61" s="2"/>
      <c r="N61" s="7">
        <f t="shared" si="31"/>
        <v>0.67310344827586199</v>
      </c>
      <c r="O61" s="11"/>
      <c r="P61" s="6">
        <v>1035.74</v>
      </c>
      <c r="Q61" s="2"/>
      <c r="R61" s="7">
        <f t="shared" si="32"/>
        <v>4.4823514606007128E-3</v>
      </c>
      <c r="S61" s="2"/>
      <c r="T61" s="6">
        <v>870</v>
      </c>
      <c r="U61" s="2"/>
      <c r="V61" s="7">
        <f t="shared" si="33"/>
        <v>3.1320764226647128E-3</v>
      </c>
      <c r="W61" s="2"/>
      <c r="X61" s="6">
        <f t="shared" si="34"/>
        <v>165.74</v>
      </c>
      <c r="Y61" s="2"/>
      <c r="Z61" s="7">
        <f t="shared" si="35"/>
        <v>0.19050574712643678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SUM(OSRRefD22_9x_0)</f>
        <v>0</v>
      </c>
      <c r="E62" s="1"/>
      <c r="F62" s="5">
        <f t="shared" si="28"/>
        <v>0</v>
      </c>
      <c r="G62" s="1"/>
      <c r="H62" s="1">
        <f>SUM(OSRRefH22_9x_0)</f>
        <v>270</v>
      </c>
      <c r="I62" s="1"/>
      <c r="J62" s="5">
        <f t="shared" si="29"/>
        <v>1.3048710352460166E-3</v>
      </c>
      <c r="K62" s="1"/>
      <c r="L62" s="1">
        <f t="shared" si="30"/>
        <v>-270</v>
      </c>
      <c r="M62" s="1"/>
      <c r="N62" s="5">
        <f t="shared" si="31"/>
        <v>-1</v>
      </c>
      <c r="O62" s="14"/>
      <c r="P62" s="1">
        <f>SUM(OSRRefP22_9x_0)</f>
        <v>1439.55</v>
      </c>
      <c r="Q62" s="1"/>
      <c r="R62" s="5">
        <f t="shared" si="32"/>
        <v>6.2299119905649637E-3</v>
      </c>
      <c r="S62" s="1"/>
      <c r="T62" s="1">
        <f>SUM(OSRRefT22_9x_0)</f>
        <v>2290</v>
      </c>
      <c r="U62" s="1"/>
      <c r="V62" s="5">
        <f t="shared" si="33"/>
        <v>8.2442011585082669E-3</v>
      </c>
      <c r="W62" s="1"/>
      <c r="X62" s="1">
        <f t="shared" si="34"/>
        <v>-850.45</v>
      </c>
      <c r="Y62" s="1"/>
      <c r="Z62" s="5">
        <f t="shared" si="35"/>
        <v>-0.37137554585152838</v>
      </c>
    </row>
    <row r="63" spans="1:26" s="24" customFormat="1" hidden="1" outlineLevel="2" x14ac:dyDescent="0.25">
      <c r="A63" s="29"/>
      <c r="B63" s="11" t="str">
        <f>CONCATENATE("          ", "6279", " - ", "GENERAL EXPENSE")</f>
        <v xml:space="preserve">          6279 - GENERAL EXPENSE</v>
      </c>
      <c r="C63" s="11"/>
      <c r="D63" s="6"/>
      <c r="E63" s="2"/>
      <c r="F63" s="7">
        <f t="shared" si="28"/>
        <v>0</v>
      </c>
      <c r="G63" s="2"/>
      <c r="H63" s="6">
        <v>270</v>
      </c>
      <c r="I63" s="2"/>
      <c r="J63" s="7">
        <f t="shared" si="29"/>
        <v>1.3048710352460166E-3</v>
      </c>
      <c r="K63" s="2"/>
      <c r="L63" s="6">
        <f t="shared" si="30"/>
        <v>-270</v>
      </c>
      <c r="M63" s="2"/>
      <c r="N63" s="7">
        <f t="shared" si="31"/>
        <v>-1</v>
      </c>
      <c r="O63" s="11"/>
      <c r="P63" s="6">
        <v>1439.55</v>
      </c>
      <c r="Q63" s="2"/>
      <c r="R63" s="7">
        <f t="shared" si="32"/>
        <v>6.2299119905649637E-3</v>
      </c>
      <c r="S63" s="2"/>
      <c r="T63" s="6">
        <v>2290</v>
      </c>
      <c r="U63" s="2"/>
      <c r="V63" s="7">
        <f t="shared" si="33"/>
        <v>8.2442011585082669E-3</v>
      </c>
      <c r="W63" s="2"/>
      <c r="X63" s="6">
        <f t="shared" si="34"/>
        <v>-850.45</v>
      </c>
      <c r="Y63" s="2"/>
      <c r="Z63" s="7">
        <f t="shared" si="35"/>
        <v>-0.37137554585152838</v>
      </c>
    </row>
    <row r="64" spans="1:26" s="28" customFormat="1" outlineLevel="1" collapsed="1" x14ac:dyDescent="0.25">
      <c r="A64" s="27"/>
      <c r="B64" s="14" t="str">
        <f>CONCATENATE("     ","R/H Commissions                                   ")</f>
        <v xml:space="preserve">     R/H Commissions                                   </v>
      </c>
      <c r="C64" s="14"/>
      <c r="D64" s="1">
        <f>SUM(OSRRefD22_10x_0)</f>
        <v>11792.03</v>
      </c>
      <c r="E64" s="1"/>
      <c r="F64" s="5">
        <f t="shared" si="28"/>
        <v>6.3948240668634859E-2</v>
      </c>
      <c r="G64" s="1"/>
      <c r="H64" s="1">
        <f>SUM(OSRRefH22_10x_0)</f>
        <v>16553</v>
      </c>
      <c r="I64" s="1"/>
      <c r="J64" s="5">
        <f t="shared" si="29"/>
        <v>7.9998260171953009E-2</v>
      </c>
      <c r="K64" s="1"/>
      <c r="L64" s="1">
        <f t="shared" si="30"/>
        <v>-4760.9699999999993</v>
      </c>
      <c r="M64" s="1"/>
      <c r="N64" s="5">
        <f t="shared" si="31"/>
        <v>-0.28761976680964174</v>
      </c>
      <c r="O64" s="14"/>
      <c r="P64" s="1">
        <f>SUM(OSRRefP22_10x_0)</f>
        <v>15181.84</v>
      </c>
      <c r="Q64" s="1"/>
      <c r="R64" s="5">
        <f t="shared" si="32"/>
        <v>6.5702147931533325E-2</v>
      </c>
      <c r="S64" s="1"/>
      <c r="T64" s="1">
        <f>SUM(OSRRefT22_10x_0)</f>
        <v>22221</v>
      </c>
      <c r="U64" s="1"/>
      <c r="V64" s="5">
        <f t="shared" si="33"/>
        <v>7.9997551940267336E-2</v>
      </c>
      <c r="W64" s="1"/>
      <c r="X64" s="1">
        <f t="shared" si="34"/>
        <v>-7039.16</v>
      </c>
      <c r="Y64" s="1"/>
      <c r="Z64" s="5">
        <f t="shared" si="35"/>
        <v>-0.31677962287925837</v>
      </c>
    </row>
    <row r="65" spans="1:26" s="24" customFormat="1" hidden="1" outlineLevel="2" x14ac:dyDescent="0.25">
      <c r="A65" s="29"/>
      <c r="B65" s="11" t="str">
        <f>CONCATENATE("          ", "6387", " - ", "COMMISSION DUE HOUSING")</f>
        <v xml:space="preserve">          6387 - COMMISSION DUE HOUSING</v>
      </c>
      <c r="C65" s="11"/>
      <c r="D65" s="6">
        <v>11792.03</v>
      </c>
      <c r="E65" s="2"/>
      <c r="F65" s="7">
        <f t="shared" si="28"/>
        <v>6.3948240668634859E-2</v>
      </c>
      <c r="G65" s="2"/>
      <c r="H65" s="6">
        <v>16553</v>
      </c>
      <c r="I65" s="2"/>
      <c r="J65" s="7">
        <f t="shared" si="29"/>
        <v>7.9998260171953009E-2</v>
      </c>
      <c r="K65" s="2"/>
      <c r="L65" s="6">
        <f t="shared" si="30"/>
        <v>-4760.9699999999993</v>
      </c>
      <c r="M65" s="2"/>
      <c r="N65" s="7">
        <f t="shared" si="31"/>
        <v>-0.28761976680964174</v>
      </c>
      <c r="O65" s="11"/>
      <c r="P65" s="6">
        <v>15181.84</v>
      </c>
      <c r="Q65" s="2"/>
      <c r="R65" s="7">
        <f t="shared" si="32"/>
        <v>6.5702147931533325E-2</v>
      </c>
      <c r="S65" s="2"/>
      <c r="T65" s="6">
        <v>22221</v>
      </c>
      <c r="U65" s="2"/>
      <c r="V65" s="7">
        <f t="shared" si="33"/>
        <v>7.9997551940267336E-2</v>
      </c>
      <c r="W65" s="2"/>
      <c r="X65" s="6">
        <f t="shared" si="34"/>
        <v>-7039.16</v>
      </c>
      <c r="Y65" s="2"/>
      <c r="Z65" s="7">
        <f t="shared" si="35"/>
        <v>-0.31677962287925837</v>
      </c>
    </row>
    <row r="66" spans="1:26" s="28" customFormat="1" outlineLevel="1" collapsed="1" x14ac:dyDescent="0.25">
      <c r="A66" s="27"/>
      <c r="B66" s="14" t="str">
        <f>CONCATENATE("     ","Repair and Maintenance                            ")</f>
        <v xml:space="preserve">     Repair and Maintenance                            </v>
      </c>
      <c r="C66" s="14"/>
      <c r="D66" s="1">
        <f>SUM(OSRRefD22_11x_0)</f>
        <v>293.48</v>
      </c>
      <c r="E66" s="1"/>
      <c r="F66" s="5">
        <f t="shared" si="28"/>
        <v>1.5915435825240402E-3</v>
      </c>
      <c r="G66" s="1"/>
      <c r="H66" s="1">
        <f>SUM(OSRRefH22_11x_0)</f>
        <v>288</v>
      </c>
      <c r="I66" s="1"/>
      <c r="J66" s="5">
        <f t="shared" si="29"/>
        <v>1.3918624375957509E-3</v>
      </c>
      <c r="K66" s="1"/>
      <c r="L66" s="1">
        <f t="shared" si="30"/>
        <v>5.4800000000000182</v>
      </c>
      <c r="M66" s="1"/>
      <c r="N66" s="5">
        <f t="shared" si="31"/>
        <v>1.9027777777777841E-2</v>
      </c>
      <c r="O66" s="14"/>
      <c r="P66" s="1">
        <f>SUM(OSRRefP22_11x_0)</f>
        <v>1683.68</v>
      </c>
      <c r="Q66" s="1"/>
      <c r="R66" s="5">
        <f t="shared" si="32"/>
        <v>7.2864285507793546E-3</v>
      </c>
      <c r="S66" s="1"/>
      <c r="T66" s="1">
        <f>SUM(OSRRefT22_11x_0)</f>
        <v>3947</v>
      </c>
      <c r="U66" s="1"/>
      <c r="V66" s="5">
        <f t="shared" si="33"/>
        <v>1.4209546712939796E-2</v>
      </c>
      <c r="W66" s="1"/>
      <c r="X66" s="1">
        <f t="shared" si="34"/>
        <v>-2263.3199999999997</v>
      </c>
      <c r="Y66" s="1"/>
      <c r="Z66" s="5">
        <f t="shared" si="35"/>
        <v>-0.57342791993919429</v>
      </c>
    </row>
    <row r="67" spans="1:26" s="24" customFormat="1" hidden="1" outlineLevel="2" x14ac:dyDescent="0.25">
      <c r="A67" s="29"/>
      <c r="B67" s="11" t="str">
        <f>CONCATENATE("          ", "6372", " - ", "COMPUTER HARDWARE MAINTENANCE")</f>
        <v xml:space="preserve">          6372 - COMPUTER HARDWARE MAINTENANCE</v>
      </c>
      <c r="C67" s="11"/>
      <c r="D67" s="6"/>
      <c r="E67" s="2"/>
      <c r="F67" s="7">
        <f t="shared" si="28"/>
        <v>0</v>
      </c>
      <c r="G67" s="2"/>
      <c r="H67" s="6"/>
      <c r="I67" s="2"/>
      <c r="J67" s="7">
        <f t="shared" si="29"/>
        <v>0</v>
      </c>
      <c r="K67" s="2"/>
      <c r="L67" s="6">
        <f t="shared" si="30"/>
        <v>0</v>
      </c>
      <c r="M67" s="2"/>
      <c r="N67" s="7">
        <f t="shared" si="31"/>
        <v>0</v>
      </c>
      <c r="O67" s="11"/>
      <c r="P67" s="6"/>
      <c r="Q67" s="2"/>
      <c r="R67" s="7">
        <f t="shared" si="32"/>
        <v>0</v>
      </c>
      <c r="S67" s="2"/>
      <c r="T67" s="6">
        <v>3083</v>
      </c>
      <c r="U67" s="2"/>
      <c r="V67" s="7">
        <f t="shared" si="33"/>
        <v>1.1099070817327942E-2</v>
      </c>
      <c r="W67" s="2"/>
      <c r="X67" s="6">
        <f t="shared" si="34"/>
        <v>-3083</v>
      </c>
      <c r="Y67" s="2"/>
      <c r="Z67" s="7">
        <f t="shared" si="35"/>
        <v>-1</v>
      </c>
    </row>
    <row r="68" spans="1:26" s="24" customFormat="1" hidden="1" outlineLevel="2" x14ac:dyDescent="0.25">
      <c r="A68" s="29"/>
      <c r="B68" s="11" t="str">
        <f>CONCATENATE("          ", "6373", " - ", "MAINTENANCE CONTRACTS")</f>
        <v xml:space="preserve">          6373 - MAINTENANCE CONTRACTS</v>
      </c>
      <c r="C68" s="11"/>
      <c r="D68" s="6">
        <v>88.48</v>
      </c>
      <c r="E68" s="2"/>
      <c r="F68" s="7">
        <f t="shared" si="28"/>
        <v>4.7982750504881792E-4</v>
      </c>
      <c r="G68" s="2"/>
      <c r="H68" s="6">
        <v>38</v>
      </c>
      <c r="I68" s="2"/>
      <c r="J68" s="7">
        <f t="shared" si="29"/>
        <v>1.8364851607166157E-4</v>
      </c>
      <c r="K68" s="2"/>
      <c r="L68" s="6">
        <f t="shared" si="30"/>
        <v>50.480000000000004</v>
      </c>
      <c r="M68" s="2"/>
      <c r="N68" s="7">
        <f t="shared" si="31"/>
        <v>1.3284210526315789</v>
      </c>
      <c r="O68" s="11"/>
      <c r="P68" s="6">
        <v>1478.68</v>
      </c>
      <c r="Q68" s="2"/>
      <c r="R68" s="7">
        <f t="shared" si="32"/>
        <v>6.3992541156671192E-3</v>
      </c>
      <c r="S68" s="2"/>
      <c r="T68" s="6">
        <v>114</v>
      </c>
      <c r="U68" s="2"/>
      <c r="V68" s="7">
        <f t="shared" si="33"/>
        <v>4.1041001400434168E-4</v>
      </c>
      <c r="W68" s="2"/>
      <c r="X68" s="6">
        <f t="shared" si="34"/>
        <v>1364.68</v>
      </c>
      <c r="Y68" s="2"/>
      <c r="Z68" s="7">
        <f t="shared" si="35"/>
        <v>11.970877192982456</v>
      </c>
    </row>
    <row r="69" spans="1:26" s="24" customFormat="1" hidden="1" outlineLevel="2" x14ac:dyDescent="0.25">
      <c r="A69" s="29"/>
      <c r="B69" s="11" t="str">
        <f>CONCATENATE("          ", "6375", " - ", "OUTSIDE REPAIRS &amp; MAINTENANCE")</f>
        <v xml:space="preserve">          6375 - OUTSIDE REPAIRS &amp; MAINTENANCE</v>
      </c>
      <c r="C69" s="11"/>
      <c r="D69" s="6">
        <v>205</v>
      </c>
      <c r="E69" s="2"/>
      <c r="F69" s="7">
        <f t="shared" si="28"/>
        <v>1.1117160774752222E-3</v>
      </c>
      <c r="G69" s="2"/>
      <c r="H69" s="6">
        <v>250</v>
      </c>
      <c r="I69" s="2"/>
      <c r="J69" s="7">
        <f t="shared" si="29"/>
        <v>1.2082139215240893E-3</v>
      </c>
      <c r="K69" s="2"/>
      <c r="L69" s="6">
        <f t="shared" si="30"/>
        <v>-45</v>
      </c>
      <c r="M69" s="2"/>
      <c r="N69" s="7">
        <f t="shared" si="31"/>
        <v>-0.18</v>
      </c>
      <c r="O69" s="11"/>
      <c r="P69" s="6">
        <v>205</v>
      </c>
      <c r="Q69" s="2"/>
      <c r="R69" s="7">
        <f t="shared" si="32"/>
        <v>8.8717443511223488E-4</v>
      </c>
      <c r="S69" s="2"/>
      <c r="T69" s="6">
        <v>750</v>
      </c>
      <c r="U69" s="2"/>
      <c r="V69" s="7">
        <f t="shared" si="33"/>
        <v>2.7000658816075111E-3</v>
      </c>
      <c r="W69" s="2"/>
      <c r="X69" s="6">
        <f t="shared" si="34"/>
        <v>-545</v>
      </c>
      <c r="Y69" s="2"/>
      <c r="Z69" s="7">
        <f t="shared" si="35"/>
        <v>-0.72666666666666668</v>
      </c>
    </row>
    <row r="70" spans="1:26" s="28" customFormat="1" outlineLevel="1" collapsed="1" x14ac:dyDescent="0.25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SUM(OSRRefD22_12x_0)</f>
        <v>8805.49</v>
      </c>
      <c r="E70" s="1"/>
      <c r="F70" s="5">
        <f t="shared" ref="F70:F73" si="36">IF(D$12=0,0,D70/D$12)</f>
        <v>4.7752218551450218E-2</v>
      </c>
      <c r="G70" s="1"/>
      <c r="H70" s="1">
        <f>SUM(OSRRefH22_12x_0)</f>
        <v>6221</v>
      </c>
      <c r="I70" s="1"/>
      <c r="J70" s="5">
        <f t="shared" ref="J70:J73" si="37">IF(H$12=0,0,H70/H$12)</f>
        <v>3.006519522320544E-2</v>
      </c>
      <c r="K70" s="1"/>
      <c r="L70" s="1">
        <f t="shared" ref="L70:L73" si="38">+D70-H70</f>
        <v>2584.4899999999998</v>
      </c>
      <c r="M70" s="1"/>
      <c r="N70" s="5">
        <f t="shared" ref="N70:N73" si="39">IF(H70=0,0,L70/H70)</f>
        <v>0.41544606976370357</v>
      </c>
      <c r="O70" s="14"/>
      <c r="P70" s="1">
        <f>SUM(OSRRefP22_12x_0)</f>
        <v>10707.11</v>
      </c>
      <c r="Q70" s="1"/>
      <c r="R70" s="5">
        <f t="shared" ref="R70:R73" si="40">IF(P$12=0,0,P70/P$12)</f>
        <v>4.6336947638705175E-2</v>
      </c>
      <c r="S70" s="1"/>
      <c r="T70" s="1">
        <f>SUM(OSRRefT22_12x_0)</f>
        <v>18663</v>
      </c>
      <c r="U70" s="1"/>
      <c r="V70" s="5">
        <f t="shared" ref="V70:V73" si="41">IF(T$12=0,0,T70/T$12)</f>
        <v>6.718843939792131E-2</v>
      </c>
      <c r="W70" s="1"/>
      <c r="X70" s="1">
        <f t="shared" ref="X70:X73" si="42">+P70-T70</f>
        <v>-7955.8899999999994</v>
      </c>
      <c r="Y70" s="1"/>
      <c r="Z70" s="5">
        <f t="shared" ref="Z70:Z73" si="43">IF(T70=0,0,X70/T70)</f>
        <v>-0.42629212881101641</v>
      </c>
    </row>
    <row r="71" spans="1:26" s="24" customFormat="1" hidden="1" outlineLevel="2" x14ac:dyDescent="0.25">
      <c r="A71" s="29"/>
      <c r="B71" s="11" t="str">
        <f>CONCATENATE("          ", "6282", " - ", "JANITORIAL/EXTERMINATOR EXPENS")</f>
        <v xml:space="preserve">          6282 - JANITORIAL/EXTERMINATOR EXPENS</v>
      </c>
      <c r="C71" s="11"/>
      <c r="D71" s="6"/>
      <c r="E71" s="2"/>
      <c r="F71" s="7">
        <f t="shared" si="36"/>
        <v>0</v>
      </c>
      <c r="G71" s="2"/>
      <c r="H71" s="6">
        <v>450</v>
      </c>
      <c r="I71" s="2"/>
      <c r="J71" s="7">
        <f t="shared" si="37"/>
        <v>2.1747850587433607E-3</v>
      </c>
      <c r="K71" s="2"/>
      <c r="L71" s="6">
        <f t="shared" si="38"/>
        <v>-450</v>
      </c>
      <c r="M71" s="2"/>
      <c r="N71" s="7">
        <f t="shared" si="39"/>
        <v>-1</v>
      </c>
      <c r="O71" s="11"/>
      <c r="P71" s="6">
        <v>842.68</v>
      </c>
      <c r="Q71" s="2"/>
      <c r="R71" s="7">
        <f t="shared" si="40"/>
        <v>3.6468495267335511E-3</v>
      </c>
      <c r="S71" s="2"/>
      <c r="T71" s="6">
        <v>1350</v>
      </c>
      <c r="U71" s="2"/>
      <c r="V71" s="7">
        <f t="shared" si="41"/>
        <v>4.86011858689352E-3</v>
      </c>
      <c r="W71" s="2"/>
      <c r="X71" s="6">
        <f t="shared" si="42"/>
        <v>-507.32000000000005</v>
      </c>
      <c r="Y71" s="2"/>
      <c r="Z71" s="7">
        <f t="shared" si="43"/>
        <v>-0.37579259259259262</v>
      </c>
    </row>
    <row r="72" spans="1:26" s="24" customFormat="1" hidden="1" outlineLevel="2" x14ac:dyDescent="0.25">
      <c r="A72" s="29"/>
      <c r="B72" s="11" t="str">
        <f>CONCATENATE("          ", "6285", " - ", "JANITORIAL SERVICES")</f>
        <v xml:space="preserve">          6285 - JANITORIAL SERVICES</v>
      </c>
      <c r="C72" s="11"/>
      <c r="D72" s="6">
        <v>7620.33</v>
      </c>
      <c r="E72" s="2"/>
      <c r="F72" s="7">
        <f t="shared" si="36"/>
        <v>4.132508964227688E-2</v>
      </c>
      <c r="G72" s="2"/>
      <c r="H72" s="6">
        <v>4271</v>
      </c>
      <c r="I72" s="2"/>
      <c r="J72" s="7">
        <f t="shared" si="37"/>
        <v>2.0641126635317544E-2</v>
      </c>
      <c r="K72" s="2"/>
      <c r="L72" s="6">
        <f t="shared" si="38"/>
        <v>3349.33</v>
      </c>
      <c r="M72" s="2"/>
      <c r="N72" s="7">
        <f t="shared" si="39"/>
        <v>0.78420276281901191</v>
      </c>
      <c r="O72" s="11"/>
      <c r="P72" s="6">
        <v>7620.33</v>
      </c>
      <c r="Q72" s="2"/>
      <c r="R72" s="7">
        <f t="shared" si="40"/>
        <v>3.2978351039603983E-2</v>
      </c>
      <c r="S72" s="2"/>
      <c r="T72" s="6">
        <v>12813</v>
      </c>
      <c r="U72" s="2"/>
      <c r="V72" s="7">
        <f t="shared" si="41"/>
        <v>4.6127925521382722E-2</v>
      </c>
      <c r="W72" s="2"/>
      <c r="X72" s="6">
        <f t="shared" si="42"/>
        <v>-5192.67</v>
      </c>
      <c r="Y72" s="2"/>
      <c r="Z72" s="7">
        <f t="shared" si="43"/>
        <v>-0.40526574572699603</v>
      </c>
    </row>
    <row r="73" spans="1:26" s="24" customFormat="1" hidden="1" outlineLevel="2" x14ac:dyDescent="0.25">
      <c r="A73" s="29"/>
      <c r="B73" s="11" t="str">
        <f>CONCATENATE("          ", "6286", " - ", "LAUNDRY EXPENSE")</f>
        <v xml:space="preserve">          6286 - LAUNDRY EXPENSE</v>
      </c>
      <c r="C73" s="11"/>
      <c r="D73" s="6">
        <v>1185.1600000000001</v>
      </c>
      <c r="E73" s="2"/>
      <c r="F73" s="7">
        <f t="shared" si="36"/>
        <v>6.4271289091733389E-3</v>
      </c>
      <c r="G73" s="2"/>
      <c r="H73" s="6">
        <v>1500</v>
      </c>
      <c r="I73" s="2"/>
      <c r="J73" s="7">
        <f t="shared" si="37"/>
        <v>7.2492835291445359E-3</v>
      </c>
      <c r="K73" s="2"/>
      <c r="L73" s="6">
        <f t="shared" si="38"/>
        <v>-314.83999999999992</v>
      </c>
      <c r="M73" s="2"/>
      <c r="N73" s="7">
        <f t="shared" si="39"/>
        <v>-0.20989333333333327</v>
      </c>
      <c r="O73" s="11"/>
      <c r="P73" s="6">
        <v>2244.1</v>
      </c>
      <c r="Q73" s="2"/>
      <c r="R73" s="7">
        <f t="shared" si="40"/>
        <v>9.7117470723676394E-3</v>
      </c>
      <c r="S73" s="2"/>
      <c r="T73" s="6">
        <v>4500</v>
      </c>
      <c r="U73" s="2"/>
      <c r="V73" s="7">
        <f t="shared" si="41"/>
        <v>1.6200395289645068E-2</v>
      </c>
      <c r="W73" s="2"/>
      <c r="X73" s="6">
        <f t="shared" si="42"/>
        <v>-2255.9</v>
      </c>
      <c r="Y73" s="2"/>
      <c r="Z73" s="7">
        <f t="shared" si="43"/>
        <v>-0.50131111111111115</v>
      </c>
    </row>
    <row r="74" spans="1:26" s="28" customFormat="1" outlineLevel="1" collapsed="1" x14ac:dyDescent="0.25">
      <c r="A74" s="27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SUM(OSRRefD22_13x_0)</f>
        <v>7399.3399999999992</v>
      </c>
      <c r="E74" s="1"/>
      <c r="F74" s="5">
        <f t="shared" ref="F74:F83" si="44">IF(D$12=0,0,D74/D$12)</f>
        <v>4.0126659710758586E-2</v>
      </c>
      <c r="G74" s="1"/>
      <c r="H74" s="1">
        <f>SUM(OSRRefH22_13x_0)</f>
        <v>8018</v>
      </c>
      <c r="I74" s="1"/>
      <c r="J74" s="5">
        <f t="shared" ref="J74:J83" si="45">IF(H$12=0,0,H74/H$12)</f>
        <v>3.8749836891120597E-2</v>
      </c>
      <c r="K74" s="1"/>
      <c r="L74" s="1">
        <f t="shared" ref="L74:L83" si="46">+D74-H74</f>
        <v>-618.66000000000076</v>
      </c>
      <c r="M74" s="1"/>
      <c r="N74" s="5">
        <f t="shared" ref="N74:N83" si="47">IF(H74=0,0,L74/H74)</f>
        <v>-7.7158892491893338E-2</v>
      </c>
      <c r="O74" s="14"/>
      <c r="P74" s="1">
        <f>SUM(OSRRefP22_13x_0)</f>
        <v>22051.47</v>
      </c>
      <c r="Q74" s="1"/>
      <c r="R74" s="5">
        <f t="shared" ref="R74:R83" si="48">IF(P$12=0,0,P74/P$12)</f>
        <v>9.5431709466558018E-2</v>
      </c>
      <c r="S74" s="1"/>
      <c r="T74" s="1">
        <f>SUM(OSRRefT22_13x_0)</f>
        <v>17116</v>
      </c>
      <c r="U74" s="1"/>
      <c r="V74" s="5">
        <f t="shared" ref="V74:V83" si="49">IF(T$12=0,0,T74/T$12)</f>
        <v>6.1619103506125553E-2</v>
      </c>
      <c r="W74" s="1"/>
      <c r="X74" s="1">
        <f t="shared" ref="X74:X83" si="50">+P74-T74</f>
        <v>4935.4700000000012</v>
      </c>
      <c r="Y74" s="1"/>
      <c r="Z74" s="5">
        <f t="shared" ref="Z74:Z83" si="51">IF(T74=0,0,X74/T74)</f>
        <v>0.28835417153540555</v>
      </c>
    </row>
    <row r="75" spans="1:26" s="24" customFormat="1" hidden="1" outlineLevel="2" x14ac:dyDescent="0.25">
      <c r="A75" s="29"/>
      <c r="B75" s="11" t="str">
        <f>CONCATENATE("          ", "6235", " - ", "COVID-19 EXPENSES")</f>
        <v xml:space="preserve">          6235 - COVID-19 EXPENSES</v>
      </c>
      <c r="C75" s="11"/>
      <c r="D75" s="6">
        <v>3651.67</v>
      </c>
      <c r="E75" s="2"/>
      <c r="F75" s="7">
        <f t="shared" si="44"/>
        <v>1.9803025603092415E-2</v>
      </c>
      <c r="G75" s="2"/>
      <c r="H75" s="6">
        <v>4000</v>
      </c>
      <c r="I75" s="2"/>
      <c r="J75" s="7">
        <f t="shared" si="45"/>
        <v>1.9331422744385429E-2</v>
      </c>
      <c r="K75" s="2"/>
      <c r="L75" s="6">
        <f t="shared" si="46"/>
        <v>-348.32999999999993</v>
      </c>
      <c r="M75" s="2"/>
      <c r="N75" s="7">
        <f t="shared" si="47"/>
        <v>-8.7082499999999979E-2</v>
      </c>
      <c r="O75" s="11"/>
      <c r="P75" s="6">
        <v>11276.82</v>
      </c>
      <c r="Q75" s="2"/>
      <c r="R75" s="7">
        <f t="shared" si="48"/>
        <v>4.880247030908464E-2</v>
      </c>
      <c r="S75" s="2"/>
      <c r="T75" s="6">
        <v>8000</v>
      </c>
      <c r="U75" s="2"/>
      <c r="V75" s="7">
        <f t="shared" si="49"/>
        <v>2.8800702737146786E-2</v>
      </c>
      <c r="W75" s="2"/>
      <c r="X75" s="6">
        <f t="shared" si="50"/>
        <v>3276.8199999999997</v>
      </c>
      <c r="Y75" s="2"/>
      <c r="Z75" s="7">
        <f t="shared" si="51"/>
        <v>0.40960249999999998</v>
      </c>
    </row>
    <row r="76" spans="1:26" s="24" customFormat="1" hidden="1" outlineLevel="2" x14ac:dyDescent="0.25">
      <c r="A76" s="29"/>
      <c r="B76" s="11" t="str">
        <f>CONCATENATE("          ", "6237", " - ", "JANITORIAL SUPPLIES")</f>
        <v xml:space="preserve">          6237 - JANITORIAL SUPPLIES</v>
      </c>
      <c r="C76" s="11"/>
      <c r="D76" s="6">
        <v>2125.81</v>
      </c>
      <c r="E76" s="2"/>
      <c r="F76" s="7">
        <f t="shared" si="44"/>
        <v>1.1528278803207816E-2</v>
      </c>
      <c r="G76" s="2"/>
      <c r="H76" s="6">
        <v>3000</v>
      </c>
      <c r="I76" s="2"/>
      <c r="J76" s="7">
        <f t="shared" si="45"/>
        <v>1.4498567058289072E-2</v>
      </c>
      <c r="K76" s="2"/>
      <c r="L76" s="6">
        <f t="shared" si="46"/>
        <v>-874.19</v>
      </c>
      <c r="M76" s="2"/>
      <c r="N76" s="7">
        <f t="shared" si="47"/>
        <v>-0.29139666666666669</v>
      </c>
      <c r="O76" s="11"/>
      <c r="P76" s="6">
        <v>3542.72</v>
      </c>
      <c r="Q76" s="2"/>
      <c r="R76" s="7">
        <f t="shared" si="48"/>
        <v>1.5331759096394226E-2</v>
      </c>
      <c r="S76" s="2"/>
      <c r="T76" s="6">
        <v>6000</v>
      </c>
      <c r="U76" s="2"/>
      <c r="V76" s="7">
        <f t="shared" si="49"/>
        <v>2.1600527052860089E-2</v>
      </c>
      <c r="W76" s="2"/>
      <c r="X76" s="6">
        <f t="shared" si="50"/>
        <v>-2457.2800000000002</v>
      </c>
      <c r="Y76" s="2"/>
      <c r="Z76" s="7">
        <f t="shared" si="51"/>
        <v>-0.40954666666666673</v>
      </c>
    </row>
    <row r="77" spans="1:26" s="24" customFormat="1" hidden="1" outlineLevel="2" x14ac:dyDescent="0.25">
      <c r="A77" s="29"/>
      <c r="B77" s="11" t="str">
        <f>CONCATENATE("          ", "6239", " - ", "KITCHEN SUPPLIES")</f>
        <v xml:space="preserve">          6239 - KITCHEN SUPPLIES</v>
      </c>
      <c r="C77" s="11"/>
      <c r="D77" s="6">
        <v>553.01</v>
      </c>
      <c r="E77" s="2"/>
      <c r="F77" s="7">
        <f t="shared" si="44"/>
        <v>2.9989761366076713E-3</v>
      </c>
      <c r="G77" s="2"/>
      <c r="H77" s="6">
        <v>500</v>
      </c>
      <c r="I77" s="2"/>
      <c r="J77" s="7">
        <f t="shared" si="45"/>
        <v>2.4164278430481786E-3</v>
      </c>
      <c r="K77" s="2"/>
      <c r="L77" s="6">
        <f t="shared" si="46"/>
        <v>53.009999999999991</v>
      </c>
      <c r="M77" s="2"/>
      <c r="N77" s="7">
        <f t="shared" si="47"/>
        <v>0.10601999999999998</v>
      </c>
      <c r="O77" s="11"/>
      <c r="P77" s="6">
        <v>1896.25</v>
      </c>
      <c r="Q77" s="2"/>
      <c r="R77" s="7">
        <f t="shared" si="48"/>
        <v>8.2063635247881725E-3</v>
      </c>
      <c r="S77" s="2"/>
      <c r="T77" s="6">
        <v>1000</v>
      </c>
      <c r="U77" s="2"/>
      <c r="V77" s="7">
        <f t="shared" si="49"/>
        <v>3.6000878421433482E-3</v>
      </c>
      <c r="W77" s="2"/>
      <c r="X77" s="6">
        <f t="shared" si="50"/>
        <v>896.25</v>
      </c>
      <c r="Y77" s="2"/>
      <c r="Z77" s="7">
        <f t="shared" si="51"/>
        <v>0.89624999999999999</v>
      </c>
    </row>
    <row r="78" spans="1:26" s="24" customFormat="1" hidden="1" outlineLevel="2" x14ac:dyDescent="0.25">
      <c r="A78" s="29"/>
      <c r="B78" s="11" t="str">
        <f>CONCATENATE("          ", "6241", " - ", "OFFICE EXPENSE")</f>
        <v xml:space="preserve">          6241 - OFFICE EXPENSE</v>
      </c>
      <c r="C78" s="11"/>
      <c r="D78" s="6">
        <v>765.15</v>
      </c>
      <c r="E78" s="2"/>
      <c r="F78" s="7">
        <f t="shared" si="44"/>
        <v>4.1494124716105673E-3</v>
      </c>
      <c r="G78" s="2"/>
      <c r="H78" s="6">
        <v>150</v>
      </c>
      <c r="I78" s="2"/>
      <c r="J78" s="7">
        <f t="shared" si="45"/>
        <v>7.2492835291445364E-4</v>
      </c>
      <c r="K78" s="2"/>
      <c r="L78" s="6">
        <f t="shared" si="46"/>
        <v>615.15</v>
      </c>
      <c r="M78" s="2"/>
      <c r="N78" s="7">
        <f t="shared" si="47"/>
        <v>4.101</v>
      </c>
      <c r="O78" s="11"/>
      <c r="P78" s="6">
        <v>870.38</v>
      </c>
      <c r="Q78" s="2"/>
      <c r="R78" s="7">
        <f t="shared" si="48"/>
        <v>3.7667262674779853E-3</v>
      </c>
      <c r="S78" s="2"/>
      <c r="T78" s="6">
        <v>450</v>
      </c>
      <c r="U78" s="2"/>
      <c r="V78" s="7">
        <f t="shared" si="49"/>
        <v>1.6200395289645067E-3</v>
      </c>
      <c r="W78" s="2"/>
      <c r="X78" s="6">
        <f t="shared" si="50"/>
        <v>420.38</v>
      </c>
      <c r="Y78" s="2"/>
      <c r="Z78" s="7">
        <f t="shared" si="51"/>
        <v>0.93417777777777777</v>
      </c>
    </row>
    <row r="79" spans="1:26" s="24" customFormat="1" hidden="1" outlineLevel="2" x14ac:dyDescent="0.25">
      <c r="A79" s="29"/>
      <c r="B79" s="11" t="str">
        <f>CONCATENATE("          ", "6243", " - ", "PAPER SUPPLIES")</f>
        <v xml:space="preserve">          6243 - PAPER SUPPLIES</v>
      </c>
      <c r="C79" s="11"/>
      <c r="D79" s="6"/>
      <c r="E79" s="2"/>
      <c r="F79" s="7">
        <f t="shared" si="44"/>
        <v>0</v>
      </c>
      <c r="G79" s="2"/>
      <c r="H79" s="6"/>
      <c r="I79" s="2"/>
      <c r="J79" s="7">
        <f t="shared" si="45"/>
        <v>0</v>
      </c>
      <c r="K79" s="2"/>
      <c r="L79" s="6">
        <f t="shared" si="46"/>
        <v>0</v>
      </c>
      <c r="M79" s="2"/>
      <c r="N79" s="7">
        <f t="shared" si="47"/>
        <v>0</v>
      </c>
      <c r="O79" s="11"/>
      <c r="P79" s="6">
        <v>650.62</v>
      </c>
      <c r="Q79" s="2"/>
      <c r="R79" s="7">
        <f t="shared" si="48"/>
        <v>2.8156752730376694E-3</v>
      </c>
      <c r="S79" s="2"/>
      <c r="T79" s="6"/>
      <c r="U79" s="2"/>
      <c r="V79" s="7">
        <f t="shared" si="49"/>
        <v>0</v>
      </c>
      <c r="W79" s="2"/>
      <c r="X79" s="6">
        <f t="shared" si="50"/>
        <v>650.62</v>
      </c>
      <c r="Y79" s="2"/>
      <c r="Z79" s="7">
        <f t="shared" si="51"/>
        <v>0</v>
      </c>
    </row>
    <row r="80" spans="1:26" s="24" customFormat="1" hidden="1" outlineLevel="2" x14ac:dyDescent="0.25">
      <c r="A80" s="29"/>
      <c r="B80" s="11" t="str">
        <f>CONCATENATE("          ", "6244", " - ", "SAFETY SUPPLY EXPENSE")</f>
        <v xml:space="preserve">          6244 - SAFETY SUPPLY EXPENSE</v>
      </c>
      <c r="C80" s="11"/>
      <c r="D80" s="6"/>
      <c r="E80" s="2"/>
      <c r="F80" s="7">
        <f t="shared" si="44"/>
        <v>0</v>
      </c>
      <c r="G80" s="2"/>
      <c r="H80" s="6"/>
      <c r="I80" s="2"/>
      <c r="J80" s="7">
        <f t="shared" si="45"/>
        <v>0</v>
      </c>
      <c r="K80" s="2"/>
      <c r="L80" s="6">
        <f t="shared" si="46"/>
        <v>0</v>
      </c>
      <c r="M80" s="2"/>
      <c r="N80" s="7">
        <f t="shared" si="47"/>
        <v>0</v>
      </c>
      <c r="O80" s="11"/>
      <c r="P80" s="6"/>
      <c r="Q80" s="2"/>
      <c r="R80" s="7">
        <f t="shared" si="48"/>
        <v>0</v>
      </c>
      <c r="S80" s="2"/>
      <c r="T80" s="6">
        <v>80</v>
      </c>
      <c r="U80" s="2"/>
      <c r="V80" s="7">
        <f t="shared" si="49"/>
        <v>2.8800702737146784E-4</v>
      </c>
      <c r="W80" s="2"/>
      <c r="X80" s="6">
        <f t="shared" si="50"/>
        <v>-80</v>
      </c>
      <c r="Y80" s="2"/>
      <c r="Z80" s="7">
        <f t="shared" si="51"/>
        <v>-1</v>
      </c>
    </row>
    <row r="81" spans="1:26" s="24" customFormat="1" hidden="1" outlineLevel="2" x14ac:dyDescent="0.25">
      <c r="A81" s="29"/>
      <c r="B81" s="11" t="str">
        <f>CONCATENATE("          ", "6245", " - ", "PRINTING")</f>
        <v xml:space="preserve">          6245 - PRINTING</v>
      </c>
      <c r="C81" s="11"/>
      <c r="D81" s="6"/>
      <c r="E81" s="2"/>
      <c r="F81" s="7">
        <f t="shared" si="44"/>
        <v>0</v>
      </c>
      <c r="G81" s="2"/>
      <c r="H81" s="6"/>
      <c r="I81" s="2"/>
      <c r="J81" s="7">
        <f t="shared" si="45"/>
        <v>0</v>
      </c>
      <c r="K81" s="2"/>
      <c r="L81" s="6">
        <f t="shared" si="46"/>
        <v>0</v>
      </c>
      <c r="M81" s="2"/>
      <c r="N81" s="7">
        <f t="shared" si="47"/>
        <v>0</v>
      </c>
      <c r="O81" s="11"/>
      <c r="P81" s="6"/>
      <c r="Q81" s="2"/>
      <c r="R81" s="7">
        <f t="shared" si="48"/>
        <v>0</v>
      </c>
      <c r="S81" s="2"/>
      <c r="T81" s="6">
        <v>500</v>
      </c>
      <c r="U81" s="2"/>
      <c r="V81" s="7">
        <f t="shared" si="49"/>
        <v>1.8000439210716741E-3</v>
      </c>
      <c r="W81" s="2"/>
      <c r="X81" s="6">
        <f t="shared" si="50"/>
        <v>-500</v>
      </c>
      <c r="Y81" s="2"/>
      <c r="Z81" s="7">
        <f t="shared" si="51"/>
        <v>-1</v>
      </c>
    </row>
    <row r="82" spans="1:26" s="24" customFormat="1" hidden="1" outlineLevel="2" x14ac:dyDescent="0.25">
      <c r="A82" s="29"/>
      <c r="B82" s="11" t="str">
        <f>CONCATENATE("          ", "6247", " - ", "STORE SUPPLIES")</f>
        <v xml:space="preserve">          6247 - STORE SUPPLIES</v>
      </c>
      <c r="C82" s="11"/>
      <c r="D82" s="6"/>
      <c r="E82" s="2"/>
      <c r="F82" s="7">
        <f t="shared" si="44"/>
        <v>0</v>
      </c>
      <c r="G82" s="2"/>
      <c r="H82" s="6">
        <v>18</v>
      </c>
      <c r="I82" s="2"/>
      <c r="J82" s="7">
        <f t="shared" si="45"/>
        <v>8.6991402349734429E-5</v>
      </c>
      <c r="K82" s="2"/>
      <c r="L82" s="6">
        <f t="shared" si="46"/>
        <v>-18</v>
      </c>
      <c r="M82" s="2"/>
      <c r="N82" s="7">
        <f t="shared" si="47"/>
        <v>-1</v>
      </c>
      <c r="O82" s="11"/>
      <c r="P82" s="6"/>
      <c r="Q82" s="2"/>
      <c r="R82" s="7">
        <f t="shared" si="48"/>
        <v>0</v>
      </c>
      <c r="S82" s="2"/>
      <c r="T82" s="6">
        <v>36</v>
      </c>
      <c r="U82" s="2"/>
      <c r="V82" s="7">
        <f t="shared" si="49"/>
        <v>1.2960316231716053E-4</v>
      </c>
      <c r="W82" s="2"/>
      <c r="X82" s="6">
        <f t="shared" si="50"/>
        <v>-36</v>
      </c>
      <c r="Y82" s="2"/>
      <c r="Z82" s="7">
        <f t="shared" si="51"/>
        <v>-1</v>
      </c>
    </row>
    <row r="83" spans="1:26" s="24" customFormat="1" hidden="1" outlineLevel="2" x14ac:dyDescent="0.25">
      <c r="A83" s="29"/>
      <c r="B83" s="11" t="str">
        <f>CONCATENATE("          ", "6248", " - ", "UNIFORMS")</f>
        <v xml:space="preserve">          6248 - UNIFORMS</v>
      </c>
      <c r="C83" s="11"/>
      <c r="D83" s="6">
        <v>303.7</v>
      </c>
      <c r="E83" s="2"/>
      <c r="F83" s="7">
        <f t="shared" si="44"/>
        <v>1.6469666962401219E-3</v>
      </c>
      <c r="G83" s="2"/>
      <c r="H83" s="6">
        <v>350</v>
      </c>
      <c r="I83" s="2"/>
      <c r="J83" s="7">
        <f t="shared" si="45"/>
        <v>1.691499490133725E-3</v>
      </c>
      <c r="K83" s="2"/>
      <c r="L83" s="6">
        <f t="shared" si="46"/>
        <v>-46.300000000000011</v>
      </c>
      <c r="M83" s="2"/>
      <c r="N83" s="7">
        <f t="shared" si="47"/>
        <v>-0.13228571428571431</v>
      </c>
      <c r="O83" s="11"/>
      <c r="P83" s="6">
        <v>3814.68</v>
      </c>
      <c r="Q83" s="2"/>
      <c r="R83" s="7">
        <f t="shared" si="48"/>
        <v>1.6508714995775317E-2</v>
      </c>
      <c r="S83" s="2"/>
      <c r="T83" s="6">
        <v>1050</v>
      </c>
      <c r="U83" s="2"/>
      <c r="V83" s="7">
        <f t="shared" si="49"/>
        <v>3.7800922342505158E-3</v>
      </c>
      <c r="W83" s="2"/>
      <c r="X83" s="6">
        <f t="shared" si="50"/>
        <v>2764.68</v>
      </c>
      <c r="Y83" s="2"/>
      <c r="Z83" s="7">
        <f t="shared" si="51"/>
        <v>2.6330285714285711</v>
      </c>
    </row>
    <row r="84" spans="1:26" s="28" customFormat="1" outlineLevel="1" collapsed="1" x14ac:dyDescent="0.25">
      <c r="A84" s="27"/>
      <c r="B84" s="14" t="str">
        <f>CONCATENATE("     ","Telephone/Data Lines                              ")</f>
        <v xml:space="preserve">     Telephone/Data Lines                              </v>
      </c>
      <c r="C84" s="14"/>
      <c r="D84" s="1">
        <f>SUM(OSRRefD22_14x_0)</f>
        <v>410</v>
      </c>
      <c r="E84" s="1"/>
      <c r="F84" s="5">
        <f t="shared" ref="F84:F86" si="52">IF(D$12=0,0,D84/D$12)</f>
        <v>2.2234321549504444E-3</v>
      </c>
      <c r="G84" s="1"/>
      <c r="H84" s="1">
        <f>SUM(OSRRefH22_14x_0)</f>
        <v>310</v>
      </c>
      <c r="I84" s="1"/>
      <c r="J84" s="5">
        <f t="shared" ref="J84:J86" si="53">IF(H$12=0,0,H84/H$12)</f>
        <v>1.4981852626898709E-3</v>
      </c>
      <c r="K84" s="1"/>
      <c r="L84" s="1">
        <f t="shared" ref="L84:L86" si="54">+D84-H84</f>
        <v>100</v>
      </c>
      <c r="M84" s="1"/>
      <c r="N84" s="5">
        <f t="shared" ref="N84:N86" si="55">IF(H84=0,0,L84/H84)</f>
        <v>0.32258064516129031</v>
      </c>
      <c r="O84" s="14"/>
      <c r="P84" s="1">
        <f>SUM(OSRRefP22_14x_0)</f>
        <v>928</v>
      </c>
      <c r="Q84" s="1"/>
      <c r="R84" s="5">
        <f t="shared" ref="R84:R86" si="56">IF(P$12=0,0,P84/P$12)</f>
        <v>4.0160871989470921E-3</v>
      </c>
      <c r="S84" s="1"/>
      <c r="T84" s="1">
        <f>SUM(OSRRefT22_14x_0)</f>
        <v>930</v>
      </c>
      <c r="U84" s="1"/>
      <c r="V84" s="5">
        <f t="shared" ref="V84:V86" si="57">IF(T$12=0,0,T84/T$12)</f>
        <v>3.3480816931933141E-3</v>
      </c>
      <c r="W84" s="1"/>
      <c r="X84" s="1">
        <f t="shared" ref="X84:X86" si="58">+P84-T84</f>
        <v>-2</v>
      </c>
      <c r="Y84" s="1"/>
      <c r="Z84" s="5">
        <f t="shared" ref="Z84:Z86" si="59">IF(T84=0,0,X84/T84)</f>
        <v>-2.1505376344086021E-3</v>
      </c>
    </row>
    <row r="85" spans="1:26" s="24" customFormat="1" hidden="1" outlineLevel="2" x14ac:dyDescent="0.25">
      <c r="A85" s="29"/>
      <c r="B85" s="11" t="str">
        <f>CONCATENATE("          ", "6303", " - ", "DATA PHONE LINES")</f>
        <v xml:space="preserve">          6303 - DATA PHONE LINES</v>
      </c>
      <c r="C85" s="11"/>
      <c r="D85" s="6"/>
      <c r="E85" s="2"/>
      <c r="F85" s="7">
        <f t="shared" si="52"/>
        <v>0</v>
      </c>
      <c r="G85" s="2"/>
      <c r="H85" s="6">
        <v>310</v>
      </c>
      <c r="I85" s="2"/>
      <c r="J85" s="7">
        <f t="shared" si="53"/>
        <v>1.4981852626898709E-3</v>
      </c>
      <c r="K85" s="2"/>
      <c r="L85" s="6">
        <f t="shared" si="54"/>
        <v>-310</v>
      </c>
      <c r="M85" s="2"/>
      <c r="N85" s="7">
        <f t="shared" si="55"/>
        <v>-1</v>
      </c>
      <c r="O85" s="11"/>
      <c r="P85" s="6"/>
      <c r="Q85" s="2"/>
      <c r="R85" s="7">
        <f t="shared" si="56"/>
        <v>0</v>
      </c>
      <c r="S85" s="2"/>
      <c r="T85" s="6">
        <v>930</v>
      </c>
      <c r="U85" s="2"/>
      <c r="V85" s="7">
        <f t="shared" si="57"/>
        <v>3.3480816931933141E-3</v>
      </c>
      <c r="W85" s="2"/>
      <c r="X85" s="6">
        <f t="shared" si="58"/>
        <v>-930</v>
      </c>
      <c r="Y85" s="2"/>
      <c r="Z85" s="7">
        <f t="shared" si="59"/>
        <v>-1</v>
      </c>
    </row>
    <row r="86" spans="1:26" s="24" customFormat="1" hidden="1" outlineLevel="2" x14ac:dyDescent="0.25">
      <c r="A86" s="29"/>
      <c r="B86" s="11" t="str">
        <f>CONCATENATE("          ", "6309", " - ", "TELEPHONE")</f>
        <v xml:space="preserve">          6309 - TELEPHONE</v>
      </c>
      <c r="C86" s="11"/>
      <c r="D86" s="6">
        <v>410</v>
      </c>
      <c r="E86" s="2"/>
      <c r="F86" s="7">
        <f t="shared" si="52"/>
        <v>2.2234321549504444E-3</v>
      </c>
      <c r="G86" s="2"/>
      <c r="H86" s="6"/>
      <c r="I86" s="2"/>
      <c r="J86" s="7">
        <f t="shared" si="53"/>
        <v>0</v>
      </c>
      <c r="K86" s="2"/>
      <c r="L86" s="6">
        <f t="shared" si="54"/>
        <v>410</v>
      </c>
      <c r="M86" s="2"/>
      <c r="N86" s="7">
        <f t="shared" si="55"/>
        <v>0</v>
      </c>
      <c r="O86" s="11"/>
      <c r="P86" s="6">
        <v>928</v>
      </c>
      <c r="Q86" s="2"/>
      <c r="R86" s="7">
        <f t="shared" si="56"/>
        <v>4.0160871989470921E-3</v>
      </c>
      <c r="S86" s="2"/>
      <c r="T86" s="6"/>
      <c r="U86" s="2"/>
      <c r="V86" s="7">
        <f t="shared" si="57"/>
        <v>0</v>
      </c>
      <c r="W86" s="2"/>
      <c r="X86" s="6">
        <f t="shared" si="58"/>
        <v>928</v>
      </c>
      <c r="Y86" s="2"/>
      <c r="Z86" s="7">
        <f t="shared" si="59"/>
        <v>0</v>
      </c>
    </row>
    <row r="87" spans="1:26" s="28" customFormat="1" outlineLevel="1" collapsed="1" x14ac:dyDescent="0.25">
      <c r="A87" s="27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SUM(OSRRefD22_15x_0)</f>
        <v>0</v>
      </c>
      <c r="E87" s="1"/>
      <c r="F87" s="5">
        <f t="shared" ref="F87:F88" si="60">IF(D$12=0,0,D87/D$12)</f>
        <v>0</v>
      </c>
      <c r="G87" s="1"/>
      <c r="H87" s="1">
        <f>SUM(OSRRefH22_15x_0)</f>
        <v>350</v>
      </c>
      <c r="I87" s="1"/>
      <c r="J87" s="5">
        <f t="shared" ref="J87:J88" si="61">IF(H$12=0,0,H87/H$12)</f>
        <v>1.691499490133725E-3</v>
      </c>
      <c r="K87" s="1"/>
      <c r="L87" s="1">
        <f t="shared" ref="L87:L88" si="62">+D87-H87</f>
        <v>-350</v>
      </c>
      <c r="M87" s="1"/>
      <c r="N87" s="5">
        <f t="shared" ref="N87:N88" si="63">IF(H87=0,0,L87/H87)</f>
        <v>-1</v>
      </c>
      <c r="O87" s="14"/>
      <c r="P87" s="1">
        <f>SUM(OSRRefP22_15x_0)</f>
        <v>350</v>
      </c>
      <c r="Q87" s="1"/>
      <c r="R87" s="5">
        <f t="shared" ref="R87:R88" si="64">IF(P$12=0,0,P87/P$12)</f>
        <v>1.5146880599477179E-3</v>
      </c>
      <c r="S87" s="1"/>
      <c r="T87" s="1">
        <f>SUM(OSRRefT22_15x_0)</f>
        <v>700</v>
      </c>
      <c r="U87" s="1"/>
      <c r="V87" s="5">
        <f t="shared" ref="V87:V88" si="65">IF(T$12=0,0,T87/T$12)</f>
        <v>2.520061489500344E-3</v>
      </c>
      <c r="W87" s="1"/>
      <c r="X87" s="1">
        <f t="shared" ref="X87:X88" si="66">+P87-T87</f>
        <v>-350</v>
      </c>
      <c r="Y87" s="1"/>
      <c r="Z87" s="5">
        <f t="shared" ref="Z87:Z88" si="67">IF(T87=0,0,X87/T87)</f>
        <v>-0.5</v>
      </c>
    </row>
    <row r="88" spans="1:26" s="24" customFormat="1" hidden="1" outlineLevel="2" x14ac:dyDescent="0.25">
      <c r="A88" s="29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0"/>
        <v>0</v>
      </c>
      <c r="G88" s="2"/>
      <c r="H88" s="6">
        <v>350</v>
      </c>
      <c r="I88" s="2"/>
      <c r="J88" s="7">
        <f t="shared" si="61"/>
        <v>1.691499490133725E-3</v>
      </c>
      <c r="K88" s="2"/>
      <c r="L88" s="6">
        <f t="shared" si="62"/>
        <v>-350</v>
      </c>
      <c r="M88" s="2"/>
      <c r="N88" s="7">
        <f t="shared" si="63"/>
        <v>-1</v>
      </c>
      <c r="O88" s="11"/>
      <c r="P88" s="6">
        <v>350</v>
      </c>
      <c r="Q88" s="2"/>
      <c r="R88" s="7">
        <f t="shared" si="64"/>
        <v>1.5146880599477179E-3</v>
      </c>
      <c r="S88" s="2"/>
      <c r="T88" s="6">
        <v>700</v>
      </c>
      <c r="U88" s="2"/>
      <c r="V88" s="7">
        <f t="shared" si="65"/>
        <v>2.520061489500344E-3</v>
      </c>
      <c r="W88" s="2"/>
      <c r="X88" s="6">
        <f t="shared" si="66"/>
        <v>-350</v>
      </c>
      <c r="Y88" s="2"/>
      <c r="Z88" s="7">
        <f t="shared" si="67"/>
        <v>-0.5</v>
      </c>
    </row>
    <row r="89" spans="1:26" s="61" customFormat="1" x14ac:dyDescent="0.25">
      <c r="A89" s="36"/>
      <c r="B89" s="36"/>
      <c r="C89" s="36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6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5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6" t="s">
        <v>3</v>
      </c>
      <c r="C92" s="26"/>
      <c r="D92" s="20">
        <f>+D23-D25+D90</f>
        <v>6713.8800000000047</v>
      </c>
      <c r="E92" s="13"/>
      <c r="F92" s="21">
        <f>IF(D$12=0,0,D92/D$12)</f>
        <v>3.6409406527996832E-2</v>
      </c>
      <c r="G92" s="13"/>
      <c r="H92" s="20">
        <f>+H23-H25+H90</f>
        <v>29362.371172230705</v>
      </c>
      <c r="I92" s="13"/>
      <c r="J92" s="21">
        <f>IF(H$12=0,0,H92/H$12)</f>
        <v>0.14190410247698693</v>
      </c>
      <c r="K92" s="16"/>
      <c r="L92" s="20">
        <f>+D92-H92</f>
        <v>-22648.491172230701</v>
      </c>
      <c r="M92" s="16"/>
      <c r="N92" s="21">
        <f>IF(H92=0,0,L92/H92)</f>
        <v>-0.77134407978775166</v>
      </c>
      <c r="O92" s="25"/>
      <c r="P92" s="20">
        <f>+P23-P25+P90</f>
        <v>-138705.66999999987</v>
      </c>
      <c r="Q92" s="13"/>
      <c r="R92" s="21">
        <f>IF(P$12=0,0,P92/P$12)</f>
        <v>-0.60027377770299484</v>
      </c>
      <c r="S92" s="13"/>
      <c r="T92" s="20">
        <f>+T23-T25+T90</f>
        <v>-139397.74913250009</v>
      </c>
      <c r="U92" s="13"/>
      <c r="V92" s="21">
        <f>IF(T$12=0,0,T92/T$12)</f>
        <v>-0.50184414187406201</v>
      </c>
      <c r="W92" s="16"/>
      <c r="X92" s="20">
        <f>+P92-T92</f>
        <v>692.07913250022102</v>
      </c>
      <c r="Y92" s="16"/>
      <c r="Z92" s="21">
        <f>IF(T92=0,0,X92/T92)</f>
        <v>-4.9647798246899039E-3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2"/>
      <c r="B94" s="10" t="s">
        <v>14</v>
      </c>
      <c r="C94" s="10"/>
      <c r="D94" s="4">
        <v>34927.219999999994</v>
      </c>
      <c r="E94" s="4"/>
      <c r="F94" s="12">
        <f>IF(D$12=0,0,D94/D$12)</f>
        <v>0.18941049763665427</v>
      </c>
      <c r="G94" s="4"/>
      <c r="H94" s="4">
        <v>28587</v>
      </c>
      <c r="I94" s="4"/>
      <c r="J94" s="12">
        <f>IF(H$12=0,0,H94/H$12)</f>
        <v>0.13815684549843657</v>
      </c>
      <c r="K94" s="4"/>
      <c r="L94" s="4">
        <f>+D94-H94</f>
        <v>6340.2199999999939</v>
      </c>
      <c r="M94" s="4"/>
      <c r="N94" s="12">
        <f>IF(H94=0,0,L94/H94)</f>
        <v>0.22178682617973183</v>
      </c>
      <c r="O94" s="10"/>
      <c r="P94" s="4">
        <v>42807</v>
      </c>
      <c r="Q94" s="4"/>
      <c r="R94" s="12">
        <f>IF(P$12=0,0,P94/P$12)</f>
        <v>0.18525500509194848</v>
      </c>
      <c r="S94" s="4"/>
      <c r="T94" s="4">
        <v>40158</v>
      </c>
      <c r="U94" s="4"/>
      <c r="V94" s="12">
        <f>IF(T$12=0,0,T94/T$12)</f>
        <v>0.14457232756479257</v>
      </c>
      <c r="W94" s="4"/>
      <c r="X94" s="4">
        <f>+P94-T94</f>
        <v>2649</v>
      </c>
      <c r="Y94" s="4"/>
      <c r="Z94" s="12">
        <f>IF(T94=0,0,X94/T94)</f>
        <v>6.596444046018228E-2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4</v>
      </c>
      <c r="C96" s="26"/>
      <c r="D96" s="33">
        <f>+D92-D94</f>
        <v>-28213.339999999989</v>
      </c>
      <c r="E96" s="13"/>
      <c r="F96" s="34">
        <f>IF(D$12=0,0,D96/D$12)</f>
        <v>-0.15300109110865745</v>
      </c>
      <c r="G96" s="13"/>
      <c r="H96" s="33">
        <f>+H92-H94</f>
        <v>775.37117223070527</v>
      </c>
      <c r="I96" s="13"/>
      <c r="J96" s="34">
        <f>IF(H$12=0,0,H96/H$12)</f>
        <v>3.7472569785503619E-3</v>
      </c>
      <c r="K96" s="16"/>
      <c r="L96" s="33">
        <f>D96-H96</f>
        <v>-28988.711172230695</v>
      </c>
      <c r="M96" s="16"/>
      <c r="N96" s="34">
        <f>IF(H96=0,0,L96/H96)</f>
        <v>-37.386882838101364</v>
      </c>
      <c r="O96" s="25"/>
      <c r="P96" s="33">
        <f>+P92-P94</f>
        <v>-181512.66999999987</v>
      </c>
      <c r="Q96" s="13"/>
      <c r="R96" s="34">
        <f>IF(P$12=0,0,P96/P$12)</f>
        <v>-0.78552878279494331</v>
      </c>
      <c r="S96" s="13"/>
      <c r="T96" s="33">
        <f>+T92-T94</f>
        <v>-179555.74913250009</v>
      </c>
      <c r="U96" s="13"/>
      <c r="V96" s="34">
        <f>IF(T$12=0,0,T96/T$12)</f>
        <v>-0.64641646943885467</v>
      </c>
      <c r="W96" s="16"/>
      <c r="X96" s="33">
        <f>P96-T96</f>
        <v>-1956.920867499779</v>
      </c>
      <c r="Y96" s="16"/>
      <c r="Z96" s="34">
        <f>IF(T96=0,0,X96/T96)</f>
        <v>1.0898681200431531E-2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5</v>
      </c>
      <c r="C99" s="26"/>
      <c r="D99" s="31">
        <f>SUM(D96:D98)</f>
        <v>-28213.339999999989</v>
      </c>
      <c r="E99" s="13"/>
      <c r="F99" s="32">
        <f>IF(D$12=0,0,D99/D$12)</f>
        <v>-0.15300109110865745</v>
      </c>
      <c r="G99" s="13"/>
      <c r="H99" s="31">
        <f>SUM(H96:H98)</f>
        <v>775.37117223070527</v>
      </c>
      <c r="I99" s="13"/>
      <c r="J99" s="32">
        <f>IF(H$12=0,0,H99/H$12)</f>
        <v>3.7472569785503619E-3</v>
      </c>
      <c r="K99" s="16"/>
      <c r="L99" s="31">
        <f>+D99-H99</f>
        <v>-28988.711172230695</v>
      </c>
      <c r="M99" s="16"/>
      <c r="N99" s="32">
        <f>IF(H99=0,0,L99/H99)</f>
        <v>-37.386882838101364</v>
      </c>
      <c r="O99" s="25"/>
      <c r="P99" s="31">
        <f>SUM(P96:P98)</f>
        <v>-181512.66999999987</v>
      </c>
      <c r="Q99" s="13"/>
      <c r="R99" s="32">
        <f>IF(P$12=0,0,P99/P$12)</f>
        <v>-0.78552878279494331</v>
      </c>
      <c r="S99" s="13"/>
      <c r="T99" s="31">
        <f>SUM(T96:T98)</f>
        <v>-179555.74913250009</v>
      </c>
      <c r="U99" s="13"/>
      <c r="V99" s="32">
        <f>IF(T$12=0,0,T99/T$12)</f>
        <v>-0.64641646943885467</v>
      </c>
      <c r="W99" s="16"/>
      <c r="X99" s="31">
        <f>+P99-T99</f>
        <v>-1956.920867499779</v>
      </c>
      <c r="Y99" s="16"/>
      <c r="Z99" s="32">
        <f>IF(T99=0,0,X99/T99)</f>
        <v>1.0898681200431531E-2</v>
      </c>
    </row>
    <row r="100" spans="1:26" ht="15.75" thickTop="1" x14ac:dyDescent="0.25">
      <c r="A100" s="9"/>
      <c r="C100" s="9"/>
      <c r="D100" s="17"/>
      <c r="E100" s="17"/>
      <c r="G100" s="17"/>
      <c r="H100" s="17"/>
      <c r="I100" s="17"/>
      <c r="J100" s="43"/>
      <c r="K100" s="17"/>
      <c r="L100" s="17"/>
      <c r="M100" s="17"/>
      <c r="P100" s="17"/>
      <c r="Q100" s="17"/>
      <c r="R100" s="43"/>
      <c r="S100" s="17"/>
      <c r="T100" s="17"/>
      <c r="U100" s="17"/>
      <c r="V100" s="43"/>
      <c r="W100" s="17"/>
      <c r="X100" s="17"/>
    </row>
    <row r="101" spans="1:26" x14ac:dyDescent="0.25">
      <c r="A101" s="9"/>
      <c r="B101" s="55">
        <v>44123.572539120367</v>
      </c>
      <c r="D101" s="17"/>
      <c r="E101" s="17"/>
      <c r="G101" s="17"/>
      <c r="H101" s="17"/>
      <c r="I101" s="17"/>
      <c r="J101" s="43"/>
      <c r="K101" s="17"/>
      <c r="L101" s="17"/>
      <c r="M101" s="17"/>
      <c r="P101" s="17"/>
      <c r="Q101" s="17"/>
      <c r="R101" s="43"/>
      <c r="S101" s="17"/>
      <c r="T101" s="17"/>
      <c r="U101" s="17"/>
      <c r="V101" s="43"/>
      <c r="W101" s="17"/>
      <c r="X101" s="17"/>
    </row>
    <row r="102" spans="1:26" x14ac:dyDescent="0.25">
      <c r="A102" s="9"/>
      <c r="B102" s="53" t="s">
        <v>314</v>
      </c>
      <c r="D102" s="17"/>
      <c r="E102" s="17"/>
      <c r="G102" s="17"/>
      <c r="H102" s="17"/>
      <c r="I102" s="17"/>
      <c r="J102" s="43"/>
      <c r="K102" s="17"/>
      <c r="L102" s="17"/>
      <c r="M102" s="17"/>
      <c r="P102" s="17"/>
      <c r="Q102" s="17"/>
      <c r="R102" s="43"/>
      <c r="S102" s="17"/>
      <c r="T102" s="17"/>
      <c r="U102" s="17"/>
      <c r="V102" s="43"/>
      <c r="W102" s="17"/>
      <c r="X102" s="17"/>
    </row>
    <row r="103" spans="1:26" x14ac:dyDescent="0.25">
      <c r="A103" s="9"/>
      <c r="B103" s="62"/>
      <c r="D103" s="17"/>
      <c r="E103" s="17"/>
      <c r="G103" s="17"/>
      <c r="H103" s="17"/>
      <c r="I103" s="17"/>
      <c r="J103" s="43"/>
      <c r="K103" s="17"/>
      <c r="L103" s="17"/>
      <c r="M103" s="17"/>
      <c r="P103" s="17"/>
      <c r="Q103" s="17"/>
      <c r="R103" s="43"/>
      <c r="S103" s="17"/>
      <c r="T103" s="17"/>
      <c r="U103" s="17"/>
      <c r="V103" s="43"/>
      <c r="W103" s="17"/>
      <c r="X103" s="17"/>
    </row>
    <row r="104" spans="1:26" x14ac:dyDescent="0.25">
      <c r="D104" s="17"/>
      <c r="E104" s="17"/>
      <c r="G104" s="17"/>
      <c r="H104" s="17"/>
      <c r="I104" s="17"/>
      <c r="J104" s="43"/>
      <c r="K104" s="17"/>
      <c r="L104" s="17"/>
      <c r="M104" s="17"/>
      <c r="P104" s="17"/>
      <c r="Q104" s="17"/>
      <c r="R104" s="43"/>
      <c r="S104" s="17"/>
      <c r="T104" s="17"/>
      <c r="U104" s="17"/>
      <c r="V104" s="43"/>
      <c r="W104" s="17"/>
      <c r="X104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","450", " - ", "Beachside Dining Hall")</f>
        <v>Department 450 - Beachside Dining Hall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12545.13</v>
      </c>
      <c r="E12" s="4"/>
      <c r="F12" s="12"/>
      <c r="G12" s="4"/>
      <c r="H12" s="4">
        <f>SUM(OSRRefH13x_0)</f>
        <v>72328</v>
      </c>
      <c r="I12" s="4"/>
      <c r="J12" s="12"/>
      <c r="K12" s="4"/>
      <c r="L12" s="4">
        <f t="shared" ref="L12:L14" si="0">+D12-H12</f>
        <v>-59782.87</v>
      </c>
      <c r="M12" s="4"/>
      <c r="N12" s="12">
        <f t="shared" ref="N12:N14" si="1">IF(H12=0,0,L12/H12)</f>
        <v>-0.82655223426612101</v>
      </c>
      <c r="O12" s="10"/>
      <c r="P12" s="4">
        <f>SUM(OSRRefP13x_0)</f>
        <v>12545.13</v>
      </c>
      <c r="Q12" s="4"/>
      <c r="R12" s="12"/>
      <c r="S12" s="4"/>
      <c r="T12" s="4">
        <f>SUM(OSRRefT13x_0)</f>
        <v>89126</v>
      </c>
      <c r="U12" s="4"/>
      <c r="V12" s="12"/>
      <c r="W12" s="4"/>
      <c r="X12" s="4">
        <f t="shared" ref="X12:X14" si="2">+P12-T12</f>
        <v>-76580.87</v>
      </c>
      <c r="Y12" s="4"/>
      <c r="Z12" s="12">
        <f t="shared" ref="Z12:Z14" si="3">IF(T12=0,0,X12/T12)</f>
        <v>-0.85924275744451672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0</f>
        <v>0</v>
      </c>
      <c r="E13" s="2"/>
      <c r="F13" s="22"/>
      <c r="G13" s="2"/>
      <c r="H13" s="2">
        <v>72328</v>
      </c>
      <c r="I13" s="2"/>
      <c r="J13" s="22"/>
      <c r="K13" s="2"/>
      <c r="L13" s="2">
        <f t="shared" si="0"/>
        <v>-72328</v>
      </c>
      <c r="M13" s="2"/>
      <c r="N13" s="22">
        <f t="shared" si="1"/>
        <v>-1</v>
      </c>
      <c r="O13" s="11"/>
      <c r="P13" s="2">
        <f>0</f>
        <v>0</v>
      </c>
      <c r="Q13" s="2"/>
      <c r="R13" s="22"/>
      <c r="S13" s="2"/>
      <c r="T13" s="2">
        <v>89126</v>
      </c>
      <c r="U13" s="2"/>
      <c r="V13" s="22"/>
      <c r="W13" s="2"/>
      <c r="X13" s="2">
        <f t="shared" si="2"/>
        <v>-89126</v>
      </c>
      <c r="Y13" s="2"/>
      <c r="Z13" s="22">
        <f t="shared" si="3"/>
        <v>-1</v>
      </c>
    </row>
    <row r="14" spans="1:26" s="24" customFormat="1" hidden="1" outlineLevel="1" x14ac:dyDescent="0.25">
      <c r="A14" s="51"/>
      <c r="B14" s="11" t="str">
        <f>CONCATENATE("          ", "4151", " - ", "NON-TAXABLE SALES-FOOD")</f>
        <v xml:space="preserve">          4151 - NON-TAXABLE SALES-FOOD</v>
      </c>
      <c r="C14" s="11"/>
      <c r="D14" s="2">
        <f>--12545.13</f>
        <v>12545.13</v>
      </c>
      <c r="E14" s="2"/>
      <c r="F14" s="22"/>
      <c r="G14" s="2"/>
      <c r="H14" s="2"/>
      <c r="I14" s="2"/>
      <c r="J14" s="22"/>
      <c r="K14" s="2"/>
      <c r="L14" s="2">
        <f t="shared" si="0"/>
        <v>12545.13</v>
      </c>
      <c r="M14" s="2"/>
      <c r="N14" s="22">
        <f t="shared" si="1"/>
        <v>0</v>
      </c>
      <c r="O14" s="11"/>
      <c r="P14" s="2">
        <f>--12545.13</f>
        <v>12545.13</v>
      </c>
      <c r="Q14" s="2"/>
      <c r="R14" s="22"/>
      <c r="S14" s="2"/>
      <c r="T14" s="2"/>
      <c r="U14" s="2"/>
      <c r="V14" s="22"/>
      <c r="W14" s="2"/>
      <c r="X14" s="2">
        <f t="shared" si="2"/>
        <v>12545.13</v>
      </c>
      <c r="Y14" s="2"/>
      <c r="Z14" s="22">
        <f t="shared" si="3"/>
        <v>0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4">IF(D$12=0,0,D16/D$12)</f>
        <v>0</v>
      </c>
      <c r="G16" s="4"/>
      <c r="H16" s="4">
        <f>SUM(OSRRefH16x_0)</f>
        <v>17359</v>
      </c>
      <c r="I16" s="4"/>
      <c r="J16" s="12">
        <f t="shared" ref="J16:J17" si="5">IF(H$12=0,0,H16/H$12)</f>
        <v>0.24000387125317996</v>
      </c>
      <c r="K16" s="4"/>
      <c r="L16" s="4">
        <f t="shared" ref="L16:L17" si="6">+D16-H16</f>
        <v>-17359</v>
      </c>
      <c r="M16" s="4"/>
      <c r="N16" s="12">
        <f t="shared" ref="N16:N17" si="7">IF(H16=0,0,L16/H16)</f>
        <v>-1</v>
      </c>
      <c r="O16" s="10"/>
      <c r="P16" s="4">
        <f>SUM(OSRRefP16x_0)</f>
        <v>0</v>
      </c>
      <c r="Q16" s="4"/>
      <c r="R16" s="12">
        <f t="shared" ref="R16:R17" si="8">IF(P$12=0,0,P16/P$12)</f>
        <v>0</v>
      </c>
      <c r="S16" s="4"/>
      <c r="T16" s="4">
        <f>SUM(OSRRefT16x_0)</f>
        <v>24582</v>
      </c>
      <c r="U16" s="4"/>
      <c r="V16" s="12">
        <f t="shared" ref="V16:V17" si="9">IF(T$12=0,0,T16/T$12)</f>
        <v>0.27581177209792879</v>
      </c>
      <c r="W16" s="4"/>
      <c r="X16" s="4">
        <f t="shared" ref="X16:X17" si="10">+P16-T16</f>
        <v>-24582</v>
      </c>
      <c r="Y16" s="4"/>
      <c r="Z16" s="12">
        <f t="shared" ref="Z16:Z17" si="11">IF(T16=0,0,X16/T16)</f>
        <v>-1</v>
      </c>
    </row>
    <row r="17" spans="1:26" s="24" customFormat="1" hidden="1" outlineLevel="1" x14ac:dyDescent="0.25">
      <c r="A17" s="51"/>
      <c r="B17" s="11" t="str">
        <f>CONCATENATE("          ", "5000", " - ", "PURCHASES @ COST")</f>
        <v xml:space="preserve">          5000 - PURCHASES @ COST</v>
      </c>
      <c r="C17" s="11"/>
      <c r="D17" s="2"/>
      <c r="E17" s="2"/>
      <c r="F17" s="22">
        <f t="shared" si="4"/>
        <v>0</v>
      </c>
      <c r="G17" s="2"/>
      <c r="H17" s="2">
        <v>17359</v>
      </c>
      <c r="I17" s="2"/>
      <c r="J17" s="22">
        <f t="shared" si="5"/>
        <v>0.24000387125317996</v>
      </c>
      <c r="K17" s="2"/>
      <c r="L17" s="2">
        <f t="shared" si="6"/>
        <v>-17359</v>
      </c>
      <c r="M17" s="2"/>
      <c r="N17" s="22">
        <f t="shared" si="7"/>
        <v>-1</v>
      </c>
      <c r="O17" s="11"/>
      <c r="P17" s="2"/>
      <c r="Q17" s="2"/>
      <c r="R17" s="22">
        <f t="shared" si="8"/>
        <v>0</v>
      </c>
      <c r="S17" s="2"/>
      <c r="T17" s="2">
        <v>24582</v>
      </c>
      <c r="U17" s="2"/>
      <c r="V17" s="22">
        <f t="shared" si="9"/>
        <v>0.27581177209792879</v>
      </c>
      <c r="W17" s="2"/>
      <c r="X17" s="2">
        <f t="shared" si="10"/>
        <v>-24582</v>
      </c>
      <c r="Y17" s="2"/>
      <c r="Z17" s="22">
        <f t="shared" si="11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0">
        <f>D12-D16</f>
        <v>12545.13</v>
      </c>
      <c r="E19" s="13"/>
      <c r="F19" s="21">
        <f>IF(D$12=0,0,D19/D$12)</f>
        <v>1</v>
      </c>
      <c r="G19" s="13"/>
      <c r="H19" s="20">
        <f>H12-H16</f>
        <v>54969</v>
      </c>
      <c r="I19" s="13"/>
      <c r="J19" s="21">
        <f>IF(H$12=0,0,H19/H$12)</f>
        <v>0.75999612874681999</v>
      </c>
      <c r="K19" s="16"/>
      <c r="L19" s="20">
        <f>+D19-H19</f>
        <v>-42423.87</v>
      </c>
      <c r="M19" s="16"/>
      <c r="N19" s="21">
        <f>IF(H19=0,0,L19/H19)</f>
        <v>-0.77177809310702405</v>
      </c>
      <c r="O19" s="25"/>
      <c r="P19" s="20">
        <f>P12-P16</f>
        <v>12545.13</v>
      </c>
      <c r="Q19" s="13"/>
      <c r="R19" s="21">
        <f>IF(P$12=0,0,P19/P$12)</f>
        <v>1</v>
      </c>
      <c r="S19" s="13"/>
      <c r="T19" s="20">
        <f>T12-T16</f>
        <v>64544</v>
      </c>
      <c r="U19" s="13"/>
      <c r="V19" s="21">
        <f>IF(T$12=0,0,T19/T$12)</f>
        <v>0.72418822790207127</v>
      </c>
      <c r="W19" s="16"/>
      <c r="X19" s="20">
        <f>+P19-T19</f>
        <v>-51998.87</v>
      </c>
      <c r="Y19" s="16"/>
      <c r="Z19" s="21">
        <f>IF(T19=0,0,X19/T19)</f>
        <v>-0.80563445091720376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6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19">
        <f>SUM(OSRRefD22x_0)</f>
        <v>41024.689999999995</v>
      </c>
      <c r="E21" s="19"/>
      <c r="F21" s="35">
        <f t="shared" ref="F21:F32" si="12">IF(D$12=0,0,D21/D$12)</f>
        <v>3.2701685833466851</v>
      </c>
      <c r="G21" s="19"/>
      <c r="H21" s="19">
        <f>SUM(OSRRefH22x_0)</f>
        <v>90935.354045587665</v>
      </c>
      <c r="I21" s="19"/>
      <c r="J21" s="35">
        <f t="shared" ref="J21:J32" si="13">IF(H$12=0,0,H21/H$12)</f>
        <v>1.2572634947128036</v>
      </c>
      <c r="K21" s="4"/>
      <c r="L21" s="19">
        <f t="shared" ref="L21:L32" si="14">+D21-H21</f>
        <v>-49910.66404558767</v>
      </c>
      <c r="M21" s="4"/>
      <c r="N21" s="35">
        <f t="shared" ref="N21:N32" si="15">IF(H21=0,0,L21/H21)</f>
        <v>-0.54885874222875386</v>
      </c>
      <c r="O21" s="10"/>
      <c r="P21" s="19">
        <f>SUM(OSRRefP22x_0)</f>
        <v>119646.61</v>
      </c>
      <c r="Q21" s="19"/>
      <c r="R21" s="35">
        <f t="shared" ref="R21:R32" si="16">IF(P$12=0,0,P21/P$12)</f>
        <v>9.5372953488724317</v>
      </c>
      <c r="S21" s="19"/>
      <c r="T21" s="19">
        <f>SUM(OSRRefT22x_0)</f>
        <v>257261.47808565985</v>
      </c>
      <c r="U21" s="19"/>
      <c r="V21" s="35">
        <f t="shared" ref="V21:V32" si="17">IF(T$12=0,0,T21/T$12)</f>
        <v>2.8864919112903062</v>
      </c>
      <c r="W21" s="4"/>
      <c r="X21" s="19">
        <f t="shared" ref="X21:X32" si="18">+P21-T21</f>
        <v>-137614.86808565987</v>
      </c>
      <c r="Y21" s="4"/>
      <c r="Z21" s="35">
        <f t="shared" ref="Z21:Z32" si="19">IF(T21=0,0,X21/T21)</f>
        <v>-0.53492216988599639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19309.27</v>
      </c>
      <c r="E22" s="1"/>
      <c r="F22" s="5">
        <f t="shared" si="12"/>
        <v>1.5391845281794609</v>
      </c>
      <c r="G22" s="1"/>
      <c r="H22" s="1">
        <f>SUM(OSRRefH22_0x_0)</f>
        <v>28167.061587126122</v>
      </c>
      <c r="I22" s="1"/>
      <c r="J22" s="5">
        <f t="shared" si="13"/>
        <v>0.38943509549726413</v>
      </c>
      <c r="K22" s="1"/>
      <c r="L22" s="1">
        <f t="shared" si="14"/>
        <v>-8857.7915871261212</v>
      </c>
      <c r="M22" s="1"/>
      <c r="N22" s="5">
        <f t="shared" si="15"/>
        <v>-0.31447339864427371</v>
      </c>
      <c r="O22" s="14"/>
      <c r="P22" s="1">
        <f>SUM(OSRRefP22_0x_0)</f>
        <v>57443.719999999994</v>
      </c>
      <c r="Q22" s="1"/>
      <c r="R22" s="5">
        <f t="shared" si="16"/>
        <v>4.5789657022286736</v>
      </c>
      <c r="S22" s="1"/>
      <c r="T22" s="1">
        <f>SUM(OSRRefT22_0x_0)</f>
        <v>89704.211345659889</v>
      </c>
      <c r="U22" s="1"/>
      <c r="V22" s="5">
        <f t="shared" si="17"/>
        <v>1.0064875720402564</v>
      </c>
      <c r="W22" s="1"/>
      <c r="X22" s="1">
        <f t="shared" si="18"/>
        <v>-32260.491345659895</v>
      </c>
      <c r="Y22" s="1"/>
      <c r="Z22" s="5">
        <f t="shared" si="19"/>
        <v>-0.35963184851321628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6">
        <v>1667.58</v>
      </c>
      <c r="E23" s="2"/>
      <c r="F23" s="7">
        <f t="shared" si="12"/>
        <v>0.13292648222856202</v>
      </c>
      <c r="G23" s="2"/>
      <c r="H23" s="6">
        <v>2637.7353029723099</v>
      </c>
      <c r="I23" s="2"/>
      <c r="J23" s="7">
        <f t="shared" si="13"/>
        <v>3.6469075641139118E-2</v>
      </c>
      <c r="K23" s="2"/>
      <c r="L23" s="6">
        <f t="shared" si="14"/>
        <v>-970.15530297230998</v>
      </c>
      <c r="M23" s="2"/>
      <c r="N23" s="7">
        <f t="shared" si="15"/>
        <v>-0.36779858156316847</v>
      </c>
      <c r="O23" s="11"/>
      <c r="P23" s="6">
        <v>4592.76</v>
      </c>
      <c r="Q23" s="2"/>
      <c r="R23" s="7">
        <f t="shared" si="16"/>
        <v>0.36609903604028021</v>
      </c>
      <c r="S23" s="2"/>
      <c r="T23" s="6">
        <v>8936.1572346600005</v>
      </c>
      <c r="U23" s="2"/>
      <c r="V23" s="7">
        <f t="shared" si="17"/>
        <v>0.10026431383277608</v>
      </c>
      <c r="W23" s="2"/>
      <c r="X23" s="6">
        <f t="shared" si="18"/>
        <v>-4343.3972346600003</v>
      </c>
      <c r="Y23" s="2"/>
      <c r="Z23" s="7">
        <f t="shared" si="19"/>
        <v>-0.48604753929503303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6">
        <v>913.35</v>
      </c>
      <c r="E24" s="2"/>
      <c r="F24" s="7">
        <f t="shared" si="12"/>
        <v>7.280514430699403E-2</v>
      </c>
      <c r="G24" s="2"/>
      <c r="H24" s="6">
        <v>1920.1260803999999</v>
      </c>
      <c r="I24" s="2"/>
      <c r="J24" s="7">
        <f t="shared" si="13"/>
        <v>2.6547479266674039E-2</v>
      </c>
      <c r="K24" s="2"/>
      <c r="L24" s="6">
        <f t="shared" si="14"/>
        <v>-1006.7760803999998</v>
      </c>
      <c r="M24" s="2"/>
      <c r="N24" s="7">
        <f t="shared" si="15"/>
        <v>-0.52432811088648335</v>
      </c>
      <c r="O24" s="11"/>
      <c r="P24" s="6">
        <v>2446.46</v>
      </c>
      <c r="Q24" s="2"/>
      <c r="R24" s="7">
        <f t="shared" si="16"/>
        <v>0.19501272605385517</v>
      </c>
      <c r="S24" s="2"/>
      <c r="T24" s="6">
        <v>5551.5912738000006</v>
      </c>
      <c r="U24" s="2"/>
      <c r="V24" s="7">
        <f t="shared" si="17"/>
        <v>6.2289245268496295E-2</v>
      </c>
      <c r="W24" s="2"/>
      <c r="X24" s="6">
        <f t="shared" si="18"/>
        <v>-3105.1312738000006</v>
      </c>
      <c r="Y24" s="2"/>
      <c r="Z24" s="7">
        <f t="shared" si="19"/>
        <v>-0.55932274561606443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6">
        <v>12616.93</v>
      </c>
      <c r="E25" s="2"/>
      <c r="F25" s="7">
        <f t="shared" si="12"/>
        <v>1.0057233364660232</v>
      </c>
      <c r="G25" s="2"/>
      <c r="H25" s="6">
        <v>19310.769230769198</v>
      </c>
      <c r="I25" s="2"/>
      <c r="J25" s="7">
        <f t="shared" si="13"/>
        <v>0.26698884568589204</v>
      </c>
      <c r="K25" s="2"/>
      <c r="L25" s="6">
        <f t="shared" si="14"/>
        <v>-6693.8392307691975</v>
      </c>
      <c r="M25" s="2"/>
      <c r="N25" s="7">
        <f t="shared" si="15"/>
        <v>-0.34663762746972482</v>
      </c>
      <c r="O25" s="11"/>
      <c r="P25" s="6">
        <v>37850.82</v>
      </c>
      <c r="Q25" s="2"/>
      <c r="R25" s="7">
        <f t="shared" si="16"/>
        <v>3.0171724007642808</v>
      </c>
      <c r="S25" s="2"/>
      <c r="T25" s="6">
        <v>61769.999999999898</v>
      </c>
      <c r="U25" s="2"/>
      <c r="V25" s="7">
        <f t="shared" si="17"/>
        <v>0.69306375244036422</v>
      </c>
      <c r="W25" s="2"/>
      <c r="X25" s="6">
        <f t="shared" si="18"/>
        <v>-23919.179999999898</v>
      </c>
      <c r="Y25" s="2"/>
      <c r="Z25" s="7">
        <f t="shared" si="19"/>
        <v>-0.38722972316658472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6">
        <v>55.36</v>
      </c>
      <c r="E26" s="2"/>
      <c r="F26" s="7">
        <f t="shared" si="12"/>
        <v>4.4128677821592922E-3</v>
      </c>
      <c r="G26" s="2"/>
      <c r="H26" s="6">
        <v>116.3712776</v>
      </c>
      <c r="I26" s="2"/>
      <c r="J26" s="7">
        <f t="shared" si="13"/>
        <v>1.6089381373741842E-3</v>
      </c>
      <c r="K26" s="2"/>
      <c r="L26" s="6">
        <f t="shared" si="14"/>
        <v>-61.0112776</v>
      </c>
      <c r="M26" s="2"/>
      <c r="N26" s="7">
        <f t="shared" si="15"/>
        <v>-0.52428123896441603</v>
      </c>
      <c r="O26" s="11"/>
      <c r="P26" s="6">
        <v>156.94999999999999</v>
      </c>
      <c r="Q26" s="2"/>
      <c r="R26" s="7">
        <f t="shared" si="16"/>
        <v>1.2510830896132603E-2</v>
      </c>
      <c r="S26" s="2"/>
      <c r="T26" s="6">
        <v>336.4600772</v>
      </c>
      <c r="U26" s="2"/>
      <c r="V26" s="7">
        <f t="shared" si="17"/>
        <v>3.7751057738482597E-3</v>
      </c>
      <c r="W26" s="2"/>
      <c r="X26" s="6">
        <f t="shared" si="18"/>
        <v>-179.51007720000001</v>
      </c>
      <c r="Y26" s="2"/>
      <c r="Z26" s="7">
        <f t="shared" si="19"/>
        <v>-0.53352563755519467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6">
        <v>485.07</v>
      </c>
      <c r="E27" s="2"/>
      <c r="F27" s="7">
        <f t="shared" si="12"/>
        <v>3.8666000272615748E-2</v>
      </c>
      <c r="G27" s="2"/>
      <c r="H27" s="6">
        <v>808.168461538462</v>
      </c>
      <c r="I27" s="2"/>
      <c r="J27" s="7">
        <f t="shared" si="13"/>
        <v>1.1173659738116111E-2</v>
      </c>
      <c r="K27" s="2"/>
      <c r="L27" s="6">
        <f t="shared" si="14"/>
        <v>-323.098461538462</v>
      </c>
      <c r="M27" s="2"/>
      <c r="N27" s="7">
        <f t="shared" si="15"/>
        <v>-0.39979098036490901</v>
      </c>
      <c r="O27" s="11"/>
      <c r="P27" s="6">
        <v>1697.74</v>
      </c>
      <c r="Q27" s="2"/>
      <c r="R27" s="7">
        <f t="shared" si="16"/>
        <v>0.13533060239311989</v>
      </c>
      <c r="S27" s="2"/>
      <c r="T27" s="6">
        <v>2626.5475000000042</v>
      </c>
      <c r="U27" s="2"/>
      <c r="V27" s="7">
        <f t="shared" si="17"/>
        <v>2.9470048021901625E-2</v>
      </c>
      <c r="W27" s="2"/>
      <c r="X27" s="6">
        <f t="shared" si="18"/>
        <v>-928.80750000000421</v>
      </c>
      <c r="Y27" s="2"/>
      <c r="Z27" s="7">
        <f t="shared" si="19"/>
        <v>-0.35362295941725885</v>
      </c>
    </row>
    <row r="28" spans="1:26" s="24" customFormat="1" hidden="1" outlineLevel="2" x14ac:dyDescent="0.25">
      <c r="A28" s="29"/>
      <c r="B28" s="11" t="str">
        <f>CONCATENATE("          ", "6116", " - ", "EDUCATIONAL BENEFITS")</f>
        <v xml:space="preserve">          6116 - EDUCATIONAL BENEFITS</v>
      </c>
      <c r="C28" s="11"/>
      <c r="D28" s="6"/>
      <c r="E28" s="2"/>
      <c r="F28" s="7">
        <f t="shared" si="12"/>
        <v>0</v>
      </c>
      <c r="G28" s="2"/>
      <c r="H28" s="6">
        <v>0</v>
      </c>
      <c r="I28" s="2"/>
      <c r="J28" s="7">
        <f t="shared" si="13"/>
        <v>0</v>
      </c>
      <c r="K28" s="2"/>
      <c r="L28" s="6">
        <f t="shared" si="14"/>
        <v>0</v>
      </c>
      <c r="M28" s="2"/>
      <c r="N28" s="7">
        <f t="shared" si="15"/>
        <v>0</v>
      </c>
      <c r="O28" s="11"/>
      <c r="P28" s="6"/>
      <c r="Q28" s="2"/>
      <c r="R28" s="7">
        <f t="shared" si="16"/>
        <v>0</v>
      </c>
      <c r="S28" s="2"/>
      <c r="T28" s="6">
        <v>0</v>
      </c>
      <c r="U28" s="2"/>
      <c r="V28" s="7">
        <f t="shared" si="17"/>
        <v>0</v>
      </c>
      <c r="W28" s="2"/>
      <c r="X28" s="6">
        <f t="shared" si="18"/>
        <v>0</v>
      </c>
      <c r="Y28" s="2"/>
      <c r="Z28" s="7">
        <f t="shared" si="19"/>
        <v>0</v>
      </c>
    </row>
    <row r="29" spans="1:26" s="24" customFormat="1" hidden="1" outlineLevel="2" x14ac:dyDescent="0.25">
      <c r="A29" s="29"/>
      <c r="B29" s="11" t="str">
        <f>CONCATENATE("          ", "6117", " - ", "RETIREMENT STAFF HOURLY")</f>
        <v xml:space="preserve">          6117 - RETIREMENT STAFF HOURLY</v>
      </c>
      <c r="C29" s="11"/>
      <c r="D29" s="6">
        <v>558.34</v>
      </c>
      <c r="E29" s="2"/>
      <c r="F29" s="7">
        <f t="shared" si="12"/>
        <v>4.4506513682998905E-2</v>
      </c>
      <c r="G29" s="2"/>
      <c r="H29" s="6"/>
      <c r="I29" s="2"/>
      <c r="J29" s="7">
        <f t="shared" si="13"/>
        <v>0</v>
      </c>
      <c r="K29" s="2"/>
      <c r="L29" s="6">
        <f t="shared" si="14"/>
        <v>558.34</v>
      </c>
      <c r="M29" s="2"/>
      <c r="N29" s="7">
        <f t="shared" si="15"/>
        <v>0</v>
      </c>
      <c r="O29" s="11"/>
      <c r="P29" s="6">
        <v>1784.02</v>
      </c>
      <c r="Q29" s="2"/>
      <c r="R29" s="7">
        <f t="shared" si="16"/>
        <v>0.14220817161719329</v>
      </c>
      <c r="S29" s="2"/>
      <c r="T29" s="6"/>
      <c r="U29" s="2"/>
      <c r="V29" s="7">
        <f t="shared" si="17"/>
        <v>0</v>
      </c>
      <c r="W29" s="2"/>
      <c r="X29" s="6">
        <f t="shared" si="18"/>
        <v>1784.02</v>
      </c>
      <c r="Y29" s="2"/>
      <c r="Z29" s="7">
        <f t="shared" si="19"/>
        <v>0</v>
      </c>
    </row>
    <row r="30" spans="1:26" s="24" customFormat="1" hidden="1" outlineLevel="2" x14ac:dyDescent="0.25">
      <c r="A30" s="29"/>
      <c r="B30" s="11" t="str">
        <f>CONCATENATE("          ", "6118", " - ", "VACATION")</f>
        <v xml:space="preserve">          6118 - VACATION</v>
      </c>
      <c r="C30" s="11"/>
      <c r="D30" s="6">
        <v>1242.1199999999999</v>
      </c>
      <c r="E30" s="2"/>
      <c r="F30" s="7">
        <f t="shared" si="12"/>
        <v>9.9012126618058166E-2</v>
      </c>
      <c r="G30" s="2"/>
      <c r="H30" s="6">
        <v>1943.1995692307701</v>
      </c>
      <c r="I30" s="2"/>
      <c r="J30" s="7">
        <f t="shared" si="13"/>
        <v>2.6866491113134196E-2</v>
      </c>
      <c r="K30" s="2"/>
      <c r="L30" s="6">
        <f t="shared" si="14"/>
        <v>-701.07956923077018</v>
      </c>
      <c r="M30" s="2"/>
      <c r="N30" s="7">
        <f t="shared" si="15"/>
        <v>-0.36078619012266339</v>
      </c>
      <c r="O30" s="11"/>
      <c r="P30" s="6">
        <v>3662.61</v>
      </c>
      <c r="Q30" s="2"/>
      <c r="R30" s="7">
        <f t="shared" si="16"/>
        <v>0.29195472665488525</v>
      </c>
      <c r="S30" s="2"/>
      <c r="T30" s="6">
        <v>6315.3986000000004</v>
      </c>
      <c r="U30" s="2"/>
      <c r="V30" s="7">
        <f t="shared" si="17"/>
        <v>7.0859217287884579E-2</v>
      </c>
      <c r="W30" s="2"/>
      <c r="X30" s="6">
        <f t="shared" si="18"/>
        <v>-2652.7886000000003</v>
      </c>
      <c r="Y30" s="2"/>
      <c r="Z30" s="7">
        <f t="shared" si="19"/>
        <v>-0.42005085791417823</v>
      </c>
    </row>
    <row r="31" spans="1:26" s="24" customFormat="1" hidden="1" outlineLevel="2" x14ac:dyDescent="0.25">
      <c r="A31" s="29"/>
      <c r="B31" s="11" t="str">
        <f>CONCATENATE("          ", "6119", " - ", "SICK LEAVE")</f>
        <v xml:space="preserve">          6119 - SICK LEAVE</v>
      </c>
      <c r="C31" s="11"/>
      <c r="D31" s="6">
        <v>946.52</v>
      </c>
      <c r="E31" s="2"/>
      <c r="F31" s="7">
        <f t="shared" si="12"/>
        <v>7.5449198214765409E-2</v>
      </c>
      <c r="G31" s="2"/>
      <c r="H31" s="6">
        <v>1430.69166461538</v>
      </c>
      <c r="I31" s="2"/>
      <c r="J31" s="7">
        <f t="shared" si="13"/>
        <v>1.9780605914934465E-2</v>
      </c>
      <c r="K31" s="2"/>
      <c r="L31" s="6">
        <f t="shared" si="14"/>
        <v>-484.17166461538</v>
      </c>
      <c r="M31" s="2"/>
      <c r="N31" s="7">
        <f t="shared" si="15"/>
        <v>-0.33841789715434056</v>
      </c>
      <c r="O31" s="11"/>
      <c r="P31" s="6">
        <v>2839.56</v>
      </c>
      <c r="Q31" s="2"/>
      <c r="R31" s="7">
        <f t="shared" si="16"/>
        <v>0.22634759464429624</v>
      </c>
      <c r="S31" s="2"/>
      <c r="T31" s="6">
        <v>4168.0566599999902</v>
      </c>
      <c r="U31" s="2"/>
      <c r="V31" s="7">
        <f t="shared" si="17"/>
        <v>4.6765889414985419E-2</v>
      </c>
      <c r="W31" s="2"/>
      <c r="X31" s="6">
        <f t="shared" si="18"/>
        <v>-1328.4966599999902</v>
      </c>
      <c r="Y31" s="2"/>
      <c r="Z31" s="7">
        <f t="shared" si="19"/>
        <v>-0.31873286962466424</v>
      </c>
    </row>
    <row r="32" spans="1:26" s="24" customFormat="1" hidden="1" outlineLevel="2" x14ac:dyDescent="0.25">
      <c r="A32" s="29"/>
      <c r="B32" s="11" t="str">
        <f>CONCATENATE("          ", "6156", " - ", "EMPLOYEE MEALS")</f>
        <v xml:space="preserve">          6156 - EMPLOYEE MEALS</v>
      </c>
      <c r="C32" s="11"/>
      <c r="D32" s="6">
        <v>824</v>
      </c>
      <c r="E32" s="2"/>
      <c r="F32" s="7">
        <f t="shared" si="12"/>
        <v>6.5682858607284261E-2</v>
      </c>
      <c r="G32" s="2"/>
      <c r="H32" s="6"/>
      <c r="I32" s="2"/>
      <c r="J32" s="7">
        <f t="shared" si="13"/>
        <v>0</v>
      </c>
      <c r="K32" s="2"/>
      <c r="L32" s="6">
        <f t="shared" si="14"/>
        <v>824</v>
      </c>
      <c r="M32" s="2"/>
      <c r="N32" s="7">
        <f t="shared" si="15"/>
        <v>0</v>
      </c>
      <c r="O32" s="11"/>
      <c r="P32" s="6">
        <v>2412.8000000000002</v>
      </c>
      <c r="Q32" s="2"/>
      <c r="R32" s="7">
        <f t="shared" si="16"/>
        <v>0.19232961316463046</v>
      </c>
      <c r="S32" s="2"/>
      <c r="T32" s="6"/>
      <c r="U32" s="2"/>
      <c r="V32" s="7">
        <f t="shared" si="17"/>
        <v>0</v>
      </c>
      <c r="W32" s="2"/>
      <c r="X32" s="6">
        <f t="shared" si="18"/>
        <v>2412.8000000000002</v>
      </c>
      <c r="Y32" s="2"/>
      <c r="Z32" s="7">
        <f t="shared" si="19"/>
        <v>0</v>
      </c>
    </row>
    <row r="33" spans="1:26" s="28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21204.41</v>
      </c>
      <c r="E33" s="1"/>
      <c r="F33" s="5">
        <f t="shared" ref="F33:F43" si="20">IF(D$12=0,0,D33/D$12)</f>
        <v>1.690250320243792</v>
      </c>
      <c r="G33" s="1"/>
      <c r="H33" s="1">
        <f>SUM(OSRRefH22_1x_0)</f>
        <v>41384.292458461547</v>
      </c>
      <c r="I33" s="1"/>
      <c r="J33" s="5">
        <f t="shared" ref="J33:J43" si="21">IF(H$12=0,0,H33/H$12)</f>
        <v>0.57217526350046377</v>
      </c>
      <c r="K33" s="1"/>
      <c r="L33" s="1">
        <f t="shared" ref="L33:L43" si="22">+D33-H33</f>
        <v>-20179.882458461547</v>
      </c>
      <c r="M33" s="1"/>
      <c r="N33" s="5">
        <f t="shared" ref="N33:N43" si="23">IF(H33=0,0,L33/H33)</f>
        <v>-0.48762178255715261</v>
      </c>
      <c r="O33" s="14"/>
      <c r="P33" s="1">
        <f>SUM(OSRRefP22_1x_0)</f>
        <v>58777.919999999998</v>
      </c>
      <c r="Q33" s="1"/>
      <c r="R33" s="5">
        <f t="shared" ref="R33:R43" si="24">IF(P$12=0,0,P33/P$12)</f>
        <v>4.6853177288716816</v>
      </c>
      <c r="S33" s="1"/>
      <c r="T33" s="1">
        <f>SUM(OSRRefT22_1x_0)</f>
        <v>118924.26673999998</v>
      </c>
      <c r="U33" s="1"/>
      <c r="V33" s="5">
        <f t="shared" ref="V33:V43" si="25">IF(T$12=0,0,T33/T$12)</f>
        <v>1.3343386524695373</v>
      </c>
      <c r="W33" s="1"/>
      <c r="X33" s="1">
        <f t="shared" ref="X33:X43" si="26">+P33-T33</f>
        <v>-60146.346739999979</v>
      </c>
      <c r="Y33" s="1"/>
      <c r="Z33" s="5">
        <f t="shared" ref="Z33:Z43" si="27">IF(T33=0,0,X33/T33)</f>
        <v>-0.50575335369942509</v>
      </c>
    </row>
    <row r="34" spans="1:26" s="24" customFormat="1" hidden="1" outlineLevel="2" x14ac:dyDescent="0.25">
      <c r="A34" s="29"/>
      <c r="B34" s="11" t="str">
        <f>CONCATENATE("          ", "6001", " - ", "ADMINISTRATIVE SALARIES")</f>
        <v xml:space="preserve">          6001 - ADMINISTRATIVE SALARIES</v>
      </c>
      <c r="C34" s="11"/>
      <c r="D34" s="6"/>
      <c r="E34" s="2"/>
      <c r="F34" s="7">
        <f t="shared" si="20"/>
        <v>0</v>
      </c>
      <c r="G34" s="2"/>
      <c r="H34" s="6">
        <v>0</v>
      </c>
      <c r="I34" s="2"/>
      <c r="J34" s="7">
        <f t="shared" si="21"/>
        <v>0</v>
      </c>
      <c r="K34" s="2"/>
      <c r="L34" s="6">
        <f t="shared" si="22"/>
        <v>0</v>
      </c>
      <c r="M34" s="2"/>
      <c r="N34" s="7">
        <f t="shared" si="23"/>
        <v>0</v>
      </c>
      <c r="O34" s="11"/>
      <c r="P34" s="6"/>
      <c r="Q34" s="2"/>
      <c r="R34" s="7">
        <f t="shared" si="24"/>
        <v>0</v>
      </c>
      <c r="S34" s="2"/>
      <c r="T34" s="6">
        <v>0</v>
      </c>
      <c r="U34" s="2"/>
      <c r="V34" s="7">
        <f t="shared" si="25"/>
        <v>0</v>
      </c>
      <c r="W34" s="2"/>
      <c r="X34" s="6">
        <f t="shared" si="26"/>
        <v>0</v>
      </c>
      <c r="Y34" s="2"/>
      <c r="Z34" s="7">
        <f t="shared" si="27"/>
        <v>0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6">
        <v>4177.45</v>
      </c>
      <c r="E35" s="2"/>
      <c r="F35" s="7">
        <f t="shared" si="20"/>
        <v>0.33299375933131026</v>
      </c>
      <c r="G35" s="2"/>
      <c r="H35" s="6">
        <v>8337.7115384615408</v>
      </c>
      <c r="I35" s="2"/>
      <c r="J35" s="7">
        <f t="shared" si="21"/>
        <v>0.11527640109586247</v>
      </c>
      <c r="K35" s="2"/>
      <c r="L35" s="6">
        <f t="shared" si="22"/>
        <v>-4160.261538461541</v>
      </c>
      <c r="M35" s="2"/>
      <c r="N35" s="7">
        <f t="shared" si="23"/>
        <v>-0.49896923385636638</v>
      </c>
      <c r="O35" s="11"/>
      <c r="P35" s="6">
        <v>13411.49</v>
      </c>
      <c r="Q35" s="2"/>
      <c r="R35" s="7">
        <f t="shared" si="24"/>
        <v>1.0690594676978238</v>
      </c>
      <c r="S35" s="2"/>
      <c r="T35" s="6">
        <v>27097.562499999978</v>
      </c>
      <c r="U35" s="2"/>
      <c r="V35" s="7">
        <f t="shared" si="25"/>
        <v>0.30403656059960033</v>
      </c>
      <c r="W35" s="2"/>
      <c r="X35" s="6">
        <f t="shared" si="26"/>
        <v>-13686.072499999978</v>
      </c>
      <c r="Y35" s="2"/>
      <c r="Z35" s="7">
        <f t="shared" si="27"/>
        <v>-0.50506655349535556</v>
      </c>
    </row>
    <row r="36" spans="1:26" s="24" customFormat="1" hidden="1" outlineLevel="2" x14ac:dyDescent="0.25">
      <c r="A36" s="29"/>
      <c r="B36" s="11" t="str">
        <f>CONCATENATE("          ", "6003", " - ", "STAFF HOURLY-9 MONTH")</f>
        <v xml:space="preserve">          6003 - STAFF HOURLY-9 MONTH</v>
      </c>
      <c r="C36" s="11"/>
      <c r="D36" s="6"/>
      <c r="E36" s="2"/>
      <c r="F36" s="7">
        <f t="shared" si="20"/>
        <v>0</v>
      </c>
      <c r="G36" s="2"/>
      <c r="H36" s="6">
        <v>0</v>
      </c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0</v>
      </c>
      <c r="U36" s="2"/>
      <c r="V36" s="7">
        <f t="shared" si="25"/>
        <v>0</v>
      </c>
      <c r="W36" s="2"/>
      <c r="X36" s="6">
        <f t="shared" si="26"/>
        <v>0</v>
      </c>
      <c r="Y36" s="2"/>
      <c r="Z36" s="7">
        <f t="shared" si="27"/>
        <v>0</v>
      </c>
    </row>
    <row r="37" spans="1:26" s="24" customFormat="1" hidden="1" outlineLevel="2" x14ac:dyDescent="0.25">
      <c r="A37" s="29"/>
      <c r="B37" s="11" t="str">
        <f>CONCATENATE("          ", "6004", " - ", "STAFF HOURLY")</f>
        <v xml:space="preserve">          6004 - STAFF HOURLY</v>
      </c>
      <c r="C37" s="11"/>
      <c r="D37" s="6">
        <v>16376.96</v>
      </c>
      <c r="E37" s="2"/>
      <c r="F37" s="7">
        <f t="shared" si="20"/>
        <v>1.3054436263314928</v>
      </c>
      <c r="G37" s="2"/>
      <c r="H37" s="6">
        <v>23063.825919999999</v>
      </c>
      <c r="I37" s="2"/>
      <c r="J37" s="7">
        <f t="shared" si="21"/>
        <v>0.31887824798141795</v>
      </c>
      <c r="K37" s="2"/>
      <c r="L37" s="6">
        <f t="shared" si="22"/>
        <v>-6686.8659200000002</v>
      </c>
      <c r="M37" s="2"/>
      <c r="N37" s="7">
        <f t="shared" si="23"/>
        <v>-0.28992873702716537</v>
      </c>
      <c r="O37" s="11"/>
      <c r="P37" s="6">
        <v>42093.43</v>
      </c>
      <c r="Q37" s="2"/>
      <c r="R37" s="7">
        <f t="shared" si="24"/>
        <v>3.3553602075068176</v>
      </c>
      <c r="S37" s="2"/>
      <c r="T37" s="6">
        <v>74957.434240000002</v>
      </c>
      <c r="U37" s="2"/>
      <c r="V37" s="7">
        <f t="shared" si="25"/>
        <v>0.84102769382671727</v>
      </c>
      <c r="W37" s="2"/>
      <c r="X37" s="6">
        <f t="shared" si="26"/>
        <v>-32864.004240000002</v>
      </c>
      <c r="Y37" s="2"/>
      <c r="Z37" s="7">
        <f t="shared" si="27"/>
        <v>-0.43843555443447368</v>
      </c>
    </row>
    <row r="38" spans="1:26" s="24" customFormat="1" hidden="1" outlineLevel="2" x14ac:dyDescent="0.25">
      <c r="A38" s="29"/>
      <c r="B38" s="11" t="str">
        <f>CONCATENATE("          ", "6005", " - ", "TEMPORARY WAGES-HOURLY")</f>
        <v xml:space="preserve">          6005 - TEMPORARY WAGES-HOURLY</v>
      </c>
      <c r="C38" s="11"/>
      <c r="D38" s="6"/>
      <c r="E38" s="2"/>
      <c r="F38" s="7">
        <f t="shared" si="20"/>
        <v>0</v>
      </c>
      <c r="G38" s="2"/>
      <c r="H38" s="6">
        <v>3105.4549999999999</v>
      </c>
      <c r="I38" s="2"/>
      <c r="J38" s="7">
        <f t="shared" si="21"/>
        <v>4.2935723371308486E-2</v>
      </c>
      <c r="K38" s="2"/>
      <c r="L38" s="6">
        <f t="shared" si="22"/>
        <v>-3105.4549999999999</v>
      </c>
      <c r="M38" s="2"/>
      <c r="N38" s="7">
        <f t="shared" si="23"/>
        <v>-1</v>
      </c>
      <c r="O38" s="11"/>
      <c r="P38" s="6"/>
      <c r="Q38" s="2"/>
      <c r="R38" s="7">
        <f t="shared" si="24"/>
        <v>0</v>
      </c>
      <c r="S38" s="2"/>
      <c r="T38" s="6">
        <v>5384.47</v>
      </c>
      <c r="U38" s="2"/>
      <c r="V38" s="7">
        <f t="shared" si="25"/>
        <v>6.0414132800753993E-2</v>
      </c>
      <c r="W38" s="2"/>
      <c r="X38" s="6">
        <f t="shared" si="26"/>
        <v>-5384.47</v>
      </c>
      <c r="Y38" s="2"/>
      <c r="Z38" s="7">
        <f t="shared" si="27"/>
        <v>-1</v>
      </c>
    </row>
    <row r="39" spans="1:26" s="24" customFormat="1" hidden="1" outlineLevel="2" x14ac:dyDescent="0.25">
      <c r="A39" s="29"/>
      <c r="B39" s="11" t="str">
        <f>CONCATENATE("          ", "6006", " - ", "TEMPORARY PART TIME")</f>
        <v xml:space="preserve">          6006 - TEMPORARY PART TIME</v>
      </c>
      <c r="C39" s="11"/>
      <c r="D39" s="6"/>
      <c r="E39" s="2"/>
      <c r="F39" s="7">
        <f t="shared" si="20"/>
        <v>0</v>
      </c>
      <c r="G39" s="2"/>
      <c r="H39" s="6">
        <v>0</v>
      </c>
      <c r="I39" s="2"/>
      <c r="J39" s="7">
        <f t="shared" si="21"/>
        <v>0</v>
      </c>
      <c r="K39" s="2"/>
      <c r="L39" s="6">
        <f t="shared" si="22"/>
        <v>0</v>
      </c>
      <c r="M39" s="2"/>
      <c r="N39" s="7">
        <f t="shared" si="23"/>
        <v>0</v>
      </c>
      <c r="O39" s="11"/>
      <c r="P39" s="6"/>
      <c r="Q39" s="2"/>
      <c r="R39" s="7">
        <f t="shared" si="24"/>
        <v>0</v>
      </c>
      <c r="S39" s="2"/>
      <c r="T39" s="6">
        <v>0</v>
      </c>
      <c r="U39" s="2"/>
      <c r="V39" s="7">
        <f t="shared" si="25"/>
        <v>0</v>
      </c>
      <c r="W39" s="2"/>
      <c r="X39" s="6">
        <f t="shared" si="26"/>
        <v>0</v>
      </c>
      <c r="Y39" s="2"/>
      <c r="Z39" s="7">
        <f t="shared" si="27"/>
        <v>0</v>
      </c>
    </row>
    <row r="40" spans="1:26" s="24" customFormat="1" hidden="1" outlineLevel="2" x14ac:dyDescent="0.25">
      <c r="A40" s="29"/>
      <c r="B40" s="11" t="str">
        <f>CONCATENATE("          ", "6007", " - ", "STUDENT HOURLY")</f>
        <v xml:space="preserve">          6007 - STUDENT HOURLY</v>
      </c>
      <c r="C40" s="11"/>
      <c r="D40" s="6">
        <v>650</v>
      </c>
      <c r="E40" s="2"/>
      <c r="F40" s="7">
        <f t="shared" si="20"/>
        <v>5.1812934580988804E-2</v>
      </c>
      <c r="G40" s="2"/>
      <c r="H40" s="6">
        <v>0</v>
      </c>
      <c r="I40" s="2"/>
      <c r="J40" s="7">
        <f t="shared" si="21"/>
        <v>0</v>
      </c>
      <c r="K40" s="2"/>
      <c r="L40" s="6">
        <f t="shared" si="22"/>
        <v>650</v>
      </c>
      <c r="M40" s="2"/>
      <c r="N40" s="7">
        <f t="shared" si="23"/>
        <v>0</v>
      </c>
      <c r="O40" s="11"/>
      <c r="P40" s="6">
        <v>3273</v>
      </c>
      <c r="Q40" s="2"/>
      <c r="R40" s="7">
        <f t="shared" si="24"/>
        <v>0.26089805366704055</v>
      </c>
      <c r="S40" s="2"/>
      <c r="T40" s="6">
        <v>4607.5</v>
      </c>
      <c r="U40" s="2"/>
      <c r="V40" s="7">
        <f t="shared" si="25"/>
        <v>5.1696474653860826E-2</v>
      </c>
      <c r="W40" s="2"/>
      <c r="X40" s="6">
        <f t="shared" si="26"/>
        <v>-1334.5</v>
      </c>
      <c r="Y40" s="2"/>
      <c r="Z40" s="7">
        <f t="shared" si="27"/>
        <v>-0.28963646228974499</v>
      </c>
    </row>
    <row r="41" spans="1:26" s="24" customFormat="1" hidden="1" outlineLevel="2" x14ac:dyDescent="0.25">
      <c r="A41" s="29"/>
      <c r="B41" s="11" t="str">
        <f>CONCATENATE("          ", "6008", " - ", "STUDENT HOURLY-FICA EXEMPT")</f>
        <v xml:space="preserve">          6008 - STUDENT HOURLY-FICA EXEMPT</v>
      </c>
      <c r="C41" s="11"/>
      <c r="D41" s="6"/>
      <c r="E41" s="2"/>
      <c r="F41" s="7">
        <f t="shared" si="20"/>
        <v>0</v>
      </c>
      <c r="G41" s="2"/>
      <c r="H41" s="6">
        <v>6877.3</v>
      </c>
      <c r="I41" s="2"/>
      <c r="J41" s="7">
        <f t="shared" si="21"/>
        <v>9.5084891051874801E-2</v>
      </c>
      <c r="K41" s="2"/>
      <c r="L41" s="6">
        <f t="shared" si="22"/>
        <v>-6877.3</v>
      </c>
      <c r="M41" s="2"/>
      <c r="N41" s="7">
        <f t="shared" si="23"/>
        <v>-1</v>
      </c>
      <c r="O41" s="11"/>
      <c r="P41" s="6"/>
      <c r="Q41" s="2"/>
      <c r="R41" s="7">
        <f t="shared" si="24"/>
        <v>0</v>
      </c>
      <c r="S41" s="2"/>
      <c r="T41" s="6">
        <v>6877.3</v>
      </c>
      <c r="U41" s="2"/>
      <c r="V41" s="7">
        <f t="shared" si="25"/>
        <v>7.7163790588604897E-2</v>
      </c>
      <c r="W41" s="2"/>
      <c r="X41" s="6">
        <f t="shared" si="26"/>
        <v>-6877.3</v>
      </c>
      <c r="Y41" s="2"/>
      <c r="Z41" s="7">
        <f t="shared" si="27"/>
        <v>-1</v>
      </c>
    </row>
    <row r="42" spans="1:26" s="24" customFormat="1" hidden="1" outlineLevel="2" x14ac:dyDescent="0.25">
      <c r="A42" s="29"/>
      <c r="B42" s="11" t="str">
        <f>CONCATENATE("          ", "6009", " - ", "TEMPORARY-SEASONAL")</f>
        <v xml:space="preserve">          6009 - TEMPORARY-SEASONAL</v>
      </c>
      <c r="C42" s="11"/>
      <c r="D42" s="6"/>
      <c r="E42" s="2"/>
      <c r="F42" s="7">
        <f t="shared" si="20"/>
        <v>0</v>
      </c>
      <c r="G42" s="2"/>
      <c r="H42" s="6">
        <v>0</v>
      </c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/>
      <c r="Q42" s="2"/>
      <c r="R42" s="7">
        <f t="shared" si="24"/>
        <v>0</v>
      </c>
      <c r="S42" s="2"/>
      <c r="T42" s="6">
        <v>0</v>
      </c>
      <c r="U42" s="2"/>
      <c r="V42" s="7">
        <f t="shared" si="25"/>
        <v>0</v>
      </c>
      <c r="W42" s="2"/>
      <c r="X42" s="6">
        <f t="shared" si="26"/>
        <v>0</v>
      </c>
      <c r="Y42" s="2"/>
      <c r="Z42" s="7">
        <f t="shared" si="27"/>
        <v>0</v>
      </c>
    </row>
    <row r="43" spans="1:26" s="24" customFormat="1" hidden="1" outlineLevel="2" x14ac:dyDescent="0.25">
      <c r="A43" s="29"/>
      <c r="B43" s="11" t="str">
        <f>CONCATENATE("          ", "6010", " - ", "GRATUITY")</f>
        <v xml:space="preserve">          6010 - GRATUITY</v>
      </c>
      <c r="C43" s="11"/>
      <c r="D43" s="6"/>
      <c r="E43" s="2"/>
      <c r="F43" s="7">
        <f t="shared" si="20"/>
        <v>0</v>
      </c>
      <c r="G43" s="2"/>
      <c r="H43" s="6">
        <v>0</v>
      </c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</v>
      </c>
      <c r="U43" s="2"/>
      <c r="V43" s="7">
        <f t="shared" si="25"/>
        <v>0</v>
      </c>
      <c r="W43" s="2"/>
      <c r="X43" s="6">
        <f t="shared" si="26"/>
        <v>0</v>
      </c>
      <c r="Y43" s="2"/>
      <c r="Z43" s="7">
        <f t="shared" si="27"/>
        <v>0</v>
      </c>
    </row>
    <row r="44" spans="1:26" s="28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69" si="28">IF(D$12=0,0,D44/D$12)</f>
        <v>0</v>
      </c>
      <c r="G44" s="1"/>
      <c r="H44" s="1">
        <f>SUM(OSRRefH22_2x_0)</f>
        <v>300</v>
      </c>
      <c r="I44" s="1"/>
      <c r="J44" s="5">
        <f t="shared" ref="J44:J69" si="29">IF(H$12=0,0,H44/H$12)</f>
        <v>4.1477712642406812E-3</v>
      </c>
      <c r="K44" s="1"/>
      <c r="L44" s="1">
        <f t="shared" ref="L44:L69" si="30">+D44-H44</f>
        <v>-300</v>
      </c>
      <c r="M44" s="1"/>
      <c r="N44" s="5">
        <f t="shared" ref="N44:N69" si="31">IF(H44=0,0,L44/H44)</f>
        <v>-1</v>
      </c>
      <c r="O44" s="14"/>
      <c r="P44" s="1">
        <f>SUM(OSRRefP22_2x_0)</f>
        <v>0</v>
      </c>
      <c r="Q44" s="1"/>
      <c r="R44" s="5">
        <f t="shared" ref="R44:R69" si="32">IF(P$12=0,0,P44/P$12)</f>
        <v>0</v>
      </c>
      <c r="S44" s="1"/>
      <c r="T44" s="1">
        <f>SUM(OSRRefT22_2x_0)</f>
        <v>1000</v>
      </c>
      <c r="U44" s="1"/>
      <c r="V44" s="5">
        <f t="shared" ref="V44:V69" si="33">IF(T$12=0,0,T44/T$12)</f>
        <v>1.1220070462042502E-2</v>
      </c>
      <c r="W44" s="1"/>
      <c r="X44" s="1">
        <f t="shared" ref="X44:X69" si="34">+P44-T44</f>
        <v>-1000</v>
      </c>
      <c r="Y44" s="1"/>
      <c r="Z44" s="5">
        <f t="shared" ref="Z44:Z69" si="35">IF(T44=0,0,X44/T44)</f>
        <v>-1</v>
      </c>
    </row>
    <row r="45" spans="1:26" s="24" customFormat="1" hidden="1" outlineLevel="2" x14ac:dyDescent="0.25">
      <c r="A45" s="29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28"/>
        <v>0</v>
      </c>
      <c r="G45" s="2"/>
      <c r="H45" s="6">
        <v>300</v>
      </c>
      <c r="I45" s="2"/>
      <c r="J45" s="7">
        <f t="shared" si="29"/>
        <v>4.1477712642406812E-3</v>
      </c>
      <c r="K45" s="2"/>
      <c r="L45" s="6">
        <f t="shared" si="30"/>
        <v>-300</v>
      </c>
      <c r="M45" s="2"/>
      <c r="N45" s="7">
        <f t="shared" si="31"/>
        <v>-1</v>
      </c>
      <c r="O45" s="11"/>
      <c r="P45" s="6"/>
      <c r="Q45" s="2"/>
      <c r="R45" s="7">
        <f t="shared" si="32"/>
        <v>0</v>
      </c>
      <c r="S45" s="2"/>
      <c r="T45" s="6">
        <v>1000</v>
      </c>
      <c r="U45" s="2"/>
      <c r="V45" s="7">
        <f t="shared" si="33"/>
        <v>1.1220070462042502E-2</v>
      </c>
      <c r="W45" s="2"/>
      <c r="X45" s="6">
        <f t="shared" si="34"/>
        <v>-1000</v>
      </c>
      <c r="Y45" s="2"/>
      <c r="Z45" s="7">
        <f t="shared" si="35"/>
        <v>-1</v>
      </c>
    </row>
    <row r="46" spans="1:26" s="28" customFormat="1" outlineLevel="1" collapsed="1" x14ac:dyDescent="0.2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29.74</v>
      </c>
      <c r="E46" s="1"/>
      <c r="F46" s="5">
        <f t="shared" si="28"/>
        <v>2.3706410375978568E-3</v>
      </c>
      <c r="G46" s="1"/>
      <c r="H46" s="1">
        <f>SUM(OSRRefH22_3x_0)</f>
        <v>8</v>
      </c>
      <c r="I46" s="1"/>
      <c r="J46" s="5">
        <f t="shared" si="29"/>
        <v>1.1060723371308483E-4</v>
      </c>
      <c r="K46" s="1"/>
      <c r="L46" s="1">
        <f t="shared" si="30"/>
        <v>21.74</v>
      </c>
      <c r="M46" s="1"/>
      <c r="N46" s="5">
        <f t="shared" si="31"/>
        <v>2.7174999999999998</v>
      </c>
      <c r="O46" s="14"/>
      <c r="P46" s="1">
        <f>SUM(OSRRefP22_3x_0)</f>
        <v>29.74</v>
      </c>
      <c r="Q46" s="1"/>
      <c r="R46" s="5">
        <f t="shared" si="32"/>
        <v>2.3706410375978568E-3</v>
      </c>
      <c r="S46" s="1"/>
      <c r="T46" s="1">
        <f>SUM(OSRRefT22_3x_0)</f>
        <v>16</v>
      </c>
      <c r="U46" s="1"/>
      <c r="V46" s="5">
        <f t="shared" si="33"/>
        <v>1.7952112739268001E-4</v>
      </c>
      <c r="W46" s="1"/>
      <c r="X46" s="1">
        <f t="shared" si="34"/>
        <v>13.739999999999998</v>
      </c>
      <c r="Y46" s="1"/>
      <c r="Z46" s="5">
        <f t="shared" si="35"/>
        <v>0.8587499999999999</v>
      </c>
    </row>
    <row r="47" spans="1:26" s="24" customFormat="1" hidden="1" outlineLevel="2" x14ac:dyDescent="0.25">
      <c r="A47" s="29"/>
      <c r="B47" s="11" t="str">
        <f>CONCATENATE("          ", "6272", " - ", "CASH (OVER/SHORT)")</f>
        <v xml:space="preserve">          6272 - CASH (OVER/SHORT)</v>
      </c>
      <c r="C47" s="11"/>
      <c r="D47" s="6">
        <v>29.74</v>
      </c>
      <c r="E47" s="2"/>
      <c r="F47" s="7">
        <f t="shared" si="28"/>
        <v>2.3706410375978568E-3</v>
      </c>
      <c r="G47" s="2"/>
      <c r="H47" s="6">
        <v>8</v>
      </c>
      <c r="I47" s="2"/>
      <c r="J47" s="7">
        <f t="shared" si="29"/>
        <v>1.1060723371308483E-4</v>
      </c>
      <c r="K47" s="2"/>
      <c r="L47" s="6">
        <f t="shared" si="30"/>
        <v>21.74</v>
      </c>
      <c r="M47" s="2"/>
      <c r="N47" s="7">
        <f t="shared" si="31"/>
        <v>2.7174999999999998</v>
      </c>
      <c r="O47" s="11"/>
      <c r="P47" s="6">
        <v>29.74</v>
      </c>
      <c r="Q47" s="2"/>
      <c r="R47" s="7">
        <f t="shared" si="32"/>
        <v>2.3706410375978568E-3</v>
      </c>
      <c r="S47" s="2"/>
      <c r="T47" s="6">
        <v>16</v>
      </c>
      <c r="U47" s="2"/>
      <c r="V47" s="7">
        <f t="shared" si="33"/>
        <v>1.7952112739268001E-4</v>
      </c>
      <c r="W47" s="2"/>
      <c r="X47" s="6">
        <f t="shared" si="34"/>
        <v>13.739999999999998</v>
      </c>
      <c r="Y47" s="2"/>
      <c r="Z47" s="7">
        <f t="shared" si="35"/>
        <v>0.8587499999999999</v>
      </c>
    </row>
    <row r="48" spans="1:26" s="28" customFormat="1" outlineLevel="1" collapsed="1" x14ac:dyDescent="0.2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28"/>
        <v>0</v>
      </c>
      <c r="G48" s="1"/>
      <c r="H48" s="1">
        <f>SUM(OSRRefH22_4x_0)</f>
        <v>10</v>
      </c>
      <c r="I48" s="1"/>
      <c r="J48" s="5">
        <f t="shared" si="29"/>
        <v>1.3825904214135606E-4</v>
      </c>
      <c r="K48" s="1"/>
      <c r="L48" s="1">
        <f t="shared" si="30"/>
        <v>-10</v>
      </c>
      <c r="M48" s="1"/>
      <c r="N48" s="5">
        <f t="shared" si="31"/>
        <v>-1</v>
      </c>
      <c r="O48" s="14"/>
      <c r="P48" s="1">
        <f>SUM(OSRRefP22_4x_0)</f>
        <v>0</v>
      </c>
      <c r="Q48" s="1"/>
      <c r="R48" s="5">
        <f t="shared" si="32"/>
        <v>0</v>
      </c>
      <c r="S48" s="1"/>
      <c r="T48" s="1">
        <f>SUM(OSRRefT22_4x_0)</f>
        <v>20</v>
      </c>
      <c r="U48" s="1"/>
      <c r="V48" s="5">
        <f t="shared" si="33"/>
        <v>2.2440140924085002E-4</v>
      </c>
      <c r="W48" s="1"/>
      <c r="X48" s="1">
        <f t="shared" si="34"/>
        <v>-20</v>
      </c>
      <c r="Y48" s="1"/>
      <c r="Z48" s="5">
        <f t="shared" si="35"/>
        <v>-1</v>
      </c>
    </row>
    <row r="49" spans="1:26" s="24" customFormat="1" hidden="1" outlineLevel="2" x14ac:dyDescent="0.25">
      <c r="A49" s="29"/>
      <c r="B49" s="11" t="str">
        <f>CONCATENATE("          ", "6381", " - ", "BANK/CREDIT CARD FEES")</f>
        <v xml:space="preserve">          6381 - BANK/CREDIT CARD FEES</v>
      </c>
      <c r="C49" s="11"/>
      <c r="D49" s="6"/>
      <c r="E49" s="2"/>
      <c r="F49" s="7">
        <f t="shared" si="28"/>
        <v>0</v>
      </c>
      <c r="G49" s="2"/>
      <c r="H49" s="6">
        <v>10</v>
      </c>
      <c r="I49" s="2"/>
      <c r="J49" s="7">
        <f t="shared" si="29"/>
        <v>1.3825904214135606E-4</v>
      </c>
      <c r="K49" s="2"/>
      <c r="L49" s="6">
        <f t="shared" si="30"/>
        <v>-10</v>
      </c>
      <c r="M49" s="2"/>
      <c r="N49" s="7">
        <f t="shared" si="31"/>
        <v>-1</v>
      </c>
      <c r="O49" s="11"/>
      <c r="P49" s="6"/>
      <c r="Q49" s="2"/>
      <c r="R49" s="7">
        <f t="shared" si="32"/>
        <v>0</v>
      </c>
      <c r="S49" s="2"/>
      <c r="T49" s="6">
        <v>20</v>
      </c>
      <c r="U49" s="2"/>
      <c r="V49" s="7">
        <f t="shared" si="33"/>
        <v>2.2440140924085002E-4</v>
      </c>
      <c r="W49" s="2"/>
      <c r="X49" s="6">
        <f t="shared" si="34"/>
        <v>-20</v>
      </c>
      <c r="Y49" s="2"/>
      <c r="Z49" s="7">
        <f t="shared" si="35"/>
        <v>-1</v>
      </c>
    </row>
    <row r="50" spans="1:26" s="28" customFormat="1" outlineLevel="1" collapsed="1" x14ac:dyDescent="0.2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213.02</v>
      </c>
      <c r="E50" s="1"/>
      <c r="F50" s="5">
        <f t="shared" si="28"/>
        <v>1.6980294345295747E-2</v>
      </c>
      <c r="G50" s="1"/>
      <c r="H50" s="1">
        <f>SUM(OSRRefH22_5x_0)</f>
        <v>213</v>
      </c>
      <c r="I50" s="1"/>
      <c r="J50" s="5">
        <f t="shared" si="29"/>
        <v>2.9449175976108835E-3</v>
      </c>
      <c r="K50" s="1"/>
      <c r="L50" s="1">
        <f t="shared" si="30"/>
        <v>2.0000000000010232E-2</v>
      </c>
      <c r="M50" s="1"/>
      <c r="N50" s="5">
        <f t="shared" si="31"/>
        <v>9.3896713615071505E-5</v>
      </c>
      <c r="O50" s="14"/>
      <c r="P50" s="1">
        <f>SUM(OSRRefP22_5x_0)</f>
        <v>639.05999999999995</v>
      </c>
      <c r="Q50" s="1"/>
      <c r="R50" s="5">
        <f t="shared" si="32"/>
        <v>5.094088303588723E-2</v>
      </c>
      <c r="S50" s="1"/>
      <c r="T50" s="1">
        <f>SUM(OSRRefT22_5x_0)</f>
        <v>639</v>
      </c>
      <c r="U50" s="1"/>
      <c r="V50" s="5">
        <f t="shared" si="33"/>
        <v>7.1696250252451582E-3</v>
      </c>
      <c r="W50" s="1"/>
      <c r="X50" s="1">
        <f t="shared" si="34"/>
        <v>5.999999999994543E-2</v>
      </c>
      <c r="Y50" s="1"/>
      <c r="Z50" s="5">
        <f t="shared" si="35"/>
        <v>9.389671361493808E-5</v>
      </c>
    </row>
    <row r="51" spans="1:26" s="24" customFormat="1" hidden="1" outlineLevel="2" x14ac:dyDescent="0.25">
      <c r="A51" s="29"/>
      <c r="B51" s="11" t="str">
        <f>CONCATENATE("          ", "6322", " - ", "EQUIPMENT DEPRECIATION EXPENSE")</f>
        <v xml:space="preserve">          6322 - EQUIPMENT DEPRECIATION EXPENSE</v>
      </c>
      <c r="C51" s="11"/>
      <c r="D51" s="6">
        <v>213.02</v>
      </c>
      <c r="E51" s="2"/>
      <c r="F51" s="7">
        <f t="shared" si="28"/>
        <v>1.6980294345295747E-2</v>
      </c>
      <c r="G51" s="2"/>
      <c r="H51" s="6">
        <v>213</v>
      </c>
      <c r="I51" s="2"/>
      <c r="J51" s="7">
        <f t="shared" si="29"/>
        <v>2.9449175976108835E-3</v>
      </c>
      <c r="K51" s="2"/>
      <c r="L51" s="6">
        <f t="shared" si="30"/>
        <v>2.0000000000010232E-2</v>
      </c>
      <c r="M51" s="2"/>
      <c r="N51" s="7">
        <f t="shared" si="31"/>
        <v>9.3896713615071505E-5</v>
      </c>
      <c r="O51" s="11"/>
      <c r="P51" s="6">
        <v>639.05999999999995</v>
      </c>
      <c r="Q51" s="2"/>
      <c r="R51" s="7">
        <f t="shared" si="32"/>
        <v>5.094088303588723E-2</v>
      </c>
      <c r="S51" s="2"/>
      <c r="T51" s="6">
        <v>639</v>
      </c>
      <c r="U51" s="2"/>
      <c r="V51" s="7">
        <f t="shared" si="33"/>
        <v>7.1696250252451582E-3</v>
      </c>
      <c r="W51" s="2"/>
      <c r="X51" s="6">
        <f t="shared" si="34"/>
        <v>5.999999999994543E-2</v>
      </c>
      <c r="Y51" s="2"/>
      <c r="Z51" s="7">
        <f t="shared" si="35"/>
        <v>9.389671361493808E-5</v>
      </c>
    </row>
    <row r="52" spans="1:26" s="28" customFormat="1" outlineLevel="1" collapsed="1" x14ac:dyDescent="0.25">
      <c r="A52" s="27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0</v>
      </c>
      <c r="E52" s="1"/>
      <c r="F52" s="5">
        <f t="shared" si="28"/>
        <v>0</v>
      </c>
      <c r="G52" s="1"/>
      <c r="H52" s="1">
        <f>SUM(OSRRefH22_6x_0)</f>
        <v>2673</v>
      </c>
      <c r="I52" s="1"/>
      <c r="J52" s="5">
        <f t="shared" si="29"/>
        <v>3.6956641964384473E-2</v>
      </c>
      <c r="K52" s="1"/>
      <c r="L52" s="1">
        <f t="shared" si="30"/>
        <v>-2673</v>
      </c>
      <c r="M52" s="1"/>
      <c r="N52" s="5">
        <f t="shared" si="31"/>
        <v>-1</v>
      </c>
      <c r="O52" s="14"/>
      <c r="P52" s="1">
        <f>SUM(OSRRefP22_6x_0)</f>
        <v>0</v>
      </c>
      <c r="Q52" s="1"/>
      <c r="R52" s="5">
        <f t="shared" si="32"/>
        <v>0</v>
      </c>
      <c r="S52" s="1"/>
      <c r="T52" s="1">
        <f>SUM(OSRRefT22_6x_0)</f>
        <v>5346</v>
      </c>
      <c r="U52" s="1"/>
      <c r="V52" s="5">
        <f t="shared" si="33"/>
        <v>5.9982496690079212E-2</v>
      </c>
      <c r="W52" s="1"/>
      <c r="X52" s="1">
        <f t="shared" si="34"/>
        <v>-5346</v>
      </c>
      <c r="Y52" s="1"/>
      <c r="Z52" s="5">
        <f t="shared" si="35"/>
        <v>-1</v>
      </c>
    </row>
    <row r="53" spans="1:26" s="24" customFormat="1" hidden="1" outlineLevel="2" x14ac:dyDescent="0.25">
      <c r="A53" s="29"/>
      <c r="B53" s="11" t="str">
        <f>CONCATENATE("          ", "6399", " - ", "DONATION-ON CAMPUS")</f>
        <v xml:space="preserve">          6399 - DONATION-ON CAMPUS</v>
      </c>
      <c r="C53" s="11"/>
      <c r="D53" s="6"/>
      <c r="E53" s="2"/>
      <c r="F53" s="7">
        <f t="shared" si="28"/>
        <v>0</v>
      </c>
      <c r="G53" s="2"/>
      <c r="H53" s="6">
        <v>2673</v>
      </c>
      <c r="I53" s="2"/>
      <c r="J53" s="7">
        <f t="shared" si="29"/>
        <v>3.6956641964384473E-2</v>
      </c>
      <c r="K53" s="2"/>
      <c r="L53" s="6">
        <f t="shared" si="30"/>
        <v>-2673</v>
      </c>
      <c r="M53" s="2"/>
      <c r="N53" s="7">
        <f t="shared" si="31"/>
        <v>-1</v>
      </c>
      <c r="O53" s="11"/>
      <c r="P53" s="6"/>
      <c r="Q53" s="2"/>
      <c r="R53" s="7">
        <f t="shared" si="32"/>
        <v>0</v>
      </c>
      <c r="S53" s="2"/>
      <c r="T53" s="6">
        <v>5346</v>
      </c>
      <c r="U53" s="2"/>
      <c r="V53" s="7">
        <f t="shared" si="33"/>
        <v>5.9982496690079212E-2</v>
      </c>
      <c r="W53" s="2"/>
      <c r="X53" s="6">
        <f t="shared" si="34"/>
        <v>-5346</v>
      </c>
      <c r="Y53" s="2"/>
      <c r="Z53" s="7">
        <f t="shared" si="35"/>
        <v>-1</v>
      </c>
    </row>
    <row r="54" spans="1:26" s="28" customFormat="1" outlineLevel="1" collapsed="1" x14ac:dyDescent="0.25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50</v>
      </c>
      <c r="I54" s="1"/>
      <c r="J54" s="5">
        <f t="shared" si="29"/>
        <v>6.9129521070678023E-4</v>
      </c>
      <c r="K54" s="1"/>
      <c r="L54" s="1">
        <f t="shared" si="30"/>
        <v>-50</v>
      </c>
      <c r="M54" s="1"/>
      <c r="N54" s="5">
        <f t="shared" si="31"/>
        <v>-1</v>
      </c>
      <c r="O54" s="14"/>
      <c r="P54" s="1">
        <f>SUM(OSRRefP22_7x_0)</f>
        <v>0</v>
      </c>
      <c r="Q54" s="1"/>
      <c r="R54" s="5">
        <f t="shared" si="32"/>
        <v>0</v>
      </c>
      <c r="S54" s="1"/>
      <c r="T54" s="1">
        <f>SUM(OSRRefT22_7x_0)</f>
        <v>100</v>
      </c>
      <c r="U54" s="1"/>
      <c r="V54" s="5">
        <f t="shared" si="33"/>
        <v>1.1220070462042502E-3</v>
      </c>
      <c r="W54" s="1"/>
      <c r="X54" s="1">
        <f t="shared" si="34"/>
        <v>-100</v>
      </c>
      <c r="Y54" s="1"/>
      <c r="Z54" s="5">
        <f t="shared" si="35"/>
        <v>-1</v>
      </c>
    </row>
    <row r="55" spans="1:26" s="24" customFormat="1" hidden="1" outlineLevel="2" x14ac:dyDescent="0.25">
      <c r="A55" s="29"/>
      <c r="B55" s="11" t="str">
        <f>CONCATENATE("          ", "6277", " - ", "EMPLOYEE APPRECIATION")</f>
        <v xml:space="preserve">          6277 - EMPLOYEE APPRECIATION</v>
      </c>
      <c r="C55" s="11"/>
      <c r="D55" s="6"/>
      <c r="E55" s="2"/>
      <c r="F55" s="7">
        <f t="shared" si="28"/>
        <v>0</v>
      </c>
      <c r="G55" s="2"/>
      <c r="H55" s="6">
        <v>50</v>
      </c>
      <c r="I55" s="2"/>
      <c r="J55" s="7">
        <f t="shared" si="29"/>
        <v>6.9129521070678023E-4</v>
      </c>
      <c r="K55" s="2"/>
      <c r="L55" s="6">
        <f t="shared" si="30"/>
        <v>-50</v>
      </c>
      <c r="M55" s="2"/>
      <c r="N55" s="7">
        <f t="shared" si="31"/>
        <v>-1</v>
      </c>
      <c r="O55" s="11"/>
      <c r="P55" s="6"/>
      <c r="Q55" s="2"/>
      <c r="R55" s="7">
        <f t="shared" si="32"/>
        <v>0</v>
      </c>
      <c r="S55" s="2"/>
      <c r="T55" s="6">
        <v>100</v>
      </c>
      <c r="U55" s="2"/>
      <c r="V55" s="7">
        <f t="shared" si="33"/>
        <v>1.1220070462042502E-3</v>
      </c>
      <c r="W55" s="2"/>
      <c r="X55" s="6">
        <f t="shared" si="34"/>
        <v>-100</v>
      </c>
      <c r="Y55" s="2"/>
      <c r="Z55" s="7">
        <f t="shared" si="35"/>
        <v>-1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0</v>
      </c>
      <c r="E56" s="1"/>
      <c r="F56" s="5">
        <f t="shared" si="28"/>
        <v>0</v>
      </c>
      <c r="G56" s="1"/>
      <c r="H56" s="1">
        <f>SUM(OSRRefH22_8x_0)</f>
        <v>0</v>
      </c>
      <c r="I56" s="1"/>
      <c r="J56" s="5">
        <f t="shared" si="29"/>
        <v>0</v>
      </c>
      <c r="K56" s="1"/>
      <c r="L56" s="1">
        <f t="shared" si="30"/>
        <v>0</v>
      </c>
      <c r="M56" s="1"/>
      <c r="N56" s="5">
        <f t="shared" si="31"/>
        <v>0</v>
      </c>
      <c r="O56" s="14"/>
      <c r="P56" s="1">
        <f>SUM(OSRRefP22_8x_0)</f>
        <v>20</v>
      </c>
      <c r="Q56" s="1"/>
      <c r="R56" s="5">
        <f t="shared" si="32"/>
        <v>1.5942441409535016E-3</v>
      </c>
      <c r="S56" s="1"/>
      <c r="T56" s="1">
        <f>SUM(OSRRefT22_8x_0)</f>
        <v>0</v>
      </c>
      <c r="U56" s="1"/>
      <c r="V56" s="5">
        <f t="shared" si="33"/>
        <v>0</v>
      </c>
      <c r="W56" s="1"/>
      <c r="X56" s="1">
        <f t="shared" si="34"/>
        <v>20</v>
      </c>
      <c r="Y56" s="1"/>
      <c r="Z56" s="5">
        <f t="shared" si="35"/>
        <v>0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6"/>
      <c r="E57" s="2"/>
      <c r="F57" s="7">
        <f t="shared" si="28"/>
        <v>0</v>
      </c>
      <c r="G57" s="2"/>
      <c r="H57" s="6"/>
      <c r="I57" s="2"/>
      <c r="J57" s="7">
        <f t="shared" si="29"/>
        <v>0</v>
      </c>
      <c r="K57" s="2"/>
      <c r="L57" s="6">
        <f t="shared" si="30"/>
        <v>0</v>
      </c>
      <c r="M57" s="2"/>
      <c r="N57" s="7">
        <f t="shared" si="31"/>
        <v>0</v>
      </c>
      <c r="O57" s="11"/>
      <c r="P57" s="6">
        <v>20</v>
      </c>
      <c r="Q57" s="2"/>
      <c r="R57" s="7">
        <f t="shared" si="32"/>
        <v>1.5942441409535016E-3</v>
      </c>
      <c r="S57" s="2"/>
      <c r="T57" s="6"/>
      <c r="U57" s="2"/>
      <c r="V57" s="7">
        <f t="shared" si="33"/>
        <v>0</v>
      </c>
      <c r="W57" s="2"/>
      <c r="X57" s="6">
        <f t="shared" si="34"/>
        <v>20</v>
      </c>
      <c r="Y57" s="2"/>
      <c r="Z57" s="7">
        <f t="shared" si="35"/>
        <v>0</v>
      </c>
    </row>
    <row r="58" spans="1:26" s="28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SUM(OSRRefD22_9x_0)</f>
        <v>0</v>
      </c>
      <c r="E58" s="1"/>
      <c r="F58" s="5">
        <f t="shared" si="28"/>
        <v>0</v>
      </c>
      <c r="G58" s="1"/>
      <c r="H58" s="1">
        <f>SUM(OSRRefH22_9x_0)</f>
        <v>10</v>
      </c>
      <c r="I58" s="1"/>
      <c r="J58" s="5">
        <f t="shared" si="29"/>
        <v>1.3825904214135606E-4</v>
      </c>
      <c r="K58" s="1"/>
      <c r="L58" s="1">
        <f t="shared" si="30"/>
        <v>-10</v>
      </c>
      <c r="M58" s="1"/>
      <c r="N58" s="5">
        <f t="shared" si="31"/>
        <v>-1</v>
      </c>
      <c r="O58" s="14"/>
      <c r="P58" s="1">
        <f>SUM(OSRRefP22_9x_0)</f>
        <v>1439.55</v>
      </c>
      <c r="Q58" s="1"/>
      <c r="R58" s="5">
        <f t="shared" si="32"/>
        <v>0.11474970765548066</v>
      </c>
      <c r="S58" s="1"/>
      <c r="T58" s="1">
        <f>SUM(OSRRefT22_9x_0)</f>
        <v>1620</v>
      </c>
      <c r="U58" s="1"/>
      <c r="V58" s="5">
        <f t="shared" si="33"/>
        <v>1.8176514148508852E-2</v>
      </c>
      <c r="W58" s="1"/>
      <c r="X58" s="1">
        <f t="shared" si="34"/>
        <v>-180.45000000000005</v>
      </c>
      <c r="Y58" s="1"/>
      <c r="Z58" s="5">
        <f t="shared" si="35"/>
        <v>-0.11138888888888891</v>
      </c>
    </row>
    <row r="59" spans="1:26" s="24" customFormat="1" hidden="1" outlineLevel="2" x14ac:dyDescent="0.25">
      <c r="A59" s="29"/>
      <c r="B59" s="11" t="str">
        <f>CONCATENATE("          ", "6279", " - ", "GENERAL EXPENSE")</f>
        <v xml:space="preserve">          6279 - GENERAL EXPENSE</v>
      </c>
      <c r="C59" s="11"/>
      <c r="D59" s="6"/>
      <c r="E59" s="2"/>
      <c r="F59" s="7">
        <f t="shared" si="28"/>
        <v>0</v>
      </c>
      <c r="G59" s="2"/>
      <c r="H59" s="6">
        <v>10</v>
      </c>
      <c r="I59" s="2"/>
      <c r="J59" s="7">
        <f t="shared" si="29"/>
        <v>1.3825904214135606E-4</v>
      </c>
      <c r="K59" s="2"/>
      <c r="L59" s="6">
        <f t="shared" si="30"/>
        <v>-10</v>
      </c>
      <c r="M59" s="2"/>
      <c r="N59" s="7">
        <f t="shared" si="31"/>
        <v>-1</v>
      </c>
      <c r="O59" s="11"/>
      <c r="P59" s="6">
        <v>1439.55</v>
      </c>
      <c r="Q59" s="2"/>
      <c r="R59" s="7">
        <f t="shared" si="32"/>
        <v>0.11474970765548066</v>
      </c>
      <c r="S59" s="2"/>
      <c r="T59" s="6">
        <v>1620</v>
      </c>
      <c r="U59" s="2"/>
      <c r="V59" s="7">
        <f t="shared" si="33"/>
        <v>1.8176514148508852E-2</v>
      </c>
      <c r="W59" s="2"/>
      <c r="X59" s="6">
        <f t="shared" si="34"/>
        <v>-180.45000000000005</v>
      </c>
      <c r="Y59" s="2"/>
      <c r="Z59" s="7">
        <f t="shared" si="35"/>
        <v>-0.11138888888888891</v>
      </c>
    </row>
    <row r="60" spans="1:26" s="28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SUM(OSRRefD22_10x_0)</f>
        <v>5.9</v>
      </c>
      <c r="E60" s="1"/>
      <c r="F60" s="5">
        <f t="shared" si="28"/>
        <v>4.7030202158128301E-4</v>
      </c>
      <c r="G60" s="1"/>
      <c r="H60" s="1">
        <f>SUM(OSRRefH22_10x_0)</f>
        <v>7</v>
      </c>
      <c r="I60" s="1"/>
      <c r="J60" s="5">
        <f t="shared" si="29"/>
        <v>9.6781329498949237E-5</v>
      </c>
      <c r="K60" s="1"/>
      <c r="L60" s="1">
        <f t="shared" si="30"/>
        <v>-1.0999999999999996</v>
      </c>
      <c r="M60" s="1"/>
      <c r="N60" s="5">
        <f t="shared" si="31"/>
        <v>-0.15714285714285708</v>
      </c>
      <c r="O60" s="14"/>
      <c r="P60" s="1">
        <f>SUM(OSRRefP22_10x_0)</f>
        <v>17.7</v>
      </c>
      <c r="Q60" s="1"/>
      <c r="R60" s="5">
        <f t="shared" si="32"/>
        <v>1.4109060647438489E-3</v>
      </c>
      <c r="S60" s="1"/>
      <c r="T60" s="1">
        <f>SUM(OSRRefT22_10x_0)</f>
        <v>21</v>
      </c>
      <c r="U60" s="1"/>
      <c r="V60" s="5">
        <f t="shared" si="33"/>
        <v>2.3562147970289255E-4</v>
      </c>
      <c r="W60" s="1"/>
      <c r="X60" s="1">
        <f t="shared" si="34"/>
        <v>-3.3000000000000007</v>
      </c>
      <c r="Y60" s="1"/>
      <c r="Z60" s="5">
        <f t="shared" si="35"/>
        <v>-0.15714285714285717</v>
      </c>
    </row>
    <row r="61" spans="1:26" s="24" customFormat="1" hidden="1" outlineLevel="2" x14ac:dyDescent="0.25">
      <c r="A61" s="29"/>
      <c r="B61" s="11" t="str">
        <f>CONCATENATE("          ", "6314", " - ", "LIABILITY INSURANCE")</f>
        <v xml:space="preserve">          6314 - LIABILITY INSURANCE</v>
      </c>
      <c r="C61" s="11"/>
      <c r="D61" s="6">
        <v>5.9</v>
      </c>
      <c r="E61" s="2"/>
      <c r="F61" s="7">
        <f t="shared" si="28"/>
        <v>4.7030202158128301E-4</v>
      </c>
      <c r="G61" s="2"/>
      <c r="H61" s="6">
        <v>7</v>
      </c>
      <c r="I61" s="2"/>
      <c r="J61" s="7">
        <f t="shared" si="29"/>
        <v>9.6781329498949237E-5</v>
      </c>
      <c r="K61" s="2"/>
      <c r="L61" s="6">
        <f t="shared" si="30"/>
        <v>-1.0999999999999996</v>
      </c>
      <c r="M61" s="2"/>
      <c r="N61" s="7">
        <f t="shared" si="31"/>
        <v>-0.15714285714285708</v>
      </c>
      <c r="O61" s="11"/>
      <c r="P61" s="6">
        <v>17.7</v>
      </c>
      <c r="Q61" s="2"/>
      <c r="R61" s="7">
        <f t="shared" si="32"/>
        <v>1.4109060647438489E-3</v>
      </c>
      <c r="S61" s="2"/>
      <c r="T61" s="6">
        <v>21</v>
      </c>
      <c r="U61" s="2"/>
      <c r="V61" s="7">
        <f t="shared" si="33"/>
        <v>2.3562147970289255E-4</v>
      </c>
      <c r="W61" s="2"/>
      <c r="X61" s="6">
        <f t="shared" si="34"/>
        <v>-3.3000000000000007</v>
      </c>
      <c r="Y61" s="2"/>
      <c r="Z61" s="7">
        <f t="shared" si="35"/>
        <v>-0.15714285714285717</v>
      </c>
    </row>
    <row r="62" spans="1:26" s="28" customFormat="1" outlineLevel="1" collapsed="1" x14ac:dyDescent="0.25">
      <c r="A62" s="27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SUM(OSRRefD22_11x_0)</f>
        <v>0</v>
      </c>
      <c r="E62" s="1"/>
      <c r="F62" s="5">
        <f t="shared" si="28"/>
        <v>0</v>
      </c>
      <c r="G62" s="1"/>
      <c r="H62" s="1">
        <f>SUM(OSRRefH22_11x_0)</f>
        <v>5786</v>
      </c>
      <c r="I62" s="1"/>
      <c r="J62" s="5">
        <f t="shared" si="29"/>
        <v>7.9996681782988605E-2</v>
      </c>
      <c r="K62" s="1"/>
      <c r="L62" s="1">
        <f t="shared" si="30"/>
        <v>-5786</v>
      </c>
      <c r="M62" s="1"/>
      <c r="N62" s="5">
        <f t="shared" si="31"/>
        <v>-1</v>
      </c>
      <c r="O62" s="14"/>
      <c r="P62" s="1">
        <f>SUM(OSRRefP22_11x_0)</f>
        <v>0</v>
      </c>
      <c r="Q62" s="1"/>
      <c r="R62" s="5">
        <f t="shared" si="32"/>
        <v>0</v>
      </c>
      <c r="S62" s="1"/>
      <c r="T62" s="1">
        <f>SUM(OSRRefT22_11x_0)</f>
        <v>7130</v>
      </c>
      <c r="U62" s="1"/>
      <c r="V62" s="5">
        <f t="shared" si="33"/>
        <v>7.9999102394363031E-2</v>
      </c>
      <c r="W62" s="1"/>
      <c r="X62" s="1">
        <f t="shared" si="34"/>
        <v>-7130</v>
      </c>
      <c r="Y62" s="1"/>
      <c r="Z62" s="5">
        <f t="shared" si="35"/>
        <v>-1</v>
      </c>
    </row>
    <row r="63" spans="1:26" s="24" customFormat="1" hidden="1" outlineLevel="2" x14ac:dyDescent="0.25">
      <c r="A63" s="29"/>
      <c r="B63" s="11" t="str">
        <f>CONCATENATE("          ", "6387", " - ", "COMMISSION DUE HOUSING")</f>
        <v xml:space="preserve">          6387 - COMMISSION DUE HOUSING</v>
      </c>
      <c r="C63" s="11"/>
      <c r="D63" s="6"/>
      <c r="E63" s="2"/>
      <c r="F63" s="7">
        <f t="shared" si="28"/>
        <v>0</v>
      </c>
      <c r="G63" s="2"/>
      <c r="H63" s="6">
        <v>5786</v>
      </c>
      <c r="I63" s="2"/>
      <c r="J63" s="7">
        <f t="shared" si="29"/>
        <v>7.9996681782988605E-2</v>
      </c>
      <c r="K63" s="2"/>
      <c r="L63" s="6">
        <f t="shared" si="30"/>
        <v>-5786</v>
      </c>
      <c r="M63" s="2"/>
      <c r="N63" s="7">
        <f t="shared" si="31"/>
        <v>-1</v>
      </c>
      <c r="O63" s="11"/>
      <c r="P63" s="6"/>
      <c r="Q63" s="2"/>
      <c r="R63" s="7">
        <f t="shared" si="32"/>
        <v>0</v>
      </c>
      <c r="S63" s="2"/>
      <c r="T63" s="6">
        <v>7130</v>
      </c>
      <c r="U63" s="2"/>
      <c r="V63" s="7">
        <f t="shared" si="33"/>
        <v>7.9999102394363031E-2</v>
      </c>
      <c r="W63" s="2"/>
      <c r="X63" s="6">
        <f t="shared" si="34"/>
        <v>-7130</v>
      </c>
      <c r="Y63" s="2"/>
      <c r="Z63" s="7">
        <f t="shared" si="35"/>
        <v>-1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SUM(OSRRefD22_12x_0)</f>
        <v>72.349999999999994</v>
      </c>
      <c r="E64" s="1"/>
      <c r="F64" s="5">
        <f t="shared" si="28"/>
        <v>5.7671781798992912E-3</v>
      </c>
      <c r="G64" s="1"/>
      <c r="H64" s="1">
        <f>SUM(OSRRefH22_12x_0)</f>
        <v>20</v>
      </c>
      <c r="I64" s="1"/>
      <c r="J64" s="5">
        <f t="shared" si="29"/>
        <v>2.7651808428271211E-4</v>
      </c>
      <c r="K64" s="1"/>
      <c r="L64" s="1">
        <f t="shared" si="30"/>
        <v>52.349999999999994</v>
      </c>
      <c r="M64" s="1"/>
      <c r="N64" s="5">
        <f t="shared" si="31"/>
        <v>2.6174999999999997</v>
      </c>
      <c r="O64" s="14"/>
      <c r="P64" s="1">
        <f>SUM(OSRRefP22_12x_0)</f>
        <v>72.349999999999994</v>
      </c>
      <c r="Q64" s="1"/>
      <c r="R64" s="5">
        <f t="shared" si="32"/>
        <v>5.7671781798992912E-3</v>
      </c>
      <c r="S64" s="1"/>
      <c r="T64" s="1">
        <f>SUM(OSRRefT22_12x_0)</f>
        <v>60</v>
      </c>
      <c r="U64" s="1"/>
      <c r="V64" s="5">
        <f t="shared" si="33"/>
        <v>6.7320422772255007E-4</v>
      </c>
      <c r="W64" s="1"/>
      <c r="X64" s="1">
        <f t="shared" si="34"/>
        <v>12.349999999999994</v>
      </c>
      <c r="Y64" s="1"/>
      <c r="Z64" s="5">
        <f t="shared" si="35"/>
        <v>0.20583333333333323</v>
      </c>
    </row>
    <row r="65" spans="1:26" s="24" customFormat="1" hidden="1" outlineLevel="2" x14ac:dyDescent="0.25">
      <c r="A65" s="29"/>
      <c r="B65" s="11" t="str">
        <f>CONCATENATE("          ", "6373", " - ", "MAINTENANCE CONTRACTS")</f>
        <v xml:space="preserve">          6373 - MAINTENANCE CONTRACTS</v>
      </c>
      <c r="C65" s="11"/>
      <c r="D65" s="6">
        <v>72.349999999999994</v>
      </c>
      <c r="E65" s="2"/>
      <c r="F65" s="7">
        <f t="shared" si="28"/>
        <v>5.7671781798992912E-3</v>
      </c>
      <c r="G65" s="2"/>
      <c r="H65" s="6">
        <v>20</v>
      </c>
      <c r="I65" s="2"/>
      <c r="J65" s="7">
        <f t="shared" si="29"/>
        <v>2.7651808428271211E-4</v>
      </c>
      <c r="K65" s="2"/>
      <c r="L65" s="6">
        <f t="shared" si="30"/>
        <v>52.349999999999994</v>
      </c>
      <c r="M65" s="2"/>
      <c r="N65" s="7">
        <f t="shared" si="31"/>
        <v>2.6174999999999997</v>
      </c>
      <c r="O65" s="11"/>
      <c r="P65" s="6">
        <v>72.349999999999994</v>
      </c>
      <c r="Q65" s="2"/>
      <c r="R65" s="7">
        <f t="shared" si="32"/>
        <v>5.7671781798992912E-3</v>
      </c>
      <c r="S65" s="2"/>
      <c r="T65" s="6">
        <v>60</v>
      </c>
      <c r="U65" s="2"/>
      <c r="V65" s="7">
        <f t="shared" si="33"/>
        <v>6.7320422772255007E-4</v>
      </c>
      <c r="W65" s="2"/>
      <c r="X65" s="6">
        <f t="shared" si="34"/>
        <v>12.349999999999994</v>
      </c>
      <c r="Y65" s="2"/>
      <c r="Z65" s="7">
        <f t="shared" si="35"/>
        <v>0.20583333333333323</v>
      </c>
    </row>
    <row r="66" spans="1:26" s="28" customFormat="1" outlineLevel="1" collapsed="1" x14ac:dyDescent="0.25">
      <c r="A66" s="27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SUM(OSRRefD22_13x_0)</f>
        <v>0</v>
      </c>
      <c r="E66" s="1"/>
      <c r="F66" s="5">
        <f t="shared" si="28"/>
        <v>0</v>
      </c>
      <c r="G66" s="1"/>
      <c r="H66" s="1">
        <f>SUM(OSRRefH22_13x_0)</f>
        <v>6247</v>
      </c>
      <c r="I66" s="1"/>
      <c r="J66" s="5">
        <f t="shared" si="29"/>
        <v>8.6370423625705114E-2</v>
      </c>
      <c r="K66" s="1"/>
      <c r="L66" s="1">
        <f t="shared" si="30"/>
        <v>-6247</v>
      </c>
      <c r="M66" s="1"/>
      <c r="N66" s="5">
        <f t="shared" si="31"/>
        <v>-1</v>
      </c>
      <c r="O66" s="14"/>
      <c r="P66" s="1">
        <f>SUM(OSRRefP22_13x_0)</f>
        <v>741.41</v>
      </c>
      <c r="Q66" s="1"/>
      <c r="R66" s="5">
        <f t="shared" si="32"/>
        <v>5.9099427427216779E-2</v>
      </c>
      <c r="S66" s="1"/>
      <c r="T66" s="1">
        <f>SUM(OSRRefT22_13x_0)</f>
        <v>18741</v>
      </c>
      <c r="U66" s="1"/>
      <c r="V66" s="5">
        <f t="shared" si="33"/>
        <v>0.21027534052913852</v>
      </c>
      <c r="W66" s="1"/>
      <c r="X66" s="1">
        <f t="shared" si="34"/>
        <v>-17999.59</v>
      </c>
      <c r="Y66" s="1"/>
      <c r="Z66" s="5">
        <f t="shared" si="35"/>
        <v>-0.96043914412251219</v>
      </c>
    </row>
    <row r="67" spans="1:26" s="24" customFormat="1" hidden="1" outlineLevel="2" x14ac:dyDescent="0.25">
      <c r="A67" s="29"/>
      <c r="B67" s="11" t="str">
        <f>CONCATENATE("          ", "6282", " - ", "JANITORIAL/EXTERMINATOR EXPENS")</f>
        <v xml:space="preserve">          6282 - JANITORIAL/EXTERMINATOR EXPENS</v>
      </c>
      <c r="C67" s="11"/>
      <c r="D67" s="6"/>
      <c r="E67" s="2"/>
      <c r="F67" s="7">
        <f t="shared" si="28"/>
        <v>0</v>
      </c>
      <c r="G67" s="2"/>
      <c r="H67" s="6">
        <v>850</v>
      </c>
      <c r="I67" s="2"/>
      <c r="J67" s="7">
        <f t="shared" si="29"/>
        <v>1.1752018582015264E-2</v>
      </c>
      <c r="K67" s="2"/>
      <c r="L67" s="6">
        <f t="shared" si="30"/>
        <v>-850</v>
      </c>
      <c r="M67" s="2"/>
      <c r="N67" s="7">
        <f t="shared" si="31"/>
        <v>-1</v>
      </c>
      <c r="O67" s="11"/>
      <c r="P67" s="6">
        <v>741.41</v>
      </c>
      <c r="Q67" s="2"/>
      <c r="R67" s="7">
        <f t="shared" si="32"/>
        <v>5.9099427427216779E-2</v>
      </c>
      <c r="S67" s="2"/>
      <c r="T67" s="6">
        <v>2550</v>
      </c>
      <c r="U67" s="2"/>
      <c r="V67" s="7">
        <f t="shared" si="33"/>
        <v>2.8611179678208379E-2</v>
      </c>
      <c r="W67" s="2"/>
      <c r="X67" s="6">
        <f t="shared" si="34"/>
        <v>-1808.5900000000001</v>
      </c>
      <c r="Y67" s="2"/>
      <c r="Z67" s="7">
        <f t="shared" si="35"/>
        <v>-0.70925098039215695</v>
      </c>
    </row>
    <row r="68" spans="1:26" s="24" customFormat="1" hidden="1" outlineLevel="2" x14ac:dyDescent="0.25">
      <c r="A68" s="29"/>
      <c r="B68" s="11" t="str">
        <f>CONCATENATE("          ", "6285", " - ", "JANITORIAL SERVICES")</f>
        <v xml:space="preserve">          6285 - JANITORIAL SERVICES</v>
      </c>
      <c r="C68" s="11"/>
      <c r="D68" s="6"/>
      <c r="E68" s="2"/>
      <c r="F68" s="7">
        <f t="shared" si="28"/>
        <v>0</v>
      </c>
      <c r="G68" s="2"/>
      <c r="H68" s="6">
        <v>3897</v>
      </c>
      <c r="I68" s="2"/>
      <c r="J68" s="7">
        <f t="shared" si="29"/>
        <v>5.3879548722486452E-2</v>
      </c>
      <c r="K68" s="2"/>
      <c r="L68" s="6">
        <f t="shared" si="30"/>
        <v>-3897</v>
      </c>
      <c r="M68" s="2"/>
      <c r="N68" s="7">
        <f t="shared" si="31"/>
        <v>-1</v>
      </c>
      <c r="O68" s="11"/>
      <c r="P68" s="6"/>
      <c r="Q68" s="2"/>
      <c r="R68" s="7">
        <f t="shared" si="32"/>
        <v>0</v>
      </c>
      <c r="S68" s="2"/>
      <c r="T68" s="6">
        <v>11691</v>
      </c>
      <c r="U68" s="2"/>
      <c r="V68" s="7">
        <f t="shared" si="33"/>
        <v>0.13117384377173888</v>
      </c>
      <c r="W68" s="2"/>
      <c r="X68" s="6">
        <f t="shared" si="34"/>
        <v>-11691</v>
      </c>
      <c r="Y68" s="2"/>
      <c r="Z68" s="7">
        <f t="shared" si="35"/>
        <v>-1</v>
      </c>
    </row>
    <row r="69" spans="1:26" s="24" customFormat="1" hidden="1" outlineLevel="2" x14ac:dyDescent="0.25">
      <c r="A69" s="29"/>
      <c r="B69" s="11" t="str">
        <f>CONCATENATE("          ", "6286", " - ", "LAUNDRY EXPENSE")</f>
        <v xml:space="preserve">          6286 - LAUNDRY EXPENSE</v>
      </c>
      <c r="C69" s="11"/>
      <c r="D69" s="6"/>
      <c r="E69" s="2"/>
      <c r="F69" s="7">
        <f t="shared" si="28"/>
        <v>0</v>
      </c>
      <c r="G69" s="2"/>
      <c r="H69" s="6">
        <v>1500</v>
      </c>
      <c r="I69" s="2"/>
      <c r="J69" s="7">
        <f t="shared" si="29"/>
        <v>2.0738856321203408E-2</v>
      </c>
      <c r="K69" s="2"/>
      <c r="L69" s="6">
        <f t="shared" si="30"/>
        <v>-1500</v>
      </c>
      <c r="M69" s="2"/>
      <c r="N69" s="7">
        <f t="shared" si="31"/>
        <v>-1</v>
      </c>
      <c r="O69" s="11"/>
      <c r="P69" s="6"/>
      <c r="Q69" s="2"/>
      <c r="R69" s="7">
        <f t="shared" si="32"/>
        <v>0</v>
      </c>
      <c r="S69" s="2"/>
      <c r="T69" s="6">
        <v>4500</v>
      </c>
      <c r="U69" s="2"/>
      <c r="V69" s="7">
        <f t="shared" si="33"/>
        <v>5.0490317079191258E-2</v>
      </c>
      <c r="W69" s="2"/>
      <c r="X69" s="6">
        <f t="shared" si="34"/>
        <v>-4500</v>
      </c>
      <c r="Y69" s="2"/>
      <c r="Z69" s="7">
        <f t="shared" si="35"/>
        <v>-1</v>
      </c>
    </row>
    <row r="70" spans="1:26" s="28" customFormat="1" outlineLevel="1" collapsed="1" x14ac:dyDescent="0.25">
      <c r="A70" s="27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SUM(OSRRefD22_14x_0)</f>
        <v>0</v>
      </c>
      <c r="E70" s="1"/>
      <c r="F70" s="5">
        <f t="shared" ref="F70:F77" si="36">IF(D$12=0,0,D70/D$12)</f>
        <v>0</v>
      </c>
      <c r="G70" s="1"/>
      <c r="H70" s="1">
        <f>SUM(OSRRefH22_14x_0)</f>
        <v>5720</v>
      </c>
      <c r="I70" s="1"/>
      <c r="J70" s="5">
        <f t="shared" ref="J70:J77" si="37">IF(H$12=0,0,H70/H$12)</f>
        <v>7.908417210485566E-2</v>
      </c>
      <c r="K70" s="1"/>
      <c r="L70" s="1">
        <f t="shared" ref="L70:L77" si="38">+D70-H70</f>
        <v>-5720</v>
      </c>
      <c r="M70" s="1"/>
      <c r="N70" s="5">
        <f t="shared" ref="N70:N77" si="39">IF(H70=0,0,L70/H70)</f>
        <v>-1</v>
      </c>
      <c r="O70" s="14"/>
      <c r="P70" s="1">
        <f>SUM(OSRRefP22_14x_0)</f>
        <v>57.16</v>
      </c>
      <c r="Q70" s="1"/>
      <c r="R70" s="5">
        <f t="shared" ref="R70:R77" si="40">IF(P$12=0,0,P70/P$12)</f>
        <v>4.5563497548451069E-3</v>
      </c>
      <c r="S70" s="1"/>
      <c r="T70" s="1">
        <f>SUM(OSRRefT22_14x_0)</f>
        <v>12920</v>
      </c>
      <c r="U70" s="1"/>
      <c r="V70" s="5">
        <f t="shared" ref="V70:V77" si="41">IF(T$12=0,0,T70/T$12)</f>
        <v>0.14496331036958912</v>
      </c>
      <c r="W70" s="1"/>
      <c r="X70" s="1">
        <f t="shared" ref="X70:X77" si="42">+P70-T70</f>
        <v>-12862.84</v>
      </c>
      <c r="Y70" s="1"/>
      <c r="Z70" s="5">
        <f t="shared" ref="Z70:Z77" si="43">IF(T70=0,0,X70/T70)</f>
        <v>-0.99557585139318883</v>
      </c>
    </row>
    <row r="71" spans="1:26" s="24" customFormat="1" hidden="1" outlineLevel="2" x14ac:dyDescent="0.25">
      <c r="A71" s="29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36"/>
        <v>0</v>
      </c>
      <c r="G71" s="2"/>
      <c r="H71" s="6">
        <v>3000</v>
      </c>
      <c r="I71" s="2"/>
      <c r="J71" s="7">
        <f t="shared" si="37"/>
        <v>4.1477712642406815E-2</v>
      </c>
      <c r="K71" s="2"/>
      <c r="L71" s="6">
        <f t="shared" si="38"/>
        <v>-3000</v>
      </c>
      <c r="M71" s="2"/>
      <c r="N71" s="7">
        <f t="shared" si="39"/>
        <v>-1</v>
      </c>
      <c r="O71" s="11"/>
      <c r="P71" s="6"/>
      <c r="Q71" s="2"/>
      <c r="R71" s="7">
        <f t="shared" si="40"/>
        <v>0</v>
      </c>
      <c r="S71" s="2"/>
      <c r="T71" s="6">
        <v>6000</v>
      </c>
      <c r="U71" s="2"/>
      <c r="V71" s="7">
        <f t="shared" si="41"/>
        <v>6.7320422772255015E-2</v>
      </c>
      <c r="W71" s="2"/>
      <c r="X71" s="6">
        <f t="shared" si="42"/>
        <v>-6000</v>
      </c>
      <c r="Y71" s="2"/>
      <c r="Z71" s="7">
        <f t="shared" si="43"/>
        <v>-1</v>
      </c>
    </row>
    <row r="72" spans="1:26" s="24" customFormat="1" hidden="1" outlineLevel="2" x14ac:dyDescent="0.25">
      <c r="A72" s="29"/>
      <c r="B72" s="11" t="str">
        <f>CONCATENATE("          ", "6237", " - ", "JANITORIAL SUPPLIES")</f>
        <v xml:space="preserve">          6237 - JANITORIAL SUPPLIES</v>
      </c>
      <c r="C72" s="11"/>
      <c r="D72" s="6"/>
      <c r="E72" s="2"/>
      <c r="F72" s="7">
        <f t="shared" si="36"/>
        <v>0</v>
      </c>
      <c r="G72" s="2"/>
      <c r="H72" s="6">
        <v>2000</v>
      </c>
      <c r="I72" s="2"/>
      <c r="J72" s="7">
        <f t="shared" si="37"/>
        <v>2.765180842827121E-2</v>
      </c>
      <c r="K72" s="2"/>
      <c r="L72" s="6">
        <f t="shared" si="38"/>
        <v>-2000</v>
      </c>
      <c r="M72" s="2"/>
      <c r="N72" s="7">
        <f t="shared" si="39"/>
        <v>-1</v>
      </c>
      <c r="O72" s="11"/>
      <c r="P72" s="6"/>
      <c r="Q72" s="2"/>
      <c r="R72" s="7">
        <f t="shared" si="40"/>
        <v>0</v>
      </c>
      <c r="S72" s="2"/>
      <c r="T72" s="6">
        <v>5000</v>
      </c>
      <c r="U72" s="2"/>
      <c r="V72" s="7">
        <f t="shared" si="41"/>
        <v>5.6100352310212508E-2</v>
      </c>
      <c r="W72" s="2"/>
      <c r="X72" s="6">
        <f t="shared" si="42"/>
        <v>-5000</v>
      </c>
      <c r="Y72" s="2"/>
      <c r="Z72" s="7">
        <f t="shared" si="43"/>
        <v>-1</v>
      </c>
    </row>
    <row r="73" spans="1:26" s="24" customFormat="1" hidden="1" outlineLevel="2" x14ac:dyDescent="0.25">
      <c r="A73" s="29"/>
      <c r="B73" s="11" t="str">
        <f>CONCATENATE("          ", "6239", " - ", "KITCHEN SUPPLIES")</f>
        <v xml:space="preserve">          6239 - KITCHEN SUPPLIES</v>
      </c>
      <c r="C73" s="11"/>
      <c r="D73" s="6"/>
      <c r="E73" s="2"/>
      <c r="F73" s="7">
        <f t="shared" si="36"/>
        <v>0</v>
      </c>
      <c r="G73" s="2"/>
      <c r="H73" s="6">
        <v>300</v>
      </c>
      <c r="I73" s="2"/>
      <c r="J73" s="7">
        <f t="shared" si="37"/>
        <v>4.1477712642406812E-3</v>
      </c>
      <c r="K73" s="2"/>
      <c r="L73" s="6">
        <f t="shared" si="38"/>
        <v>-300</v>
      </c>
      <c r="M73" s="2"/>
      <c r="N73" s="7">
        <f t="shared" si="39"/>
        <v>-1</v>
      </c>
      <c r="O73" s="11"/>
      <c r="P73" s="6"/>
      <c r="Q73" s="2"/>
      <c r="R73" s="7">
        <f t="shared" si="40"/>
        <v>0</v>
      </c>
      <c r="S73" s="2"/>
      <c r="T73" s="6">
        <v>600</v>
      </c>
      <c r="U73" s="2"/>
      <c r="V73" s="7">
        <f t="shared" si="41"/>
        <v>6.7320422772255009E-3</v>
      </c>
      <c r="W73" s="2"/>
      <c r="X73" s="6">
        <f t="shared" si="42"/>
        <v>-600</v>
      </c>
      <c r="Y73" s="2"/>
      <c r="Z73" s="7">
        <f t="shared" si="43"/>
        <v>-1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6"/>
      <c r="E74" s="2"/>
      <c r="F74" s="7">
        <f t="shared" si="36"/>
        <v>0</v>
      </c>
      <c r="G74" s="2"/>
      <c r="H74" s="6">
        <v>250</v>
      </c>
      <c r="I74" s="2"/>
      <c r="J74" s="7">
        <f t="shared" si="37"/>
        <v>3.4564760535339013E-3</v>
      </c>
      <c r="K74" s="2"/>
      <c r="L74" s="6">
        <f t="shared" si="38"/>
        <v>-250</v>
      </c>
      <c r="M74" s="2"/>
      <c r="N74" s="7">
        <f t="shared" si="39"/>
        <v>-1</v>
      </c>
      <c r="O74" s="11"/>
      <c r="P74" s="6">
        <v>57.16</v>
      </c>
      <c r="Q74" s="2"/>
      <c r="R74" s="7">
        <f t="shared" si="40"/>
        <v>4.5563497548451069E-3</v>
      </c>
      <c r="S74" s="2"/>
      <c r="T74" s="6">
        <v>500</v>
      </c>
      <c r="U74" s="2"/>
      <c r="V74" s="7">
        <f t="shared" si="41"/>
        <v>5.6100352310212509E-3</v>
      </c>
      <c r="W74" s="2"/>
      <c r="X74" s="6">
        <f t="shared" si="42"/>
        <v>-442.84000000000003</v>
      </c>
      <c r="Y74" s="2"/>
      <c r="Z74" s="7">
        <f t="shared" si="43"/>
        <v>-0.88568000000000002</v>
      </c>
    </row>
    <row r="75" spans="1:26" s="24" customFormat="1" hidden="1" outlineLevel="2" x14ac:dyDescent="0.25">
      <c r="A75" s="29"/>
      <c r="B75" s="11" t="str">
        <f>CONCATENATE("          ", "6244", " - ", "SAFETY SUPPLY EXPENSE")</f>
        <v xml:space="preserve">          6244 - SAFETY SUPPLY EXPENSE</v>
      </c>
      <c r="C75" s="11"/>
      <c r="D75" s="6"/>
      <c r="E75" s="2"/>
      <c r="F75" s="7">
        <f t="shared" si="36"/>
        <v>0</v>
      </c>
      <c r="G75" s="2"/>
      <c r="H75" s="6">
        <v>20</v>
      </c>
      <c r="I75" s="2"/>
      <c r="J75" s="7">
        <f t="shared" si="37"/>
        <v>2.7651808428271211E-4</v>
      </c>
      <c r="K75" s="2"/>
      <c r="L75" s="6">
        <f t="shared" si="38"/>
        <v>-20</v>
      </c>
      <c r="M75" s="2"/>
      <c r="N75" s="7">
        <f t="shared" si="39"/>
        <v>-1</v>
      </c>
      <c r="O75" s="11"/>
      <c r="P75" s="6"/>
      <c r="Q75" s="2"/>
      <c r="R75" s="7">
        <f t="shared" si="40"/>
        <v>0</v>
      </c>
      <c r="S75" s="2"/>
      <c r="T75" s="6">
        <v>20</v>
      </c>
      <c r="U75" s="2"/>
      <c r="V75" s="7">
        <f t="shared" si="41"/>
        <v>2.2440140924085002E-4</v>
      </c>
      <c r="W75" s="2"/>
      <c r="X75" s="6">
        <f t="shared" si="42"/>
        <v>-20</v>
      </c>
      <c r="Y75" s="2"/>
      <c r="Z75" s="7">
        <f t="shared" si="43"/>
        <v>-1</v>
      </c>
    </row>
    <row r="76" spans="1:26" s="24" customFormat="1" hidden="1" outlineLevel="2" x14ac:dyDescent="0.25">
      <c r="A76" s="29"/>
      <c r="B76" s="11" t="str">
        <f>CONCATENATE("          ", "6245", " - ", "PRINTING")</f>
        <v xml:space="preserve">          6245 - PRINTING</v>
      </c>
      <c r="C76" s="11"/>
      <c r="D76" s="6"/>
      <c r="E76" s="2"/>
      <c r="F76" s="7">
        <f t="shared" si="36"/>
        <v>0</v>
      </c>
      <c r="G76" s="2"/>
      <c r="H76" s="6"/>
      <c r="I76" s="2"/>
      <c r="J76" s="7">
        <f t="shared" si="37"/>
        <v>0</v>
      </c>
      <c r="K76" s="2"/>
      <c r="L76" s="6">
        <f t="shared" si="38"/>
        <v>0</v>
      </c>
      <c r="M76" s="2"/>
      <c r="N76" s="7">
        <f t="shared" si="39"/>
        <v>0</v>
      </c>
      <c r="O76" s="11"/>
      <c r="P76" s="6"/>
      <c r="Q76" s="2"/>
      <c r="R76" s="7">
        <f t="shared" si="40"/>
        <v>0</v>
      </c>
      <c r="S76" s="2"/>
      <c r="T76" s="6">
        <v>500</v>
      </c>
      <c r="U76" s="2"/>
      <c r="V76" s="7">
        <f t="shared" si="41"/>
        <v>5.6100352310212509E-3</v>
      </c>
      <c r="W76" s="2"/>
      <c r="X76" s="6">
        <f t="shared" si="42"/>
        <v>-500</v>
      </c>
      <c r="Y76" s="2"/>
      <c r="Z76" s="7">
        <f t="shared" si="43"/>
        <v>-1</v>
      </c>
    </row>
    <row r="77" spans="1:26" s="24" customFormat="1" hidden="1" outlineLevel="2" x14ac:dyDescent="0.25">
      <c r="A77" s="29"/>
      <c r="B77" s="11" t="str">
        <f>CONCATENATE("          ", "6248", " - ", "UNIFORMS")</f>
        <v xml:space="preserve">          6248 - UNIFORMS</v>
      </c>
      <c r="C77" s="11"/>
      <c r="D77" s="6"/>
      <c r="E77" s="2"/>
      <c r="F77" s="7">
        <f t="shared" si="36"/>
        <v>0</v>
      </c>
      <c r="G77" s="2"/>
      <c r="H77" s="6">
        <v>150</v>
      </c>
      <c r="I77" s="2"/>
      <c r="J77" s="7">
        <f t="shared" si="37"/>
        <v>2.0738856321203406E-3</v>
      </c>
      <c r="K77" s="2"/>
      <c r="L77" s="6">
        <f t="shared" si="38"/>
        <v>-150</v>
      </c>
      <c r="M77" s="2"/>
      <c r="N77" s="7">
        <f t="shared" si="39"/>
        <v>-1</v>
      </c>
      <c r="O77" s="11"/>
      <c r="P77" s="6"/>
      <c r="Q77" s="2"/>
      <c r="R77" s="7">
        <f t="shared" si="40"/>
        <v>0</v>
      </c>
      <c r="S77" s="2"/>
      <c r="T77" s="6">
        <v>300</v>
      </c>
      <c r="U77" s="2"/>
      <c r="V77" s="7">
        <f t="shared" si="41"/>
        <v>3.3660211386127505E-3</v>
      </c>
      <c r="W77" s="2"/>
      <c r="X77" s="6">
        <f t="shared" si="42"/>
        <v>-300</v>
      </c>
      <c r="Y77" s="2"/>
      <c r="Z77" s="7">
        <f t="shared" si="43"/>
        <v>-1</v>
      </c>
    </row>
    <row r="78" spans="1:26" s="28" customFormat="1" outlineLevel="1" collapsed="1" x14ac:dyDescent="0.25">
      <c r="A78" s="27"/>
      <c r="B78" s="14" t="str">
        <f>CONCATENATE("     ","Telephone/Data Lines                              ")</f>
        <v xml:space="preserve">     Telephone/Data Lines                              </v>
      </c>
      <c r="C78" s="14"/>
      <c r="D78" s="1">
        <f>SUM(OSRRefD22_15x_0)</f>
        <v>190</v>
      </c>
      <c r="E78" s="1"/>
      <c r="F78" s="5">
        <f t="shared" ref="F78:F80" si="44">IF(D$12=0,0,D78/D$12)</f>
        <v>1.5145319339058265E-2</v>
      </c>
      <c r="G78" s="1"/>
      <c r="H78" s="1">
        <f>SUM(OSRRefH22_15x_0)</f>
        <v>140</v>
      </c>
      <c r="I78" s="1"/>
      <c r="J78" s="5">
        <f t="shared" ref="J78:J80" si="45">IF(H$12=0,0,H78/H$12)</f>
        <v>1.9356265899789847E-3</v>
      </c>
      <c r="K78" s="1"/>
      <c r="L78" s="1">
        <f t="shared" ref="L78:L80" si="46">+D78-H78</f>
        <v>50</v>
      </c>
      <c r="M78" s="1"/>
      <c r="N78" s="5">
        <f t="shared" ref="N78:N80" si="47">IF(H78=0,0,L78/H78)</f>
        <v>0.35714285714285715</v>
      </c>
      <c r="O78" s="14"/>
      <c r="P78" s="1">
        <f>SUM(OSRRefP22_15x_0)</f>
        <v>408</v>
      </c>
      <c r="Q78" s="1"/>
      <c r="R78" s="5">
        <f t="shared" ref="R78:R80" si="48">IF(P$12=0,0,P78/P$12)</f>
        <v>3.2522580475451431E-2</v>
      </c>
      <c r="S78" s="1"/>
      <c r="T78" s="1">
        <f>SUM(OSRRefT22_15x_0)</f>
        <v>420</v>
      </c>
      <c r="U78" s="1"/>
      <c r="V78" s="5">
        <f t="shared" ref="V78:V80" si="49">IF(T$12=0,0,T78/T$12)</f>
        <v>4.7124295940578504E-3</v>
      </c>
      <c r="W78" s="1"/>
      <c r="X78" s="1">
        <f t="shared" ref="X78:X80" si="50">+P78-T78</f>
        <v>-12</v>
      </c>
      <c r="Y78" s="1"/>
      <c r="Z78" s="5">
        <f t="shared" ref="Z78:Z80" si="51">IF(T78=0,0,X78/T78)</f>
        <v>-2.8571428571428571E-2</v>
      </c>
    </row>
    <row r="79" spans="1:26" s="24" customFormat="1" hidden="1" outlineLevel="2" x14ac:dyDescent="0.25">
      <c r="A79" s="29"/>
      <c r="B79" s="11" t="str">
        <f>CONCATENATE("          ", "6303", " - ", "DATA PHONE LINES")</f>
        <v xml:space="preserve">          6303 - DATA PHONE LINES</v>
      </c>
      <c r="C79" s="11"/>
      <c r="D79" s="6"/>
      <c r="E79" s="2"/>
      <c r="F79" s="7">
        <f t="shared" si="44"/>
        <v>0</v>
      </c>
      <c r="G79" s="2"/>
      <c r="H79" s="6">
        <v>140</v>
      </c>
      <c r="I79" s="2"/>
      <c r="J79" s="7">
        <f t="shared" si="45"/>
        <v>1.9356265899789847E-3</v>
      </c>
      <c r="K79" s="2"/>
      <c r="L79" s="6">
        <f t="shared" si="46"/>
        <v>-140</v>
      </c>
      <c r="M79" s="2"/>
      <c r="N79" s="7">
        <f t="shared" si="47"/>
        <v>-1</v>
      </c>
      <c r="O79" s="11"/>
      <c r="P79" s="6"/>
      <c r="Q79" s="2"/>
      <c r="R79" s="7">
        <f t="shared" si="48"/>
        <v>0</v>
      </c>
      <c r="S79" s="2"/>
      <c r="T79" s="6">
        <v>420</v>
      </c>
      <c r="U79" s="2"/>
      <c r="V79" s="7">
        <f t="shared" si="49"/>
        <v>4.7124295940578504E-3</v>
      </c>
      <c r="W79" s="2"/>
      <c r="X79" s="6">
        <f t="shared" si="50"/>
        <v>-420</v>
      </c>
      <c r="Y79" s="2"/>
      <c r="Z79" s="7">
        <f t="shared" si="51"/>
        <v>-1</v>
      </c>
    </row>
    <row r="80" spans="1:26" s="24" customFormat="1" hidden="1" outlineLevel="2" x14ac:dyDescent="0.25">
      <c r="A80" s="29"/>
      <c r="B80" s="11" t="str">
        <f>CONCATENATE("          ", "6309", " - ", "TELEPHONE")</f>
        <v xml:space="preserve">          6309 - TELEPHONE</v>
      </c>
      <c r="C80" s="11"/>
      <c r="D80" s="6">
        <v>190</v>
      </c>
      <c r="E80" s="2"/>
      <c r="F80" s="7">
        <f t="shared" si="44"/>
        <v>1.5145319339058265E-2</v>
      </c>
      <c r="G80" s="2"/>
      <c r="H80" s="6"/>
      <c r="I80" s="2"/>
      <c r="J80" s="7">
        <f t="shared" si="45"/>
        <v>0</v>
      </c>
      <c r="K80" s="2"/>
      <c r="L80" s="6">
        <f t="shared" si="46"/>
        <v>190</v>
      </c>
      <c r="M80" s="2"/>
      <c r="N80" s="7">
        <f t="shared" si="47"/>
        <v>0</v>
      </c>
      <c r="O80" s="11"/>
      <c r="P80" s="6">
        <v>408</v>
      </c>
      <c r="Q80" s="2"/>
      <c r="R80" s="7">
        <f t="shared" si="48"/>
        <v>3.2522580475451431E-2</v>
      </c>
      <c r="S80" s="2"/>
      <c r="T80" s="6"/>
      <c r="U80" s="2"/>
      <c r="V80" s="7">
        <f t="shared" si="49"/>
        <v>0</v>
      </c>
      <c r="W80" s="2"/>
      <c r="X80" s="6">
        <f t="shared" si="50"/>
        <v>408</v>
      </c>
      <c r="Y80" s="2"/>
      <c r="Z80" s="7">
        <f t="shared" si="51"/>
        <v>0</v>
      </c>
    </row>
    <row r="81" spans="1:26" s="28" customFormat="1" outlineLevel="1" collapsed="1" x14ac:dyDescent="0.25">
      <c r="A81" s="27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SUM(OSRRefD22_16x_0)</f>
        <v>0</v>
      </c>
      <c r="E81" s="1"/>
      <c r="F81" s="5">
        <f t="shared" ref="F81:F82" si="52">IF(D$12=0,0,D81/D$12)</f>
        <v>0</v>
      </c>
      <c r="G81" s="1"/>
      <c r="H81" s="1">
        <f>SUM(OSRRefH22_16x_0)</f>
        <v>200</v>
      </c>
      <c r="I81" s="1"/>
      <c r="J81" s="5">
        <f t="shared" ref="J81:J82" si="53">IF(H$12=0,0,H81/H$12)</f>
        <v>2.7651808428271209E-3</v>
      </c>
      <c r="K81" s="1"/>
      <c r="L81" s="1">
        <f t="shared" ref="L81:L82" si="54">+D81-H81</f>
        <v>-200</v>
      </c>
      <c r="M81" s="1"/>
      <c r="N81" s="5">
        <f t="shared" ref="N81:N82" si="55">IF(H81=0,0,L81/H81)</f>
        <v>-1</v>
      </c>
      <c r="O81" s="14"/>
      <c r="P81" s="1">
        <f>SUM(OSRRefP22_16x_0)</f>
        <v>0</v>
      </c>
      <c r="Q81" s="1"/>
      <c r="R81" s="5">
        <f t="shared" ref="R81:R82" si="56">IF(P$12=0,0,P81/P$12)</f>
        <v>0</v>
      </c>
      <c r="S81" s="1"/>
      <c r="T81" s="1">
        <f>SUM(OSRRefT22_16x_0)</f>
        <v>600</v>
      </c>
      <c r="U81" s="1"/>
      <c r="V81" s="5">
        <f t="shared" ref="V81:V82" si="57">IF(T$12=0,0,T81/T$12)</f>
        <v>6.7320422772255009E-3</v>
      </c>
      <c r="W81" s="1"/>
      <c r="X81" s="1">
        <f t="shared" ref="X81:X82" si="58">+P81-T81</f>
        <v>-600</v>
      </c>
      <c r="Y81" s="1"/>
      <c r="Z81" s="5">
        <f t="shared" ref="Z81:Z82" si="59">IF(T81=0,0,X81/T81)</f>
        <v>-1</v>
      </c>
    </row>
    <row r="82" spans="1:26" s="24" customFormat="1" hidden="1" outlineLevel="2" x14ac:dyDescent="0.25">
      <c r="A82" s="29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52"/>
        <v>0</v>
      </c>
      <c r="G82" s="2"/>
      <c r="H82" s="6">
        <v>200</v>
      </c>
      <c r="I82" s="2"/>
      <c r="J82" s="7">
        <f t="shared" si="53"/>
        <v>2.7651808428271209E-3</v>
      </c>
      <c r="K82" s="2"/>
      <c r="L82" s="6">
        <f t="shared" si="54"/>
        <v>-200</v>
      </c>
      <c r="M82" s="2"/>
      <c r="N82" s="7">
        <f t="shared" si="55"/>
        <v>-1</v>
      </c>
      <c r="O82" s="11"/>
      <c r="P82" s="6"/>
      <c r="Q82" s="2"/>
      <c r="R82" s="7">
        <f t="shared" si="56"/>
        <v>0</v>
      </c>
      <c r="S82" s="2"/>
      <c r="T82" s="6">
        <v>600</v>
      </c>
      <c r="U82" s="2"/>
      <c r="V82" s="7">
        <f t="shared" si="57"/>
        <v>6.7320422772255009E-3</v>
      </c>
      <c r="W82" s="2"/>
      <c r="X82" s="6">
        <f t="shared" si="58"/>
        <v>-600</v>
      </c>
      <c r="Y82" s="2"/>
      <c r="Z82" s="7">
        <f t="shared" si="59"/>
        <v>-1</v>
      </c>
    </row>
    <row r="83" spans="1:26" s="61" customFormat="1" x14ac:dyDescent="0.25">
      <c r="A83" s="36"/>
      <c r="B83" s="36"/>
      <c r="C83" s="36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6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25">
      <c r="A84" s="10"/>
      <c r="B84" s="25" t="s">
        <v>0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25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25">
      <c r="A86" s="10"/>
      <c r="B86" s="26" t="s">
        <v>3</v>
      </c>
      <c r="C86" s="26"/>
      <c r="D86" s="20">
        <f>+D19-D21+D84</f>
        <v>-28479.559999999998</v>
      </c>
      <c r="E86" s="13"/>
      <c r="F86" s="21">
        <f>IF(D$12=0,0,D86/D$12)</f>
        <v>-2.2701685833466851</v>
      </c>
      <c r="G86" s="13"/>
      <c r="H86" s="20">
        <f>+H19-H21+H84</f>
        <v>-35966.354045587665</v>
      </c>
      <c r="I86" s="13"/>
      <c r="J86" s="21">
        <f>IF(H$12=0,0,H86/H$12)</f>
        <v>-0.49726736596598364</v>
      </c>
      <c r="K86" s="16"/>
      <c r="L86" s="20">
        <f>+D86-H86</f>
        <v>7486.7940455876669</v>
      </c>
      <c r="M86" s="16"/>
      <c r="N86" s="21">
        <f>IF(H86=0,0,L86/H86)</f>
        <v>-0.20816105063354742</v>
      </c>
      <c r="O86" s="25"/>
      <c r="P86" s="20">
        <f>+P19-P21+P84</f>
        <v>-107101.48</v>
      </c>
      <c r="Q86" s="13"/>
      <c r="R86" s="21">
        <f>IF(P$12=0,0,P86/P$12)</f>
        <v>-8.5372953488724317</v>
      </c>
      <c r="S86" s="13"/>
      <c r="T86" s="20">
        <f>+T19-T21+T84</f>
        <v>-192717.47808565985</v>
      </c>
      <c r="U86" s="13"/>
      <c r="V86" s="21">
        <f>IF(T$12=0,0,T86/T$12)</f>
        <v>-2.1623036833882354</v>
      </c>
      <c r="W86" s="16"/>
      <c r="X86" s="20">
        <f>+P86-T86</f>
        <v>85615.998085659856</v>
      </c>
      <c r="Y86" s="16"/>
      <c r="Z86" s="21">
        <f>IF(T86=0,0,X86/T86)</f>
        <v>-0.44425653000505178</v>
      </c>
    </row>
    <row r="87" spans="1:26" x14ac:dyDescent="0.25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52"/>
      <c r="B88" s="10" t="s">
        <v>14</v>
      </c>
      <c r="C88" s="10"/>
      <c r="D88" s="4">
        <v>2324.04</v>
      </c>
      <c r="E88" s="4"/>
      <c r="F88" s="12">
        <f>IF(D$12=0,0,D88/D$12)</f>
        <v>0.18525435766707879</v>
      </c>
      <c r="G88" s="4"/>
      <c r="H88" s="4">
        <v>10142</v>
      </c>
      <c r="I88" s="4"/>
      <c r="J88" s="12">
        <f>IF(H$12=0,0,H88/H$12)</f>
        <v>0.1402223205397633</v>
      </c>
      <c r="K88" s="4"/>
      <c r="L88" s="4">
        <f>+D88-H88</f>
        <v>-7817.96</v>
      </c>
      <c r="M88" s="4"/>
      <c r="N88" s="12">
        <f>IF(H88=0,0,L88/H88)</f>
        <v>-0.77084993098008281</v>
      </c>
      <c r="O88" s="10"/>
      <c r="P88" s="4">
        <v>2324.04</v>
      </c>
      <c r="Q88" s="4"/>
      <c r="R88" s="12">
        <f>IF(P$12=0,0,P88/P$12)</f>
        <v>0.18525435766707879</v>
      </c>
      <c r="S88" s="4"/>
      <c r="T88" s="4">
        <v>12885</v>
      </c>
      <c r="U88" s="4"/>
      <c r="V88" s="12">
        <f>IF(T$12=0,0,T88/T$12)</f>
        <v>0.14457060790341764</v>
      </c>
      <c r="W88" s="4"/>
      <c r="X88" s="4">
        <f>+P88-T88</f>
        <v>-10560.96</v>
      </c>
      <c r="Y88" s="4"/>
      <c r="Z88" s="12">
        <f>IF(T88=0,0,X88/T88)</f>
        <v>-0.8196321303841676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4</v>
      </c>
      <c r="C90" s="26"/>
      <c r="D90" s="33">
        <f>+D86-D88</f>
        <v>-30803.599999999999</v>
      </c>
      <c r="E90" s="13"/>
      <c r="F90" s="34">
        <f>IF(D$12=0,0,D90/D$12)</f>
        <v>-2.4554229410137638</v>
      </c>
      <c r="G90" s="13"/>
      <c r="H90" s="33">
        <f>+H86-H88</f>
        <v>-46108.354045587665</v>
      </c>
      <c r="I90" s="13"/>
      <c r="J90" s="34">
        <f>IF(H$12=0,0,H90/H$12)</f>
        <v>-0.63748968650574689</v>
      </c>
      <c r="K90" s="16"/>
      <c r="L90" s="33">
        <f>D90-H90</f>
        <v>15304.754045587666</v>
      </c>
      <c r="M90" s="16"/>
      <c r="N90" s="34">
        <f>IF(H90=0,0,L90/H90)</f>
        <v>-0.33193017539632286</v>
      </c>
      <c r="O90" s="25"/>
      <c r="P90" s="33">
        <f>+P86-P88</f>
        <v>-109425.51999999999</v>
      </c>
      <c r="Q90" s="13"/>
      <c r="R90" s="34">
        <f>IF(P$12=0,0,P90/P$12)</f>
        <v>-8.7225497065395103</v>
      </c>
      <c r="S90" s="13"/>
      <c r="T90" s="33">
        <f>+T86-T88</f>
        <v>-205602.47808565985</v>
      </c>
      <c r="U90" s="13"/>
      <c r="V90" s="34">
        <f>IF(T$12=0,0,T90/T$12)</f>
        <v>-2.3068742912916527</v>
      </c>
      <c r="W90" s="16"/>
      <c r="X90" s="33">
        <f>P90-T90</f>
        <v>96176.958085659862</v>
      </c>
      <c r="Y90" s="16"/>
      <c r="Z90" s="34">
        <f>IF(T90=0,0,X90/T90)</f>
        <v>-0.46778112297649349</v>
      </c>
    </row>
    <row r="91" spans="1:26" ht="15.75" thickTop="1" x14ac:dyDescent="0.25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.75" thickBot="1" x14ac:dyDescent="0.3">
      <c r="A93" s="10"/>
      <c r="B93" s="26" t="s">
        <v>5</v>
      </c>
      <c r="C93" s="26"/>
      <c r="D93" s="31">
        <f>SUM(D90:D92)</f>
        <v>-30803.599999999999</v>
      </c>
      <c r="E93" s="13"/>
      <c r="F93" s="32">
        <f>IF(D$12=0,0,D93/D$12)</f>
        <v>-2.4554229410137638</v>
      </c>
      <c r="G93" s="13"/>
      <c r="H93" s="31">
        <f>SUM(H90:H92)</f>
        <v>-46108.354045587665</v>
      </c>
      <c r="I93" s="13"/>
      <c r="J93" s="32">
        <f>IF(H$12=0,0,H93/H$12)</f>
        <v>-0.63748968650574689</v>
      </c>
      <c r="K93" s="16"/>
      <c r="L93" s="31">
        <f>+D93-H93</f>
        <v>15304.754045587666</v>
      </c>
      <c r="M93" s="16"/>
      <c r="N93" s="32">
        <f>IF(H93=0,0,L93/H93)</f>
        <v>-0.33193017539632286</v>
      </c>
      <c r="O93" s="25"/>
      <c r="P93" s="31">
        <f>SUM(P90:P92)</f>
        <v>-109425.51999999999</v>
      </c>
      <c r="Q93" s="13"/>
      <c r="R93" s="32">
        <f>IF(P$12=0,0,P93/P$12)</f>
        <v>-8.7225497065395103</v>
      </c>
      <c r="S93" s="13"/>
      <c r="T93" s="31">
        <f>SUM(T90:T92)</f>
        <v>-205602.47808565985</v>
      </c>
      <c r="U93" s="13"/>
      <c r="V93" s="32">
        <f>IF(T$12=0,0,T93/T$12)</f>
        <v>-2.3068742912916527</v>
      </c>
      <c r="W93" s="16"/>
      <c r="X93" s="31">
        <f>+P93-T93</f>
        <v>96176.958085659862</v>
      </c>
      <c r="Y93" s="16"/>
      <c r="Z93" s="32">
        <f>IF(T93=0,0,X93/T93)</f>
        <v>-0.46778112297649349</v>
      </c>
    </row>
    <row r="94" spans="1:26" ht="15.75" thickTop="1" x14ac:dyDescent="0.25">
      <c r="A94" s="9"/>
      <c r="C94" s="9"/>
      <c r="D94" s="17"/>
      <c r="E94" s="17"/>
      <c r="G94" s="17"/>
      <c r="H94" s="17"/>
      <c r="I94" s="17"/>
      <c r="J94" s="43"/>
      <c r="K94" s="17"/>
      <c r="L94" s="17"/>
      <c r="M94" s="17"/>
      <c r="P94" s="17"/>
      <c r="Q94" s="17"/>
      <c r="R94" s="43"/>
      <c r="S94" s="17"/>
      <c r="T94" s="17"/>
      <c r="U94" s="17"/>
      <c r="V94" s="43"/>
      <c r="W94" s="17"/>
      <c r="X94" s="17"/>
    </row>
    <row r="95" spans="1:26" x14ac:dyDescent="0.25">
      <c r="A95" s="9"/>
      <c r="B95" s="55">
        <v>44123.572571180557</v>
      </c>
      <c r="D95" s="17"/>
      <c r="E95" s="17"/>
      <c r="G95" s="17"/>
      <c r="H95" s="17"/>
      <c r="I95" s="17"/>
      <c r="J95" s="43"/>
      <c r="K95" s="17"/>
      <c r="L95" s="17"/>
      <c r="M95" s="17"/>
      <c r="P95" s="17"/>
      <c r="Q95" s="17"/>
      <c r="R95" s="43"/>
      <c r="S95" s="17"/>
      <c r="T95" s="17"/>
      <c r="U95" s="17"/>
      <c r="V95" s="43"/>
      <c r="W95" s="17"/>
      <c r="X95" s="17"/>
    </row>
    <row r="96" spans="1:26" x14ac:dyDescent="0.25">
      <c r="A96" s="9"/>
      <c r="B96" s="53" t="s">
        <v>314</v>
      </c>
      <c r="D96" s="17"/>
      <c r="E96" s="17"/>
      <c r="G96" s="17"/>
      <c r="H96" s="17"/>
      <c r="I96" s="17"/>
      <c r="J96" s="43"/>
      <c r="K96" s="17"/>
      <c r="L96" s="17"/>
      <c r="M96" s="17"/>
      <c r="P96" s="17"/>
      <c r="Q96" s="17"/>
      <c r="R96" s="43"/>
      <c r="S96" s="17"/>
      <c r="T96" s="17"/>
      <c r="U96" s="17"/>
      <c r="V96" s="43"/>
      <c r="W96" s="17"/>
      <c r="X96" s="17"/>
    </row>
    <row r="97" spans="1:24" x14ac:dyDescent="0.25">
      <c r="A97" s="9"/>
      <c r="B97" s="62"/>
      <c r="D97" s="17"/>
      <c r="E97" s="17"/>
      <c r="G97" s="17"/>
      <c r="H97" s="17"/>
      <c r="I97" s="17"/>
      <c r="J97" s="43"/>
      <c r="K97" s="17"/>
      <c r="L97" s="17"/>
      <c r="M97" s="17"/>
      <c r="P97" s="17"/>
      <c r="Q97" s="17"/>
      <c r="R97" s="43"/>
      <c r="S97" s="17"/>
      <c r="T97" s="17"/>
      <c r="U97" s="17"/>
      <c r="V97" s="43"/>
      <c r="W97" s="17"/>
      <c r="X97" s="17"/>
    </row>
    <row r="98" spans="1:24" x14ac:dyDescent="0.25">
      <c r="D98" s="17"/>
      <c r="E98" s="17"/>
      <c r="G98" s="17"/>
      <c r="H98" s="17"/>
      <c r="I98" s="17"/>
      <c r="J98" s="43"/>
      <c r="K98" s="17"/>
      <c r="L98" s="17"/>
      <c r="M98" s="17"/>
      <c r="P98" s="17"/>
      <c r="Q98" s="17"/>
      <c r="R98" s="43"/>
      <c r="S98" s="17"/>
      <c r="T98" s="17"/>
      <c r="U98" s="17"/>
      <c r="V98" s="43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8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">
        <v>298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30210</v>
      </c>
      <c r="E12" s="4"/>
      <c r="F12" s="12"/>
      <c r="G12" s="4"/>
      <c r="H12" s="4">
        <f>SUM(OSRRefH13x_0)</f>
        <v>33501</v>
      </c>
      <c r="I12" s="4"/>
      <c r="J12" s="12"/>
      <c r="K12" s="4"/>
      <c r="L12" s="4">
        <f t="shared" ref="L12:L13" si="0">+D12-H12</f>
        <v>-3291</v>
      </c>
      <c r="M12" s="4"/>
      <c r="N12" s="12">
        <f t="shared" ref="N12:N13" si="1">IF(H12=0,0,L12/H12)</f>
        <v>-9.8235873556013251E-2</v>
      </c>
      <c r="O12" s="10"/>
      <c r="P12" s="4">
        <f>SUM(OSRRefP13x_0)</f>
        <v>118042</v>
      </c>
      <c r="Q12" s="4"/>
      <c r="R12" s="12"/>
      <c r="S12" s="4"/>
      <c r="T12" s="4">
        <f>SUM(OSRRefT13x_0)</f>
        <v>265578</v>
      </c>
      <c r="U12" s="4"/>
      <c r="V12" s="12"/>
      <c r="W12" s="4"/>
      <c r="X12" s="4">
        <f t="shared" ref="X12:X13" si="2">+P12-T12</f>
        <v>-147536</v>
      </c>
      <c r="Y12" s="4"/>
      <c r="Z12" s="12">
        <f t="shared" ref="Z12:Z13" si="3">IF(T12=0,0,X12/T12)</f>
        <v>-0.55552794282658957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--30210</f>
        <v>30210</v>
      </c>
      <c r="E13" s="2"/>
      <c r="F13" s="22"/>
      <c r="G13" s="2"/>
      <c r="H13" s="2">
        <v>33501</v>
      </c>
      <c r="I13" s="2"/>
      <c r="J13" s="22"/>
      <c r="K13" s="2"/>
      <c r="L13" s="2">
        <f t="shared" si="0"/>
        <v>-3291</v>
      </c>
      <c r="M13" s="2"/>
      <c r="N13" s="22">
        <f t="shared" si="1"/>
        <v>-9.8235873556013251E-2</v>
      </c>
      <c r="O13" s="11"/>
      <c r="P13" s="2">
        <f>--118042</f>
        <v>118042</v>
      </c>
      <c r="Q13" s="2"/>
      <c r="R13" s="22"/>
      <c r="S13" s="2"/>
      <c r="T13" s="2">
        <v>265578</v>
      </c>
      <c r="U13" s="2"/>
      <c r="V13" s="22"/>
      <c r="W13" s="2"/>
      <c r="X13" s="2">
        <f t="shared" si="2"/>
        <v>-147536</v>
      </c>
      <c r="Y13" s="2"/>
      <c r="Z13" s="22">
        <f t="shared" si="3"/>
        <v>-0.55552794282658957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30210</v>
      </c>
      <c r="E17" s="13"/>
      <c r="F17" s="21">
        <f>IF(D$12=0,0,D17/D$12)</f>
        <v>1</v>
      </c>
      <c r="G17" s="13"/>
      <c r="H17" s="20">
        <f>H12-H15</f>
        <v>33501</v>
      </c>
      <c r="I17" s="13"/>
      <c r="J17" s="21">
        <f>IF(H$12=0,0,H17/H$12)</f>
        <v>1</v>
      </c>
      <c r="K17" s="16"/>
      <c r="L17" s="20">
        <f>+D17-H17</f>
        <v>-3291</v>
      </c>
      <c r="M17" s="16"/>
      <c r="N17" s="21">
        <f>IF(H17=0,0,L17/H17)</f>
        <v>-9.8235873556013251E-2</v>
      </c>
      <c r="O17" s="25"/>
      <c r="P17" s="20">
        <f>P12-P15</f>
        <v>118042</v>
      </c>
      <c r="Q17" s="13"/>
      <c r="R17" s="21">
        <f>IF(P$12=0,0,P17/P$12)</f>
        <v>1</v>
      </c>
      <c r="S17" s="13"/>
      <c r="T17" s="20">
        <f>T12-T15</f>
        <v>265578</v>
      </c>
      <c r="U17" s="13"/>
      <c r="V17" s="21">
        <f>IF(T$12=0,0,T17/T$12)</f>
        <v>1</v>
      </c>
      <c r="W17" s="16"/>
      <c r="X17" s="20">
        <f>+P17-T17</f>
        <v>-147536</v>
      </c>
      <c r="Y17" s="16"/>
      <c r="Z17" s="21">
        <f>IF(T17=0,0,X17/T17)</f>
        <v>-0.55552794282658957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19">
        <f>SUM(OSRRefD22x_0)</f>
        <v>25727.17</v>
      </c>
      <c r="E19" s="19"/>
      <c r="F19" s="35">
        <f t="shared" ref="F19:F30" si="4">IF(D$12=0,0,D19/D$12)</f>
        <v>0.85161105594174114</v>
      </c>
      <c r="G19" s="19"/>
      <c r="H19" s="19">
        <f>SUM(OSRRefH22x_0)</f>
        <v>31539.906033615385</v>
      </c>
      <c r="I19" s="19"/>
      <c r="J19" s="35">
        <f t="shared" ref="J19:J30" si="5">IF(H$12=0,0,H19/H$12)</f>
        <v>0.94146162901451858</v>
      </c>
      <c r="K19" s="4"/>
      <c r="L19" s="19">
        <f t="shared" ref="L19:L30" si="6">+D19-H19</f>
        <v>-5812.736033615387</v>
      </c>
      <c r="M19" s="4"/>
      <c r="N19" s="35">
        <f t="shared" ref="N19:N30" si="7">IF(H19=0,0,L19/H19)</f>
        <v>-0.18429782344373966</v>
      </c>
      <c r="O19" s="10"/>
      <c r="P19" s="19">
        <f>SUM(OSRRefP22x_0)</f>
        <v>103962.99</v>
      </c>
      <c r="Q19" s="19"/>
      <c r="R19" s="35">
        <f t="shared" ref="R19:R30" si="8">IF(P$12=0,0,P19/P$12)</f>
        <v>0.88072880839023404</v>
      </c>
      <c r="S19" s="19"/>
      <c r="T19" s="19">
        <f>SUM(OSRRefT22x_0)</f>
        <v>233801.70557049999</v>
      </c>
      <c r="U19" s="19"/>
      <c r="V19" s="35">
        <f t="shared" ref="V19:V30" si="9">IF(T$12=0,0,T19/T$12)</f>
        <v>0.88035042650558404</v>
      </c>
      <c r="W19" s="4"/>
      <c r="X19" s="19">
        <f t="shared" ref="X19:X30" si="10">+P19-T19</f>
        <v>-129838.71557049999</v>
      </c>
      <c r="Y19" s="4"/>
      <c r="Z19" s="35">
        <f t="shared" ref="Z19:Z30" si="11">IF(T19=0,0,X19/T19)</f>
        <v>-0.55533690506525724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3893.62</v>
      </c>
      <c r="E20" s="1"/>
      <c r="F20" s="5">
        <f t="shared" si="4"/>
        <v>0.12888513737173121</v>
      </c>
      <c r="G20" s="1"/>
      <c r="H20" s="1">
        <f>SUM(OSRRefH22_0x_0)</f>
        <v>3643.6402643846163</v>
      </c>
      <c r="I20" s="1"/>
      <c r="J20" s="5">
        <f t="shared" si="5"/>
        <v>0.10876213439552898</v>
      </c>
      <c r="K20" s="1"/>
      <c r="L20" s="1">
        <f t="shared" si="6"/>
        <v>249.97973561538356</v>
      </c>
      <c r="M20" s="1"/>
      <c r="N20" s="5">
        <f t="shared" si="7"/>
        <v>6.8607139420115967E-2</v>
      </c>
      <c r="O20" s="14"/>
      <c r="P20" s="1">
        <f>SUM(OSRRefP22_0x_0)</f>
        <v>12176.65</v>
      </c>
      <c r="Q20" s="1"/>
      <c r="R20" s="5">
        <f t="shared" si="8"/>
        <v>0.10315523288321106</v>
      </c>
      <c r="S20" s="1"/>
      <c r="T20" s="1">
        <f>SUM(OSRRefT22_0x_0)</f>
        <v>14308.323070500002</v>
      </c>
      <c r="U20" s="1"/>
      <c r="V20" s="5">
        <f t="shared" si="9"/>
        <v>5.3876160941418352E-2</v>
      </c>
      <c r="W20" s="1"/>
      <c r="X20" s="1">
        <f t="shared" si="10"/>
        <v>-2131.6730705000027</v>
      </c>
      <c r="Y20" s="1"/>
      <c r="Z20" s="5">
        <f t="shared" si="11"/>
        <v>-0.14898133484943121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6">
        <v>977.97</v>
      </c>
      <c r="E21" s="2"/>
      <c r="F21" s="7">
        <f t="shared" si="4"/>
        <v>3.2372393247269114E-2</v>
      </c>
      <c r="G21" s="2"/>
      <c r="H21" s="6">
        <v>718.85158823076904</v>
      </c>
      <c r="I21" s="2"/>
      <c r="J21" s="7">
        <f t="shared" si="5"/>
        <v>2.1457615839251636E-2</v>
      </c>
      <c r="K21" s="2"/>
      <c r="L21" s="6">
        <f t="shared" si="6"/>
        <v>259.11841176923099</v>
      </c>
      <c r="M21" s="2"/>
      <c r="N21" s="7">
        <f t="shared" si="7"/>
        <v>0.36046162519717156</v>
      </c>
      <c r="O21" s="11"/>
      <c r="P21" s="6">
        <v>3146.26</v>
      </c>
      <c r="Q21" s="2"/>
      <c r="R21" s="7">
        <f t="shared" si="8"/>
        <v>2.6653733416919404E-2</v>
      </c>
      <c r="S21" s="2"/>
      <c r="T21" s="6">
        <v>4152.5445854999989</v>
      </c>
      <c r="U21" s="2"/>
      <c r="V21" s="7">
        <f t="shared" si="9"/>
        <v>1.5635875657998777E-2</v>
      </c>
      <c r="W21" s="2"/>
      <c r="X21" s="6">
        <f t="shared" si="10"/>
        <v>-1006.2845854999987</v>
      </c>
      <c r="Y21" s="2"/>
      <c r="Z21" s="7">
        <f t="shared" si="11"/>
        <v>-0.24232962820285628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6">
        <v>82.4</v>
      </c>
      <c r="E22" s="2"/>
      <c r="F22" s="7">
        <f t="shared" si="4"/>
        <v>2.7275736511089047E-3</v>
      </c>
      <c r="G22" s="2"/>
      <c r="H22" s="6">
        <v>311.134280769231</v>
      </c>
      <c r="I22" s="2"/>
      <c r="J22" s="7">
        <f t="shared" si="5"/>
        <v>9.2873132374923437E-3</v>
      </c>
      <c r="K22" s="2"/>
      <c r="L22" s="6">
        <f t="shared" si="6"/>
        <v>-228.73428076923099</v>
      </c>
      <c r="M22" s="2"/>
      <c r="N22" s="7">
        <f t="shared" si="7"/>
        <v>-0.7351625806186356</v>
      </c>
      <c r="O22" s="11"/>
      <c r="P22" s="6">
        <v>244.49</v>
      </c>
      <c r="Q22" s="2"/>
      <c r="R22" s="7">
        <f t="shared" si="8"/>
        <v>2.0712119415123432E-3</v>
      </c>
      <c r="S22" s="2"/>
      <c r="T22" s="6">
        <v>1141.1789750000009</v>
      </c>
      <c r="U22" s="2"/>
      <c r="V22" s="7">
        <f t="shared" si="9"/>
        <v>4.296963509778675E-3</v>
      </c>
      <c r="W22" s="2"/>
      <c r="X22" s="6">
        <f t="shared" si="10"/>
        <v>-896.68897500000094</v>
      </c>
      <c r="Y22" s="2"/>
      <c r="Z22" s="7">
        <f t="shared" si="11"/>
        <v>-0.7857566557428034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6">
        <v>1250.75</v>
      </c>
      <c r="E23" s="2"/>
      <c r="F23" s="7">
        <f t="shared" si="4"/>
        <v>4.1401853690830853E-2</v>
      </c>
      <c r="G23" s="2"/>
      <c r="H23" s="6">
        <v>1025</v>
      </c>
      <c r="I23" s="2"/>
      <c r="J23" s="7">
        <f t="shared" si="5"/>
        <v>3.0596101608907196E-2</v>
      </c>
      <c r="K23" s="2"/>
      <c r="L23" s="6">
        <f t="shared" si="6"/>
        <v>225.75</v>
      </c>
      <c r="M23" s="2"/>
      <c r="N23" s="7">
        <f t="shared" si="7"/>
        <v>0.22024390243902439</v>
      </c>
      <c r="O23" s="11"/>
      <c r="P23" s="6">
        <v>3711.65</v>
      </c>
      <c r="Q23" s="2"/>
      <c r="R23" s="7">
        <f t="shared" si="8"/>
        <v>3.1443469273648363E-2</v>
      </c>
      <c r="S23" s="2"/>
      <c r="T23" s="6">
        <v>3407.5</v>
      </c>
      <c r="U23" s="2"/>
      <c r="V23" s="7">
        <f t="shared" si="9"/>
        <v>1.2830505538862405E-2</v>
      </c>
      <c r="W23" s="2"/>
      <c r="X23" s="6">
        <f t="shared" si="10"/>
        <v>304.15000000000009</v>
      </c>
      <c r="Y23" s="2"/>
      <c r="Z23" s="7">
        <f t="shared" si="11"/>
        <v>8.9258987527512865E-2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37.770000000000003</v>
      </c>
      <c r="E24" s="2"/>
      <c r="F24" s="7">
        <f t="shared" si="4"/>
        <v>1.2502482621648463E-3</v>
      </c>
      <c r="G24" s="2"/>
      <c r="H24" s="6">
        <v>43.726979999999998</v>
      </c>
      <c r="I24" s="2"/>
      <c r="J24" s="7">
        <f t="shared" si="5"/>
        <v>1.3052440225664905E-3</v>
      </c>
      <c r="K24" s="2"/>
      <c r="L24" s="6">
        <f t="shared" si="6"/>
        <v>-5.9569799999999944</v>
      </c>
      <c r="M24" s="2"/>
      <c r="N24" s="7">
        <f t="shared" si="7"/>
        <v>-0.13623122383480393</v>
      </c>
      <c r="O24" s="11"/>
      <c r="P24" s="6">
        <v>111.17</v>
      </c>
      <c r="Q24" s="2"/>
      <c r="R24" s="7">
        <f t="shared" si="8"/>
        <v>9.4178343301536745E-4</v>
      </c>
      <c r="S24" s="2"/>
      <c r="T24" s="6">
        <v>160.38191</v>
      </c>
      <c r="U24" s="2"/>
      <c r="V24" s="7">
        <f t="shared" si="9"/>
        <v>6.0389757434727281E-4</v>
      </c>
      <c r="W24" s="2"/>
      <c r="X24" s="6">
        <f t="shared" si="10"/>
        <v>-49.211910000000003</v>
      </c>
      <c r="Y24" s="2"/>
      <c r="Z24" s="7">
        <f t="shared" si="11"/>
        <v>-0.30684202476451367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6">
        <v>640.35</v>
      </c>
      <c r="E25" s="2"/>
      <c r="F25" s="7">
        <f t="shared" si="4"/>
        <v>2.1196623634558095E-2</v>
      </c>
      <c r="G25" s="2"/>
      <c r="H25" s="6">
        <v>560.123953846154</v>
      </c>
      <c r="I25" s="2"/>
      <c r="J25" s="7">
        <f t="shared" si="5"/>
        <v>1.6719618932155875E-2</v>
      </c>
      <c r="K25" s="2"/>
      <c r="L25" s="6">
        <f t="shared" si="6"/>
        <v>80.226046153846028</v>
      </c>
      <c r="M25" s="2"/>
      <c r="N25" s="7">
        <f t="shared" si="7"/>
        <v>0.1432290934943326</v>
      </c>
      <c r="O25" s="11"/>
      <c r="P25" s="6">
        <v>2220.14</v>
      </c>
      <c r="Q25" s="2"/>
      <c r="R25" s="7">
        <f t="shared" si="8"/>
        <v>1.8808051371545721E-2</v>
      </c>
      <c r="S25" s="2"/>
      <c r="T25" s="6">
        <v>2065.7501000000002</v>
      </c>
      <c r="U25" s="2"/>
      <c r="V25" s="7">
        <f t="shared" si="9"/>
        <v>7.7783178576538723E-3</v>
      </c>
      <c r="W25" s="2"/>
      <c r="X25" s="6">
        <f t="shared" si="10"/>
        <v>154.38989999999967</v>
      </c>
      <c r="Y25" s="2"/>
      <c r="Z25" s="7">
        <f t="shared" si="11"/>
        <v>7.4737936597461446E-2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6">
        <v>85.1</v>
      </c>
      <c r="E27" s="2"/>
      <c r="F27" s="7">
        <f t="shared" si="4"/>
        <v>2.8169480304534918E-3</v>
      </c>
      <c r="G27" s="2"/>
      <c r="H27" s="6"/>
      <c r="I27" s="2"/>
      <c r="J27" s="7">
        <f t="shared" si="5"/>
        <v>0</v>
      </c>
      <c r="K27" s="2"/>
      <c r="L27" s="6">
        <f t="shared" si="6"/>
        <v>85.1</v>
      </c>
      <c r="M27" s="2"/>
      <c r="N27" s="7">
        <f t="shared" si="7"/>
        <v>0</v>
      </c>
      <c r="O27" s="11"/>
      <c r="P27" s="6">
        <v>285.10000000000002</v>
      </c>
      <c r="Q27" s="2"/>
      <c r="R27" s="7">
        <f t="shared" si="8"/>
        <v>2.4152420324969081E-3</v>
      </c>
      <c r="S27" s="2"/>
      <c r="T27" s="6"/>
      <c r="U27" s="2"/>
      <c r="V27" s="7">
        <f t="shared" si="9"/>
        <v>0</v>
      </c>
      <c r="W27" s="2"/>
      <c r="X27" s="6">
        <f t="shared" si="10"/>
        <v>285.10000000000002</v>
      </c>
      <c r="Y27" s="2"/>
      <c r="Z27" s="7">
        <f t="shared" si="11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6">
        <v>520.02</v>
      </c>
      <c r="E28" s="2"/>
      <c r="F28" s="7">
        <f t="shared" si="4"/>
        <v>1.7213505461767625E-2</v>
      </c>
      <c r="G28" s="2"/>
      <c r="H28" s="6">
        <v>195.39207692307698</v>
      </c>
      <c r="I28" s="2"/>
      <c r="J28" s="7">
        <f t="shared" si="5"/>
        <v>5.832425208891585E-3</v>
      </c>
      <c r="K28" s="2"/>
      <c r="L28" s="6">
        <f t="shared" si="6"/>
        <v>324.62792307692303</v>
      </c>
      <c r="M28" s="2"/>
      <c r="N28" s="7">
        <f t="shared" si="7"/>
        <v>1.6614180482083944</v>
      </c>
      <c r="O28" s="11"/>
      <c r="P28" s="6">
        <v>1560.06</v>
      </c>
      <c r="Q28" s="2"/>
      <c r="R28" s="7">
        <f t="shared" si="8"/>
        <v>1.3216143406584096E-2</v>
      </c>
      <c r="S28" s="2"/>
      <c r="T28" s="6">
        <v>720.6105</v>
      </c>
      <c r="U28" s="2"/>
      <c r="V28" s="7">
        <f t="shared" si="9"/>
        <v>2.7133666945304206E-3</v>
      </c>
      <c r="W28" s="2"/>
      <c r="X28" s="6">
        <f t="shared" si="10"/>
        <v>839.44949999999994</v>
      </c>
      <c r="Y28" s="2"/>
      <c r="Z28" s="7">
        <f t="shared" si="11"/>
        <v>1.1649143330550971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6">
        <v>299.26</v>
      </c>
      <c r="E29" s="2"/>
      <c r="F29" s="7">
        <f t="shared" si="4"/>
        <v>9.9059913935782857E-3</v>
      </c>
      <c r="G29" s="2"/>
      <c r="H29" s="6">
        <v>439.41138461538497</v>
      </c>
      <c r="I29" s="2"/>
      <c r="J29" s="7">
        <f t="shared" si="5"/>
        <v>1.3116366216393092E-2</v>
      </c>
      <c r="K29" s="2"/>
      <c r="L29" s="6">
        <f t="shared" si="6"/>
        <v>-140.15138461538498</v>
      </c>
      <c r="M29" s="2"/>
      <c r="N29" s="7">
        <f t="shared" si="7"/>
        <v>-0.31895255681201551</v>
      </c>
      <c r="O29" s="11"/>
      <c r="P29" s="6">
        <v>897.78</v>
      </c>
      <c r="Q29" s="2"/>
      <c r="R29" s="7">
        <f t="shared" si="8"/>
        <v>7.6055980074888601E-3</v>
      </c>
      <c r="S29" s="2"/>
      <c r="T29" s="6">
        <v>1610.3570000000011</v>
      </c>
      <c r="U29" s="2"/>
      <c r="V29" s="7">
        <f t="shared" si="9"/>
        <v>6.0635933699327545E-3</v>
      </c>
      <c r="W29" s="2"/>
      <c r="X29" s="6">
        <f t="shared" si="10"/>
        <v>-712.57700000000114</v>
      </c>
      <c r="Y29" s="2"/>
      <c r="Z29" s="7">
        <f t="shared" si="11"/>
        <v>-0.4424962911950584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4"/>
        <v>0</v>
      </c>
      <c r="G30" s="2"/>
      <c r="H30" s="6">
        <v>350</v>
      </c>
      <c r="I30" s="2"/>
      <c r="J30" s="7">
        <f t="shared" si="5"/>
        <v>1.044744932987075E-2</v>
      </c>
      <c r="K30" s="2"/>
      <c r="L30" s="6">
        <f t="shared" si="6"/>
        <v>-350</v>
      </c>
      <c r="M30" s="2"/>
      <c r="N30" s="7">
        <f t="shared" si="7"/>
        <v>-1</v>
      </c>
      <c r="O30" s="11"/>
      <c r="P30" s="6"/>
      <c r="Q30" s="2"/>
      <c r="R30" s="7">
        <f t="shared" si="8"/>
        <v>0</v>
      </c>
      <c r="S30" s="2"/>
      <c r="T30" s="6">
        <v>1050</v>
      </c>
      <c r="U30" s="2"/>
      <c r="V30" s="7">
        <f t="shared" si="9"/>
        <v>3.9536407383141672E-3</v>
      </c>
      <c r="W30" s="2"/>
      <c r="X30" s="6">
        <f t="shared" si="10"/>
        <v>-1050</v>
      </c>
      <c r="Y30" s="2"/>
      <c r="Z30" s="7">
        <f t="shared" si="11"/>
        <v>-1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13598.04</v>
      </c>
      <c r="E31" s="1"/>
      <c r="F31" s="5">
        <f t="shared" ref="F31:F41" si="12">IF(D$12=0,0,D31/D$12)</f>
        <v>0.45011717974180737</v>
      </c>
      <c r="G31" s="1"/>
      <c r="H31" s="1">
        <f>SUM(OSRRefH22_1x_0)</f>
        <v>16183.265769230769</v>
      </c>
      <c r="I31" s="1"/>
      <c r="J31" s="5">
        <f t="shared" ref="J31:J41" si="13">IF(H$12=0,0,H31/H$12)</f>
        <v>0.48306814033105788</v>
      </c>
      <c r="K31" s="1"/>
      <c r="L31" s="1">
        <f t="shared" ref="L31:L41" si="14">+D31-H31</f>
        <v>-2585.2257692307685</v>
      </c>
      <c r="M31" s="1"/>
      <c r="N31" s="5">
        <f t="shared" ref="N31:N41" si="15">IF(H31=0,0,L31/H31)</f>
        <v>-0.15974685246447948</v>
      </c>
      <c r="O31" s="14"/>
      <c r="P31" s="1">
        <f>SUM(OSRRefP22_1x_0)</f>
        <v>46046.859999999993</v>
      </c>
      <c r="Q31" s="1"/>
      <c r="R31" s="5">
        <f t="shared" ref="R31:R41" si="16">IF(P$12=0,0,P31/P$12)</f>
        <v>0.39008878195896368</v>
      </c>
      <c r="S31" s="1"/>
      <c r="T31" s="1">
        <f>SUM(OSRRefT22_1x_0)</f>
        <v>59354.3825</v>
      </c>
      <c r="U31" s="1"/>
      <c r="V31" s="5">
        <f t="shared" ref="V31:V41" si="17">IF(T$12=0,0,T31/T$12)</f>
        <v>0.22349133776141095</v>
      </c>
      <c r="W31" s="1"/>
      <c r="X31" s="1">
        <f t="shared" ref="X31:X41" si="18">+P31-T31</f>
        <v>-13307.522500000006</v>
      </c>
      <c r="Y31" s="1"/>
      <c r="Z31" s="5">
        <f t="shared" ref="Z31:Z41" si="19">IF(T31=0,0,X31/T31)</f>
        <v>-0.22420454799609796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6">
        <v>4205.72</v>
      </c>
      <c r="E32" s="2"/>
      <c r="F32" s="7">
        <f t="shared" si="12"/>
        <v>0.139216153591526</v>
      </c>
      <c r="G32" s="2"/>
      <c r="H32" s="6">
        <v>4019.23076923077</v>
      </c>
      <c r="I32" s="2"/>
      <c r="J32" s="7">
        <f t="shared" si="13"/>
        <v>0.11997345659027402</v>
      </c>
      <c r="K32" s="2"/>
      <c r="L32" s="6">
        <f t="shared" si="14"/>
        <v>186.48923076923029</v>
      </c>
      <c r="M32" s="2"/>
      <c r="N32" s="7">
        <f t="shared" si="15"/>
        <v>4.6399234449760636E-2</v>
      </c>
      <c r="O32" s="11"/>
      <c r="P32" s="6">
        <v>13669.16</v>
      </c>
      <c r="Q32" s="2"/>
      <c r="R32" s="7">
        <f t="shared" si="16"/>
        <v>0.11579912234628352</v>
      </c>
      <c r="S32" s="2"/>
      <c r="T32" s="6">
        <v>13062.5</v>
      </c>
      <c r="U32" s="2"/>
      <c r="V32" s="7">
        <f t="shared" si="17"/>
        <v>4.9185173470694107E-2</v>
      </c>
      <c r="W32" s="2"/>
      <c r="X32" s="6">
        <f t="shared" si="18"/>
        <v>606.65999999999985</v>
      </c>
      <c r="Y32" s="2"/>
      <c r="Z32" s="7">
        <f t="shared" si="19"/>
        <v>4.6442870813397118E-2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6">
        <v>2282.3000000000002</v>
      </c>
      <c r="E33" s="2"/>
      <c r="F33" s="7">
        <f t="shared" si="12"/>
        <v>7.5547831843760349E-2</v>
      </c>
      <c r="G33" s="2"/>
      <c r="H33" s="6">
        <v>2168.1849999999999</v>
      </c>
      <c r="I33" s="2"/>
      <c r="J33" s="7">
        <f t="shared" si="13"/>
        <v>6.4720008357959463E-2</v>
      </c>
      <c r="K33" s="2"/>
      <c r="L33" s="6">
        <f t="shared" si="14"/>
        <v>114.11500000000024</v>
      </c>
      <c r="M33" s="2"/>
      <c r="N33" s="7">
        <f t="shared" si="15"/>
        <v>5.2631578947368529E-2</v>
      </c>
      <c r="O33" s="11"/>
      <c r="P33" s="6">
        <v>6961.44</v>
      </c>
      <c r="Q33" s="2"/>
      <c r="R33" s="7">
        <f t="shared" si="16"/>
        <v>5.8974263397773667E-2</v>
      </c>
      <c r="S33" s="2"/>
      <c r="T33" s="6">
        <v>9756.8325000000004</v>
      </c>
      <c r="U33" s="2"/>
      <c r="V33" s="7">
        <f t="shared" si="17"/>
        <v>3.6738105189435877E-2</v>
      </c>
      <c r="W33" s="2"/>
      <c r="X33" s="6">
        <f t="shared" si="18"/>
        <v>-2795.3925000000008</v>
      </c>
      <c r="Y33" s="2"/>
      <c r="Z33" s="7">
        <f t="shared" si="19"/>
        <v>-0.28650614838370964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12"/>
        <v>0</v>
      </c>
      <c r="G35" s="2"/>
      <c r="H35" s="6">
        <v>2793.6</v>
      </c>
      <c r="I35" s="2"/>
      <c r="J35" s="7">
        <f t="shared" si="13"/>
        <v>8.3388555565505507E-2</v>
      </c>
      <c r="K35" s="2"/>
      <c r="L35" s="6">
        <f t="shared" si="14"/>
        <v>-2793.6</v>
      </c>
      <c r="M35" s="2"/>
      <c r="N35" s="7">
        <f t="shared" si="15"/>
        <v>-1</v>
      </c>
      <c r="O35" s="11"/>
      <c r="P35" s="6"/>
      <c r="Q35" s="2"/>
      <c r="R35" s="7">
        <f t="shared" si="16"/>
        <v>0</v>
      </c>
      <c r="S35" s="2"/>
      <c r="T35" s="6">
        <v>8380.7999999999993</v>
      </c>
      <c r="U35" s="2"/>
      <c r="V35" s="7">
        <f t="shared" si="17"/>
        <v>3.1556830761584165E-2</v>
      </c>
      <c r="W35" s="2"/>
      <c r="X35" s="6">
        <f t="shared" si="18"/>
        <v>-8380.7999999999993</v>
      </c>
      <c r="Y35" s="2"/>
      <c r="Z35" s="7">
        <f t="shared" si="19"/>
        <v>-1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6">
        <v>6363.16</v>
      </c>
      <c r="E36" s="2"/>
      <c r="F36" s="7">
        <f t="shared" si="12"/>
        <v>0.21063091691492883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6363.16</v>
      </c>
      <c r="M36" s="2"/>
      <c r="N36" s="7">
        <f t="shared" si="15"/>
        <v>0</v>
      </c>
      <c r="O36" s="11"/>
      <c r="P36" s="6">
        <v>21005.52</v>
      </c>
      <c r="Q36" s="2"/>
      <c r="R36" s="7">
        <f t="shared" si="16"/>
        <v>0.17794954338286373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21005.52</v>
      </c>
      <c r="Y36" s="2"/>
      <c r="Z36" s="7">
        <f t="shared" si="19"/>
        <v>0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6">
        <v>-96.5</v>
      </c>
      <c r="E38" s="2"/>
      <c r="F38" s="7">
        <f t="shared" si="12"/>
        <v>-3.1943065210195301E-3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-96.5</v>
      </c>
      <c r="M38" s="2"/>
      <c r="N38" s="7">
        <f t="shared" si="15"/>
        <v>0</v>
      </c>
      <c r="O38" s="11"/>
      <c r="P38" s="6">
        <v>3567.38</v>
      </c>
      <c r="Q38" s="2"/>
      <c r="R38" s="7">
        <f t="shared" si="16"/>
        <v>3.0221277172531813E-2</v>
      </c>
      <c r="S38" s="2"/>
      <c r="T38" s="6">
        <v>20952</v>
      </c>
      <c r="U38" s="2"/>
      <c r="V38" s="7">
        <f t="shared" si="17"/>
        <v>7.8892076903960412E-2</v>
      </c>
      <c r="W38" s="2"/>
      <c r="X38" s="6">
        <f t="shared" si="18"/>
        <v>-17384.62</v>
      </c>
      <c r="Y38" s="2"/>
      <c r="Z38" s="7">
        <f t="shared" si="19"/>
        <v>-0.82973558610156539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>
        <v>843.36</v>
      </c>
      <c r="E39" s="2"/>
      <c r="F39" s="7">
        <f t="shared" si="12"/>
        <v>2.7916583912611717E-2</v>
      </c>
      <c r="G39" s="2"/>
      <c r="H39" s="6">
        <v>7202.25</v>
      </c>
      <c r="I39" s="2"/>
      <c r="J39" s="7">
        <f t="shared" si="13"/>
        <v>0.21498611981731888</v>
      </c>
      <c r="K39" s="2"/>
      <c r="L39" s="6">
        <f t="shared" si="14"/>
        <v>-6358.89</v>
      </c>
      <c r="M39" s="2"/>
      <c r="N39" s="7">
        <f t="shared" si="15"/>
        <v>-0.88290325939810477</v>
      </c>
      <c r="O39" s="11"/>
      <c r="P39" s="6">
        <v>843.36</v>
      </c>
      <c r="Q39" s="2"/>
      <c r="R39" s="7">
        <f t="shared" si="16"/>
        <v>7.1445756595110215E-3</v>
      </c>
      <c r="S39" s="2"/>
      <c r="T39" s="6">
        <v>7202.25</v>
      </c>
      <c r="U39" s="2"/>
      <c r="V39" s="7">
        <f t="shared" si="17"/>
        <v>2.7119151435736392E-2</v>
      </c>
      <c r="W39" s="2"/>
      <c r="X39" s="6">
        <f t="shared" si="18"/>
        <v>-6358.89</v>
      </c>
      <c r="Y39" s="2"/>
      <c r="Z39" s="7">
        <f t="shared" si="19"/>
        <v>-0.88290325939810477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8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2.9849855228202145E-3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300</v>
      </c>
      <c r="U42" s="1"/>
      <c r="V42" s="5">
        <f t="shared" ref="V42:V50" si="25">IF(T$12=0,0,T42/T$12)</f>
        <v>1.1296116395183337E-3</v>
      </c>
      <c r="W42" s="1"/>
      <c r="X42" s="1">
        <f t="shared" ref="X42:X50" si="26">+P42-T42</f>
        <v>-300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>
        <v>100</v>
      </c>
      <c r="I43" s="2"/>
      <c r="J43" s="7">
        <f t="shared" si="21"/>
        <v>2.9849855228202145E-3</v>
      </c>
      <c r="K43" s="2"/>
      <c r="L43" s="6">
        <f t="shared" si="22"/>
        <v>-100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300</v>
      </c>
      <c r="U43" s="2"/>
      <c r="V43" s="7">
        <f t="shared" si="25"/>
        <v>1.1296116395183337E-3</v>
      </c>
      <c r="W43" s="2"/>
      <c r="X43" s="6">
        <f t="shared" si="26"/>
        <v>-300</v>
      </c>
      <c r="Y43" s="2"/>
      <c r="Z43" s="7">
        <f t="shared" si="27"/>
        <v>-1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94</v>
      </c>
      <c r="E44" s="1"/>
      <c r="F44" s="5">
        <f t="shared" si="20"/>
        <v>3.1115524660708374E-3</v>
      </c>
      <c r="G44" s="1"/>
      <c r="H44" s="1">
        <f>SUM(OSRRefH22_3x_0)</f>
        <v>1500</v>
      </c>
      <c r="I44" s="1"/>
      <c r="J44" s="5">
        <f t="shared" si="21"/>
        <v>4.4774782842303212E-2</v>
      </c>
      <c r="K44" s="1"/>
      <c r="L44" s="1">
        <f t="shared" si="22"/>
        <v>-1406</v>
      </c>
      <c r="M44" s="1"/>
      <c r="N44" s="5">
        <f t="shared" si="23"/>
        <v>-0.93733333333333335</v>
      </c>
      <c r="O44" s="14"/>
      <c r="P44" s="1">
        <f>SUM(OSRRefP22_3x_0)</f>
        <v>464.43</v>
      </c>
      <c r="Q44" s="1"/>
      <c r="R44" s="5">
        <f t="shared" si="24"/>
        <v>3.9344470612154995E-3</v>
      </c>
      <c r="S44" s="1"/>
      <c r="T44" s="1">
        <f>SUM(OSRRefT22_3x_0)</f>
        <v>4500</v>
      </c>
      <c r="U44" s="1"/>
      <c r="V44" s="5">
        <f t="shared" si="25"/>
        <v>1.6944174592775006E-2</v>
      </c>
      <c r="W44" s="1"/>
      <c r="X44" s="1">
        <f t="shared" si="26"/>
        <v>-4035.57</v>
      </c>
      <c r="Y44" s="1"/>
      <c r="Z44" s="5">
        <f t="shared" si="27"/>
        <v>-0.89679333333333333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6">
        <v>94</v>
      </c>
      <c r="E45" s="2"/>
      <c r="F45" s="7">
        <f t="shared" si="20"/>
        <v>3.1115524660708374E-3</v>
      </c>
      <c r="G45" s="2"/>
      <c r="H45" s="6">
        <v>1500</v>
      </c>
      <c r="I45" s="2"/>
      <c r="J45" s="7">
        <f t="shared" si="21"/>
        <v>4.4774782842303212E-2</v>
      </c>
      <c r="K45" s="2"/>
      <c r="L45" s="6">
        <f t="shared" si="22"/>
        <v>-1406</v>
      </c>
      <c r="M45" s="2"/>
      <c r="N45" s="7">
        <f t="shared" si="23"/>
        <v>-0.93733333333333335</v>
      </c>
      <c r="O45" s="11"/>
      <c r="P45" s="6">
        <v>464.43</v>
      </c>
      <c r="Q45" s="2"/>
      <c r="R45" s="7">
        <f t="shared" si="24"/>
        <v>3.9344470612154995E-3</v>
      </c>
      <c r="S45" s="2"/>
      <c r="T45" s="6">
        <v>4500</v>
      </c>
      <c r="U45" s="2"/>
      <c r="V45" s="7">
        <f t="shared" si="25"/>
        <v>1.6944174592775006E-2</v>
      </c>
      <c r="W45" s="2"/>
      <c r="X45" s="6">
        <f t="shared" si="26"/>
        <v>-4035.57</v>
      </c>
      <c r="Y45" s="2"/>
      <c r="Z45" s="7">
        <f t="shared" si="27"/>
        <v>-0.89679333333333333</v>
      </c>
    </row>
    <row r="46" spans="1:26" s="28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5.9699710456404291E-4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60</v>
      </c>
      <c r="U46" s="1"/>
      <c r="V46" s="5">
        <f t="shared" si="25"/>
        <v>2.2592232790366671E-4</v>
      </c>
      <c r="W46" s="1"/>
      <c r="X46" s="1">
        <f t="shared" si="26"/>
        <v>-60</v>
      </c>
      <c r="Y46" s="1"/>
      <c r="Z46" s="5">
        <f t="shared" si="27"/>
        <v>-1</v>
      </c>
    </row>
    <row r="47" spans="1:26" s="24" customFormat="1" hidden="1" outlineLevel="2" x14ac:dyDescent="0.25">
      <c r="A47" s="29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0"/>
        <v>0</v>
      </c>
      <c r="G47" s="2"/>
      <c r="H47" s="6">
        <v>20</v>
      </c>
      <c r="I47" s="2"/>
      <c r="J47" s="7">
        <f t="shared" si="21"/>
        <v>5.9699710456404291E-4</v>
      </c>
      <c r="K47" s="2"/>
      <c r="L47" s="6">
        <f t="shared" si="22"/>
        <v>-20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60</v>
      </c>
      <c r="U47" s="2"/>
      <c r="V47" s="7">
        <f t="shared" si="25"/>
        <v>2.2592232790366671E-4</v>
      </c>
      <c r="W47" s="2"/>
      <c r="X47" s="6">
        <f t="shared" si="26"/>
        <v>-60</v>
      </c>
      <c r="Y47" s="2"/>
      <c r="Z47" s="7">
        <f t="shared" si="27"/>
        <v>-1</v>
      </c>
    </row>
    <row r="48" spans="1:26" s="28" customFormat="1" outlineLevel="1" collapsed="1" x14ac:dyDescent="0.25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0.5</v>
      </c>
      <c r="E48" s="1"/>
      <c r="F48" s="5">
        <f t="shared" si="20"/>
        <v>1.6550810989738498E-5</v>
      </c>
      <c r="G48" s="1"/>
      <c r="H48" s="1">
        <f>SUM(OSRRefH22_5x_0)</f>
        <v>10</v>
      </c>
      <c r="I48" s="1"/>
      <c r="J48" s="5">
        <f t="shared" si="21"/>
        <v>2.9849855228202145E-4</v>
      </c>
      <c r="K48" s="1"/>
      <c r="L48" s="1">
        <f t="shared" si="22"/>
        <v>-9.5</v>
      </c>
      <c r="M48" s="1"/>
      <c r="N48" s="5">
        <f t="shared" si="23"/>
        <v>-0.95</v>
      </c>
      <c r="O48" s="14"/>
      <c r="P48" s="1">
        <f>SUM(OSRRefP22_5x_0)</f>
        <v>0.79</v>
      </c>
      <c r="Q48" s="1"/>
      <c r="R48" s="5">
        <f t="shared" si="24"/>
        <v>6.6925331661611973E-6</v>
      </c>
      <c r="S48" s="1"/>
      <c r="T48" s="1">
        <f>SUM(OSRRefT22_5x_0)</f>
        <v>30</v>
      </c>
      <c r="U48" s="1"/>
      <c r="V48" s="5">
        <f t="shared" si="25"/>
        <v>1.1296116395183336E-4</v>
      </c>
      <c r="W48" s="1"/>
      <c r="X48" s="1">
        <f t="shared" si="26"/>
        <v>-29.21</v>
      </c>
      <c r="Y48" s="1"/>
      <c r="Z48" s="5">
        <f t="shared" si="27"/>
        <v>-0.97366666666666668</v>
      </c>
    </row>
    <row r="49" spans="1:26" s="24" customFormat="1" hidden="1" outlineLevel="2" x14ac:dyDescent="0.25">
      <c r="A49" s="29"/>
      <c r="B49" s="11" t="str">
        <f>CONCATENATE("          ", "6305", " - ", "FREIGHT OUT")</f>
        <v xml:space="preserve">          6305 - FREIGHT OUT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>
        <v>0.28999999999999998</v>
      </c>
      <c r="Q49" s="2"/>
      <c r="R49" s="7">
        <f t="shared" si="24"/>
        <v>2.4567526812490469E-6</v>
      </c>
      <c r="S49" s="2"/>
      <c r="T49" s="6"/>
      <c r="U49" s="2"/>
      <c r="V49" s="7">
        <f t="shared" si="25"/>
        <v>0</v>
      </c>
      <c r="W49" s="2"/>
      <c r="X49" s="6">
        <f t="shared" si="26"/>
        <v>0.28999999999999998</v>
      </c>
      <c r="Y49" s="2"/>
      <c r="Z49" s="7">
        <f t="shared" si="27"/>
        <v>0</v>
      </c>
    </row>
    <row r="50" spans="1:26" s="24" customFormat="1" hidden="1" outlineLevel="2" x14ac:dyDescent="0.25">
      <c r="A50" s="29"/>
      <c r="B50" s="11" t="str">
        <f>CONCATENATE("          ", "6307", " - ", "POSTAGE")</f>
        <v xml:space="preserve">          6307 - POSTAGE</v>
      </c>
      <c r="C50" s="11"/>
      <c r="D50" s="6">
        <v>0.5</v>
      </c>
      <c r="E50" s="2"/>
      <c r="F50" s="7">
        <f t="shared" si="20"/>
        <v>1.6550810989738498E-5</v>
      </c>
      <c r="G50" s="2"/>
      <c r="H50" s="6">
        <v>10</v>
      </c>
      <c r="I50" s="2"/>
      <c r="J50" s="7">
        <f t="shared" si="21"/>
        <v>2.9849855228202145E-4</v>
      </c>
      <c r="K50" s="2"/>
      <c r="L50" s="6">
        <f t="shared" si="22"/>
        <v>-9.5</v>
      </c>
      <c r="M50" s="2"/>
      <c r="N50" s="7">
        <f t="shared" si="23"/>
        <v>-0.95</v>
      </c>
      <c r="O50" s="11"/>
      <c r="P50" s="6">
        <v>0.5</v>
      </c>
      <c r="Q50" s="2"/>
      <c r="R50" s="7">
        <f t="shared" si="24"/>
        <v>4.2357804849121496E-6</v>
      </c>
      <c r="S50" s="2"/>
      <c r="T50" s="6">
        <v>30</v>
      </c>
      <c r="U50" s="2"/>
      <c r="V50" s="7">
        <f t="shared" si="25"/>
        <v>1.1296116395183336E-4</v>
      </c>
      <c r="W50" s="2"/>
      <c r="X50" s="6">
        <f t="shared" si="26"/>
        <v>-29.5</v>
      </c>
      <c r="Y50" s="2"/>
      <c r="Z50" s="7">
        <f t="shared" si="27"/>
        <v>-0.98333333333333328</v>
      </c>
    </row>
    <row r="51" spans="1:26" s="28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0" si="28">IF(D$12=0,0,D51/D$12)</f>
        <v>0</v>
      </c>
      <c r="G51" s="1"/>
      <c r="H51" s="1">
        <f>SUM(OSRRefH22_6x_0)</f>
        <v>50</v>
      </c>
      <c r="I51" s="1"/>
      <c r="J51" s="5">
        <f t="shared" ref="J51:J60" si="29">IF(H$12=0,0,H51/H$12)</f>
        <v>1.4924927614101073E-3</v>
      </c>
      <c r="K51" s="1"/>
      <c r="L51" s="1">
        <f t="shared" ref="L51:L60" si="30">+D51-H51</f>
        <v>-50</v>
      </c>
      <c r="M51" s="1"/>
      <c r="N51" s="5">
        <f t="shared" ref="N51:N60" si="31">IF(H51=0,0,L51/H51)</f>
        <v>-1</v>
      </c>
      <c r="O51" s="14"/>
      <c r="P51" s="1">
        <f>SUM(OSRRefP22_6x_0)</f>
        <v>0</v>
      </c>
      <c r="Q51" s="1"/>
      <c r="R51" s="5">
        <f t="shared" ref="R51:R60" si="32">IF(P$12=0,0,P51/P$12)</f>
        <v>0</v>
      </c>
      <c r="S51" s="1"/>
      <c r="T51" s="1">
        <f>SUM(OSRRefT22_6x_0)</f>
        <v>150</v>
      </c>
      <c r="U51" s="1"/>
      <c r="V51" s="5">
        <f t="shared" ref="V51:V60" si="33">IF(T$12=0,0,T51/T$12)</f>
        <v>5.6480581975916684E-4</v>
      </c>
      <c r="W51" s="1"/>
      <c r="X51" s="1">
        <f t="shared" ref="X51:X60" si="34">+P51-T51</f>
        <v>-150</v>
      </c>
      <c r="Y51" s="1"/>
      <c r="Z51" s="5">
        <f t="shared" ref="Z51:Z60" si="35">IF(T51=0,0,X51/T51)</f>
        <v>-1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1.4924927614101073E-3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150</v>
      </c>
      <c r="U52" s="2"/>
      <c r="V52" s="7">
        <f t="shared" si="33"/>
        <v>5.6480581975916684E-4</v>
      </c>
      <c r="W52" s="2"/>
      <c r="X52" s="6">
        <f t="shared" si="34"/>
        <v>-150</v>
      </c>
      <c r="Y52" s="2"/>
      <c r="Z52" s="7">
        <f t="shared" si="35"/>
        <v>-1</v>
      </c>
    </row>
    <row r="53" spans="1:26" s="28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9.602780536246277E-4</v>
      </c>
      <c r="G53" s="1"/>
      <c r="H53" s="1">
        <f>SUM(OSRRefH22_7x_0)</f>
        <v>33</v>
      </c>
      <c r="I53" s="1"/>
      <c r="J53" s="5">
        <f t="shared" si="29"/>
        <v>9.8504522253067069E-4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87.03</v>
      </c>
      <c r="Q53" s="1"/>
      <c r="R53" s="5">
        <f t="shared" si="32"/>
        <v>7.3727995120380883E-4</v>
      </c>
      <c r="S53" s="1"/>
      <c r="T53" s="1">
        <f>SUM(OSRRefT22_7x_0)</f>
        <v>99</v>
      </c>
      <c r="U53" s="1"/>
      <c r="V53" s="5">
        <f t="shared" si="33"/>
        <v>3.727718410410501E-4</v>
      </c>
      <c r="W53" s="1"/>
      <c r="X53" s="1">
        <f t="shared" si="34"/>
        <v>-11.969999999999999</v>
      </c>
      <c r="Y53" s="1"/>
      <c r="Z53" s="5">
        <f t="shared" si="35"/>
        <v>-0.1209090909090909</v>
      </c>
    </row>
    <row r="54" spans="1:26" s="24" customFormat="1" hidden="1" outlineLevel="2" x14ac:dyDescent="0.25">
      <c r="A54" s="29"/>
      <c r="B54" s="11" t="str">
        <f>CONCATENATE("          ", "6314", " - ", "LIABILITY INSURANCE")</f>
        <v xml:space="preserve">          6314 - LIABILITY INSURANCE</v>
      </c>
      <c r="C54" s="11"/>
      <c r="D54" s="6">
        <v>29.01</v>
      </c>
      <c r="E54" s="2"/>
      <c r="F54" s="7">
        <f t="shared" si="28"/>
        <v>9.602780536246277E-4</v>
      </c>
      <c r="G54" s="2"/>
      <c r="H54" s="6">
        <v>33</v>
      </c>
      <c r="I54" s="2"/>
      <c r="J54" s="7">
        <f t="shared" si="29"/>
        <v>9.8504522253067069E-4</v>
      </c>
      <c r="K54" s="2"/>
      <c r="L54" s="6">
        <f t="shared" si="30"/>
        <v>-3.9899999999999984</v>
      </c>
      <c r="M54" s="2"/>
      <c r="N54" s="7">
        <f t="shared" si="31"/>
        <v>-0.12090909090909085</v>
      </c>
      <c r="O54" s="11"/>
      <c r="P54" s="6">
        <v>87.03</v>
      </c>
      <c r="Q54" s="2"/>
      <c r="R54" s="7">
        <f t="shared" si="32"/>
        <v>7.3727995120380883E-4</v>
      </c>
      <c r="S54" s="2"/>
      <c r="T54" s="6">
        <v>99</v>
      </c>
      <c r="U54" s="2"/>
      <c r="V54" s="7">
        <f t="shared" si="33"/>
        <v>3.727718410410501E-4</v>
      </c>
      <c r="W54" s="2"/>
      <c r="X54" s="6">
        <f t="shared" si="34"/>
        <v>-11.969999999999999</v>
      </c>
      <c r="Y54" s="2"/>
      <c r="Z54" s="7">
        <f t="shared" si="35"/>
        <v>-0.1209090909090909</v>
      </c>
    </row>
    <row r="55" spans="1:26" s="28" customFormat="1" outlineLevel="1" collapsed="1" x14ac:dyDescent="0.25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2.6481297583581597E-2</v>
      </c>
      <c r="G55" s="1"/>
      <c r="H55" s="1">
        <f>SUM(OSRRefH22_8x_0)</f>
        <v>800</v>
      </c>
      <c r="I55" s="1"/>
      <c r="J55" s="5">
        <f t="shared" si="29"/>
        <v>2.3879884182561716E-2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2400</v>
      </c>
      <c r="Q55" s="1"/>
      <c r="R55" s="5">
        <f t="shared" si="32"/>
        <v>2.033174632757832E-2</v>
      </c>
      <c r="S55" s="1"/>
      <c r="T55" s="1">
        <f>SUM(OSRRefT22_8x_0)</f>
        <v>2400</v>
      </c>
      <c r="U55" s="1"/>
      <c r="V55" s="5">
        <f t="shared" si="33"/>
        <v>9.0368931161466694E-3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9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8"/>
        <v>2.6481297583581597E-2</v>
      </c>
      <c r="G56" s="2"/>
      <c r="H56" s="6">
        <v>800</v>
      </c>
      <c r="I56" s="2"/>
      <c r="J56" s="7">
        <f t="shared" si="29"/>
        <v>2.3879884182561716E-2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2400</v>
      </c>
      <c r="Q56" s="2"/>
      <c r="R56" s="7">
        <f t="shared" si="32"/>
        <v>2.033174632757832E-2</v>
      </c>
      <c r="S56" s="2"/>
      <c r="T56" s="6">
        <v>2400</v>
      </c>
      <c r="U56" s="2"/>
      <c r="V56" s="7">
        <f t="shared" si="33"/>
        <v>9.0368931161466694E-3</v>
      </c>
      <c r="W56" s="2"/>
      <c r="X56" s="6">
        <f t="shared" si="34"/>
        <v>0</v>
      </c>
      <c r="Y56" s="2"/>
      <c r="Z56" s="7">
        <f t="shared" si="35"/>
        <v>0</v>
      </c>
    </row>
    <row r="57" spans="1:26" s="28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6562</v>
      </c>
      <c r="E57" s="1"/>
      <c r="F57" s="5">
        <f t="shared" si="28"/>
        <v>0.21721284342932803</v>
      </c>
      <c r="G57" s="1"/>
      <c r="H57" s="1">
        <f>SUM(OSRRefH22_9x_0)</f>
        <v>1500</v>
      </c>
      <c r="I57" s="1"/>
      <c r="J57" s="5">
        <f t="shared" si="29"/>
        <v>4.4774782842303212E-2</v>
      </c>
      <c r="K57" s="1"/>
      <c r="L57" s="1">
        <f t="shared" si="30"/>
        <v>5062</v>
      </c>
      <c r="M57" s="1"/>
      <c r="N57" s="5">
        <f t="shared" si="31"/>
        <v>3.3746666666666667</v>
      </c>
      <c r="O57" s="14"/>
      <c r="P57" s="1">
        <f>SUM(OSRRefP22_9x_0)</f>
        <v>6562</v>
      </c>
      <c r="Q57" s="1"/>
      <c r="R57" s="5">
        <f t="shared" si="32"/>
        <v>5.5590383083987054E-2</v>
      </c>
      <c r="S57" s="1"/>
      <c r="T57" s="1">
        <f>SUM(OSRRefT22_9x_0)</f>
        <v>129500</v>
      </c>
      <c r="U57" s="1"/>
      <c r="V57" s="5">
        <f t="shared" si="33"/>
        <v>0.48761569105874736</v>
      </c>
      <c r="W57" s="1"/>
      <c r="X57" s="1">
        <f t="shared" si="34"/>
        <v>-122938</v>
      </c>
      <c r="Y57" s="1"/>
      <c r="Z57" s="5">
        <f t="shared" si="35"/>
        <v>-0.9493281853281853</v>
      </c>
    </row>
    <row r="58" spans="1:26" s="24" customFormat="1" hidden="1" outlineLevel="2" x14ac:dyDescent="0.25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125000</v>
      </c>
      <c r="U58" s="2"/>
      <c r="V58" s="7">
        <f t="shared" si="33"/>
        <v>0.47067151646597233</v>
      </c>
      <c r="W58" s="2"/>
      <c r="X58" s="6">
        <f t="shared" si="34"/>
        <v>-125000</v>
      </c>
      <c r="Y58" s="2"/>
      <c r="Z58" s="7">
        <f t="shared" si="35"/>
        <v>-1</v>
      </c>
    </row>
    <row r="59" spans="1:26" s="24" customFormat="1" hidden="1" outlineLevel="2" x14ac:dyDescent="0.25">
      <c r="A59" s="29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8"/>
        <v>0</v>
      </c>
      <c r="G59" s="2"/>
      <c r="H59" s="6">
        <v>1500</v>
      </c>
      <c r="I59" s="2"/>
      <c r="J59" s="7">
        <f t="shared" si="29"/>
        <v>4.4774782842303212E-2</v>
      </c>
      <c r="K59" s="2"/>
      <c r="L59" s="6">
        <f t="shared" si="30"/>
        <v>-1500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4500</v>
      </c>
      <c r="U59" s="2"/>
      <c r="V59" s="7">
        <f t="shared" si="33"/>
        <v>1.6944174592775006E-2</v>
      </c>
      <c r="W59" s="2"/>
      <c r="X59" s="6">
        <f t="shared" si="34"/>
        <v>-4500</v>
      </c>
      <c r="Y59" s="2"/>
      <c r="Z59" s="7">
        <f t="shared" si="35"/>
        <v>-1</v>
      </c>
    </row>
    <row r="60" spans="1:26" s="24" customFormat="1" hidden="1" outlineLevel="2" x14ac:dyDescent="0.25">
      <c r="A60" s="29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6562</v>
      </c>
      <c r="E60" s="2"/>
      <c r="F60" s="7">
        <f t="shared" si="28"/>
        <v>0.21721284342932803</v>
      </c>
      <c r="G60" s="2"/>
      <c r="H60" s="6"/>
      <c r="I60" s="2"/>
      <c r="J60" s="7">
        <f t="shared" si="29"/>
        <v>0</v>
      </c>
      <c r="K60" s="2"/>
      <c r="L60" s="6">
        <f t="shared" si="30"/>
        <v>6562</v>
      </c>
      <c r="M60" s="2"/>
      <c r="N60" s="7">
        <f t="shared" si="31"/>
        <v>0</v>
      </c>
      <c r="O60" s="11"/>
      <c r="P60" s="6">
        <v>6562</v>
      </c>
      <c r="Q60" s="2"/>
      <c r="R60" s="7">
        <f t="shared" si="32"/>
        <v>5.5590383083987054E-2</v>
      </c>
      <c r="S60" s="2"/>
      <c r="T60" s="6"/>
      <c r="U60" s="2"/>
      <c r="V60" s="7">
        <f t="shared" si="33"/>
        <v>0</v>
      </c>
      <c r="W60" s="2"/>
      <c r="X60" s="6">
        <f t="shared" si="34"/>
        <v>6562</v>
      </c>
      <c r="Y60" s="2"/>
      <c r="Z60" s="7">
        <f t="shared" si="35"/>
        <v>0</v>
      </c>
    </row>
    <row r="61" spans="1:26" s="28" customFormat="1" outlineLevel="1" collapsed="1" x14ac:dyDescent="0.25">
      <c r="A61" s="27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SUM(OSRRefD22_10x_0)</f>
        <v>0</v>
      </c>
      <c r="E61" s="1"/>
      <c r="F61" s="5">
        <f t="shared" ref="F61:F63" si="36">IF(D$12=0,0,D61/D$12)</f>
        <v>0</v>
      </c>
      <c r="G61" s="1"/>
      <c r="H61" s="1">
        <f>SUM(OSRRefH22_10x_0)</f>
        <v>7000</v>
      </c>
      <c r="I61" s="1"/>
      <c r="J61" s="5">
        <f t="shared" ref="J61:J63" si="37">IF(H$12=0,0,H61/H$12)</f>
        <v>0.20894898659741501</v>
      </c>
      <c r="K61" s="1"/>
      <c r="L61" s="1">
        <f t="shared" ref="L61:L63" si="38">+D61-H61</f>
        <v>-7000</v>
      </c>
      <c r="M61" s="1"/>
      <c r="N61" s="5">
        <f t="shared" ref="N61:N63" si="39">IF(H61=0,0,L61/H61)</f>
        <v>-1</v>
      </c>
      <c r="O61" s="14"/>
      <c r="P61" s="1">
        <f>SUM(OSRRefP22_10x_0)</f>
        <v>35183.15</v>
      </c>
      <c r="Q61" s="1"/>
      <c r="R61" s="5">
        <f t="shared" ref="R61:R63" si="40">IF(P$12=0,0,P61/P$12)</f>
        <v>0.29805620033547381</v>
      </c>
      <c r="S61" s="1"/>
      <c r="T61" s="1">
        <f>SUM(OSRRefT22_10x_0)</f>
        <v>21000</v>
      </c>
      <c r="U61" s="1"/>
      <c r="V61" s="5">
        <f t="shared" ref="V61:V63" si="41">IF(T$12=0,0,T61/T$12)</f>
        <v>7.9072814766283347E-2</v>
      </c>
      <c r="W61" s="1"/>
      <c r="X61" s="1">
        <f t="shared" ref="X61:X63" si="42">+P61-T61</f>
        <v>14183.150000000001</v>
      </c>
      <c r="Y61" s="1"/>
      <c r="Z61" s="5">
        <f t="shared" ref="Z61:Z63" si="43">IF(T61=0,0,X61/T61)</f>
        <v>0.67538809523809529</v>
      </c>
    </row>
    <row r="62" spans="1:26" s="24" customFormat="1" hidden="1" outlineLevel="2" x14ac:dyDescent="0.25">
      <c r="A62" s="29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36"/>
        <v>0</v>
      </c>
      <c r="G62" s="2"/>
      <c r="H62" s="6">
        <v>7000</v>
      </c>
      <c r="I62" s="2"/>
      <c r="J62" s="7">
        <f t="shared" si="37"/>
        <v>0.20894898659741501</v>
      </c>
      <c r="K62" s="2"/>
      <c r="L62" s="6">
        <f t="shared" si="38"/>
        <v>-7000</v>
      </c>
      <c r="M62" s="2"/>
      <c r="N62" s="7">
        <f t="shared" si="39"/>
        <v>-1</v>
      </c>
      <c r="O62" s="11"/>
      <c r="P62" s="6"/>
      <c r="Q62" s="2"/>
      <c r="R62" s="7">
        <f t="shared" si="40"/>
        <v>0</v>
      </c>
      <c r="S62" s="2"/>
      <c r="T62" s="6">
        <v>21000</v>
      </c>
      <c r="U62" s="2"/>
      <c r="V62" s="7">
        <f t="shared" si="41"/>
        <v>7.9072814766283347E-2</v>
      </c>
      <c r="W62" s="2"/>
      <c r="X62" s="6">
        <f t="shared" si="42"/>
        <v>-21000</v>
      </c>
      <c r="Y62" s="2"/>
      <c r="Z62" s="7">
        <f t="shared" si="43"/>
        <v>-1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35183.15</v>
      </c>
      <c r="Q63" s="2"/>
      <c r="R63" s="7">
        <f t="shared" si="40"/>
        <v>0.29805620033547381</v>
      </c>
      <c r="S63" s="2"/>
      <c r="T63" s="6"/>
      <c r="U63" s="2"/>
      <c r="V63" s="7">
        <f t="shared" si="41"/>
        <v>0</v>
      </c>
      <c r="W63" s="2"/>
      <c r="X63" s="6">
        <f t="shared" si="42"/>
        <v>35183.15</v>
      </c>
      <c r="Y63" s="2"/>
      <c r="Z63" s="7">
        <f t="shared" si="43"/>
        <v>0</v>
      </c>
    </row>
    <row r="64" spans="1:26" s="28" customFormat="1" outlineLevel="1" collapsed="1" x14ac:dyDescent="0.25">
      <c r="A64" s="27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SUM(OSRRefD22_11x_0)</f>
        <v>750</v>
      </c>
      <c r="E64" s="1"/>
      <c r="F64" s="5">
        <f t="shared" ref="F64:F65" si="44">IF(D$12=0,0,D64/D$12)</f>
        <v>2.4826216484607744E-2</v>
      </c>
      <c r="G64" s="1"/>
      <c r="H64" s="1">
        <f>SUM(OSRRefH22_11x_0)</f>
        <v>700</v>
      </c>
      <c r="I64" s="1"/>
      <c r="J64" s="5">
        <f t="shared" ref="J64:J65" si="45">IF(H$12=0,0,H64/H$12)</f>
        <v>2.08948986597415E-2</v>
      </c>
      <c r="K64" s="1"/>
      <c r="L64" s="1">
        <f t="shared" ref="L64:L65" si="46">+D64-H64</f>
        <v>50</v>
      </c>
      <c r="M64" s="1"/>
      <c r="N64" s="5">
        <f t="shared" ref="N64:N65" si="47">IF(H64=0,0,L64/H64)</f>
        <v>7.1428571428571425E-2</v>
      </c>
      <c r="O64" s="14"/>
      <c r="P64" s="1">
        <f>SUM(OSRRefP22_11x_0)</f>
        <v>1042.08</v>
      </c>
      <c r="Q64" s="1"/>
      <c r="R64" s="5">
        <f t="shared" ref="R64:R65" si="48">IF(P$12=0,0,P64/P$12)</f>
        <v>8.8280442554345053E-3</v>
      </c>
      <c r="S64" s="1"/>
      <c r="T64" s="1">
        <f>SUM(OSRRefT22_11x_0)</f>
        <v>2100</v>
      </c>
      <c r="U64" s="1"/>
      <c r="V64" s="5">
        <f t="shared" ref="V64:V65" si="49">IF(T$12=0,0,T64/T$12)</f>
        <v>7.9072814766283344E-3</v>
      </c>
      <c r="W64" s="1"/>
      <c r="X64" s="1">
        <f t="shared" ref="X64:X65" si="50">+P64-T64</f>
        <v>-1057.92</v>
      </c>
      <c r="Y64" s="1"/>
      <c r="Z64" s="5">
        <f t="shared" ref="Z64:Z65" si="51">IF(T64=0,0,X64/T64)</f>
        <v>-0.50377142857142865</v>
      </c>
    </row>
    <row r="65" spans="1:26" s="24" customFormat="1" hidden="1" outlineLevel="2" x14ac:dyDescent="0.25">
      <c r="A65" s="29"/>
      <c r="B65" s="11" t="str">
        <f>CONCATENATE("          ", "6309", " - ", "TELEPHONE")</f>
        <v xml:space="preserve">          6309 - TELEPHONE</v>
      </c>
      <c r="C65" s="11"/>
      <c r="D65" s="6">
        <v>750</v>
      </c>
      <c r="E65" s="2"/>
      <c r="F65" s="7">
        <f t="shared" si="44"/>
        <v>2.4826216484607744E-2</v>
      </c>
      <c r="G65" s="2"/>
      <c r="H65" s="6">
        <v>700</v>
      </c>
      <c r="I65" s="2"/>
      <c r="J65" s="7">
        <f t="shared" si="45"/>
        <v>2.08948986597415E-2</v>
      </c>
      <c r="K65" s="2"/>
      <c r="L65" s="6">
        <f t="shared" si="46"/>
        <v>50</v>
      </c>
      <c r="M65" s="2"/>
      <c r="N65" s="7">
        <f t="shared" si="47"/>
        <v>7.1428571428571425E-2</v>
      </c>
      <c r="O65" s="11"/>
      <c r="P65" s="6">
        <v>1042.08</v>
      </c>
      <c r="Q65" s="2"/>
      <c r="R65" s="7">
        <f t="shared" si="48"/>
        <v>8.8280442554345053E-3</v>
      </c>
      <c r="S65" s="2"/>
      <c r="T65" s="6">
        <v>2100</v>
      </c>
      <c r="U65" s="2"/>
      <c r="V65" s="7">
        <f t="shared" si="49"/>
        <v>7.9072814766283344E-3</v>
      </c>
      <c r="W65" s="2"/>
      <c r="X65" s="6">
        <f t="shared" si="50"/>
        <v>-1057.92</v>
      </c>
      <c r="Y65" s="2"/>
      <c r="Z65" s="7">
        <f t="shared" si="51"/>
        <v>-0.50377142857142865</v>
      </c>
    </row>
    <row r="66" spans="1:26" s="61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5" t="s">
        <v>0</v>
      </c>
      <c r="C67" s="10"/>
      <c r="D67" s="4">
        <f>SUM(OSRRefD25x_0)</f>
        <v>260</v>
      </c>
      <c r="E67" s="4"/>
      <c r="F67" s="12">
        <f t="shared" ref="F67:F68" si="52">IF(D$12=0,0,D67/D$12)</f>
        <v>8.6064217146640185E-3</v>
      </c>
      <c r="G67" s="4"/>
      <c r="H67" s="4">
        <f>SUM(OSRRefH25x_0)</f>
        <v>3000</v>
      </c>
      <c r="I67" s="4"/>
      <c r="J67" s="12">
        <f t="shared" ref="J67:J68" si="53">IF(H$12=0,0,H67/H$12)</f>
        <v>8.9549565684606425E-2</v>
      </c>
      <c r="K67" s="4"/>
      <c r="L67" s="4">
        <f t="shared" ref="L67:L68" si="54">+D67-H67</f>
        <v>-2740</v>
      </c>
      <c r="M67" s="4"/>
      <c r="N67" s="12">
        <f t="shared" ref="N67:N68" si="55">IF(H67=0,0,L67/H67)</f>
        <v>-0.91333333333333333</v>
      </c>
      <c r="O67" s="10"/>
      <c r="P67" s="4">
        <f>SUM(OSRRefP25x_0)</f>
        <v>750</v>
      </c>
      <c r="Q67" s="4"/>
      <c r="R67" s="12">
        <f t="shared" ref="R67:R68" si="56">IF(P$12=0,0,P67/P$12)</f>
        <v>6.3536707273682252E-3</v>
      </c>
      <c r="S67" s="4"/>
      <c r="T67" s="4">
        <f>SUM(OSRRefT25x_0)</f>
        <v>9000</v>
      </c>
      <c r="U67" s="4"/>
      <c r="V67" s="12">
        <f t="shared" ref="V67:V68" si="57">IF(T$12=0,0,T67/T$12)</f>
        <v>3.3888349185550011E-2</v>
      </c>
      <c r="W67" s="4"/>
      <c r="X67" s="4">
        <f t="shared" ref="X67:X68" si="58">+P67-T67</f>
        <v>-8250</v>
      </c>
      <c r="Y67" s="4"/>
      <c r="Z67" s="12">
        <f t="shared" ref="Z67:Z68" si="59">IF(T67=0,0,X67/T67)</f>
        <v>-0.91666666666666663</v>
      </c>
    </row>
    <row r="68" spans="1:26" s="24" customFormat="1" hidden="1" outlineLevel="1" x14ac:dyDescent="0.25">
      <c r="A68" s="51"/>
      <c r="B68" s="11" t="str">
        <f>CONCATENATE("          ", "9150", " - ", "MISC. INCOME")</f>
        <v xml:space="preserve">          9150 - MISC. INCOME</v>
      </c>
      <c r="C68" s="11"/>
      <c r="D68" s="2">
        <f>--260</f>
        <v>260</v>
      </c>
      <c r="E68" s="2"/>
      <c r="F68" s="22">
        <f t="shared" si="52"/>
        <v>8.6064217146640185E-3</v>
      </c>
      <c r="G68" s="2"/>
      <c r="H68" s="2">
        <v>3000</v>
      </c>
      <c r="I68" s="2"/>
      <c r="J68" s="22">
        <f t="shared" si="53"/>
        <v>8.9549565684606425E-2</v>
      </c>
      <c r="K68" s="2"/>
      <c r="L68" s="2">
        <f t="shared" si="54"/>
        <v>-2740</v>
      </c>
      <c r="M68" s="2"/>
      <c r="N68" s="22">
        <f t="shared" si="55"/>
        <v>-0.91333333333333333</v>
      </c>
      <c r="O68" s="11"/>
      <c r="P68" s="2">
        <f>--750</f>
        <v>750</v>
      </c>
      <c r="Q68" s="2"/>
      <c r="R68" s="22">
        <f t="shared" si="56"/>
        <v>6.3536707273682252E-3</v>
      </c>
      <c r="S68" s="2"/>
      <c r="T68" s="2">
        <v>9000</v>
      </c>
      <c r="U68" s="2"/>
      <c r="V68" s="22">
        <f t="shared" si="57"/>
        <v>3.3888349185550011E-2</v>
      </c>
      <c r="W68" s="2"/>
      <c r="X68" s="2">
        <f t="shared" si="58"/>
        <v>-8250</v>
      </c>
      <c r="Y68" s="2"/>
      <c r="Z68" s="22">
        <f t="shared" si="59"/>
        <v>-0.91666666666666663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6" t="s">
        <v>3</v>
      </c>
      <c r="C70" s="26"/>
      <c r="D70" s="20">
        <f>+D17-D19+D67</f>
        <v>4742.8300000000017</v>
      </c>
      <c r="E70" s="13"/>
      <c r="F70" s="21">
        <f>IF(D$12=0,0,D70/D$12)</f>
        <v>0.15699536577292292</v>
      </c>
      <c r="G70" s="13"/>
      <c r="H70" s="20">
        <f>+H17-H19+H67</f>
        <v>4961.0939663846148</v>
      </c>
      <c r="I70" s="13"/>
      <c r="J70" s="21">
        <f>IF(H$12=0,0,H70/H$12)</f>
        <v>0.14808793667008791</v>
      </c>
      <c r="K70" s="16"/>
      <c r="L70" s="20">
        <f>+D70-H70</f>
        <v>-218.26396638461301</v>
      </c>
      <c r="M70" s="16"/>
      <c r="N70" s="21">
        <f>IF(H70=0,0,L70/H70)</f>
        <v>-4.3995128466327429E-2</v>
      </c>
      <c r="O70" s="25"/>
      <c r="P70" s="20">
        <f>+P17-P19+P67</f>
        <v>14829.009999999995</v>
      </c>
      <c r="Q70" s="13"/>
      <c r="R70" s="21">
        <f>IF(P$12=0,0,P70/P$12)</f>
        <v>0.12562486233713419</v>
      </c>
      <c r="S70" s="13"/>
      <c r="T70" s="20">
        <f>+T17-T19+T67</f>
        <v>40776.294429500005</v>
      </c>
      <c r="U70" s="13"/>
      <c r="V70" s="21">
        <f>IF(T$12=0,0,T70/T$12)</f>
        <v>0.15353792267996599</v>
      </c>
      <c r="W70" s="16"/>
      <c r="X70" s="20">
        <f>+P70-T70</f>
        <v>-25947.28442950001</v>
      </c>
      <c r="Y70" s="16"/>
      <c r="Z70" s="21">
        <f>IF(T70=0,0,X70/T70)</f>
        <v>-0.63633257490725292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>
        <v>7038.6</v>
      </c>
      <c r="E72" s="4"/>
      <c r="F72" s="12">
        <f>IF(D$12=0,0,D72/D$12)</f>
        <v>0.23298907646474679</v>
      </c>
      <c r="G72" s="4"/>
      <c r="H72" s="4">
        <v>496</v>
      </c>
      <c r="I72" s="4"/>
      <c r="J72" s="12">
        <f>IF(H$12=0,0,H72/H$12)</f>
        <v>1.4805528193188262E-2</v>
      </c>
      <c r="K72" s="4"/>
      <c r="L72" s="4">
        <f>+D72-H72</f>
        <v>6542.6</v>
      </c>
      <c r="M72" s="4"/>
      <c r="N72" s="12">
        <f>IF(H72=0,0,L72/H72)</f>
        <v>13.190725806451614</v>
      </c>
      <c r="O72" s="10"/>
      <c r="P72" s="4">
        <v>21867.870000000003</v>
      </c>
      <c r="Q72" s="4"/>
      <c r="R72" s="12">
        <f>IF(P$12=0,0,P72/P$12)</f>
        <v>0.18525499398519174</v>
      </c>
      <c r="S72" s="4"/>
      <c r="T72" s="4">
        <v>38395</v>
      </c>
      <c r="U72" s="4"/>
      <c r="V72" s="12">
        <f>IF(T$12=0,0,T72/T$12)</f>
        <v>0.14457146299768805</v>
      </c>
      <c r="W72" s="4"/>
      <c r="X72" s="4">
        <f>+P72-T72</f>
        <v>-16527.129999999997</v>
      </c>
      <c r="Y72" s="4"/>
      <c r="Z72" s="12">
        <f>IF(T72=0,0,X72/T72)</f>
        <v>-0.4304500586013803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4</v>
      </c>
      <c r="C74" s="26"/>
      <c r="D74" s="33">
        <f>+D70-D72</f>
        <v>-2295.7699999999986</v>
      </c>
      <c r="E74" s="13"/>
      <c r="F74" s="34">
        <f>IF(D$12=0,0,D74/D$12)</f>
        <v>-7.5993710691823854E-2</v>
      </c>
      <c r="G74" s="13"/>
      <c r="H74" s="33">
        <f>+H70-H72</f>
        <v>4465.0939663846148</v>
      </c>
      <c r="I74" s="13"/>
      <c r="J74" s="34">
        <f>IF(H$12=0,0,H74/H$12)</f>
        <v>0.13328240847689965</v>
      </c>
      <c r="K74" s="16"/>
      <c r="L74" s="33">
        <f>D74-H74</f>
        <v>-6760.8639663846134</v>
      </c>
      <c r="M74" s="16"/>
      <c r="N74" s="34">
        <f>IF(H74=0,0,L74/H74)</f>
        <v>-1.5141593922286216</v>
      </c>
      <c r="O74" s="25"/>
      <c r="P74" s="33">
        <f>+P70-P72</f>
        <v>-7038.8600000000079</v>
      </c>
      <c r="Q74" s="13"/>
      <c r="R74" s="34">
        <f>IF(P$12=0,0,P74/P$12)</f>
        <v>-5.9630131648057541E-2</v>
      </c>
      <c r="S74" s="13"/>
      <c r="T74" s="33">
        <f>+T70-T72</f>
        <v>2381.2944295000052</v>
      </c>
      <c r="U74" s="13"/>
      <c r="V74" s="34">
        <f>IF(T$12=0,0,T74/T$12)</f>
        <v>8.9664596822779195E-3</v>
      </c>
      <c r="W74" s="16"/>
      <c r="X74" s="33">
        <f>P74-T74</f>
        <v>-9420.1544295000131</v>
      </c>
      <c r="Y74" s="16"/>
      <c r="Z74" s="34">
        <f>IF(T74=0,0,X74/T74)</f>
        <v>-3.9558965547481422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5</v>
      </c>
      <c r="C77" s="26"/>
      <c r="D77" s="31">
        <f>SUM(D74:D76)</f>
        <v>-2295.7699999999986</v>
      </c>
      <c r="E77" s="13"/>
      <c r="F77" s="32">
        <f>IF(D$12=0,0,D77/D$12)</f>
        <v>-7.5993710691823854E-2</v>
      </c>
      <c r="G77" s="13"/>
      <c r="H77" s="31">
        <f>SUM(H74:H76)</f>
        <v>4465.0939663846148</v>
      </c>
      <c r="I77" s="13"/>
      <c r="J77" s="32">
        <f>IF(H$12=0,0,H77/H$12)</f>
        <v>0.13328240847689965</v>
      </c>
      <c r="K77" s="16"/>
      <c r="L77" s="31">
        <f>+D77-H77</f>
        <v>-6760.8639663846134</v>
      </c>
      <c r="M77" s="16"/>
      <c r="N77" s="32">
        <f>IF(H77=0,0,L77/H77)</f>
        <v>-1.5141593922286216</v>
      </c>
      <c r="O77" s="25"/>
      <c r="P77" s="31">
        <f>SUM(P74:P76)</f>
        <v>-7038.8600000000079</v>
      </c>
      <c r="Q77" s="13"/>
      <c r="R77" s="32">
        <f>IF(P$12=0,0,P77/P$12)</f>
        <v>-5.9630131648057541E-2</v>
      </c>
      <c r="S77" s="13"/>
      <c r="T77" s="31">
        <f>SUM(T74:T76)</f>
        <v>2381.2944295000052</v>
      </c>
      <c r="U77" s="13"/>
      <c r="V77" s="32">
        <f>IF(T$12=0,0,T77/T$12)</f>
        <v>8.9664596822779195E-3</v>
      </c>
      <c r="W77" s="16"/>
      <c r="X77" s="31">
        <f>+P77-T77</f>
        <v>-9420.1544295000131</v>
      </c>
      <c r="Y77" s="16"/>
      <c r="Z77" s="32">
        <f>IF(T77=0,0,X77/T77)</f>
        <v>-3.9558965547481422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5">
        <v>44123.571666284719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3" t="s">
        <v>314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2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str">
        <f>CONCATENATE("Period ",RIGHT(202103,2),", ",2021)</f>
        <v>Period 03, 2021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4">
        <v>44100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str">
        <f>CONCATENATE("Department ","501", " - ", "ID Card Services")</f>
        <v>Department 501 - ID Card Services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30210</v>
      </c>
      <c r="E12" s="4"/>
      <c r="F12" s="12"/>
      <c r="G12" s="4"/>
      <c r="H12" s="4">
        <f>SUM(OSRRefH13x_0)</f>
        <v>33501</v>
      </c>
      <c r="I12" s="4"/>
      <c r="J12" s="12"/>
      <c r="K12" s="4"/>
      <c r="L12" s="4">
        <f t="shared" ref="L12:L13" si="0">+D12-H12</f>
        <v>-3291</v>
      </c>
      <c r="M12" s="4"/>
      <c r="N12" s="12">
        <f t="shared" ref="N12:N13" si="1">IF(H12=0,0,L12/H12)</f>
        <v>-9.8235873556013251E-2</v>
      </c>
      <c r="O12" s="10"/>
      <c r="P12" s="4">
        <f>SUM(OSRRefP13x_0)</f>
        <v>118042</v>
      </c>
      <c r="Q12" s="4"/>
      <c r="R12" s="12"/>
      <c r="S12" s="4"/>
      <c r="T12" s="4">
        <f>SUM(OSRRefT13x_0)</f>
        <v>265578</v>
      </c>
      <c r="U12" s="4"/>
      <c r="V12" s="12"/>
      <c r="W12" s="4"/>
      <c r="X12" s="4">
        <f t="shared" ref="X12:X13" si="2">+P12-T12</f>
        <v>-147536</v>
      </c>
      <c r="Y12" s="4"/>
      <c r="Z12" s="12">
        <f t="shared" ref="Z12:Z13" si="3">IF(T12=0,0,X12/T12)</f>
        <v>-0.55552794282658957</v>
      </c>
    </row>
    <row r="13" spans="1:26" s="24" customFormat="1" hidden="1" outlineLevel="1" x14ac:dyDescent="0.25">
      <c r="A13" s="51"/>
      <c r="B13" s="11" t="str">
        <f>CONCATENATE("          ", "4100", " - ", "NON-TAXABLE SALES")</f>
        <v xml:space="preserve">          4100 - NON-TAXABLE SALES</v>
      </c>
      <c r="C13" s="11"/>
      <c r="D13" s="2">
        <f>--30210</f>
        <v>30210</v>
      </c>
      <c r="E13" s="2"/>
      <c r="F13" s="22"/>
      <c r="G13" s="2"/>
      <c r="H13" s="2">
        <v>33501</v>
      </c>
      <c r="I13" s="2"/>
      <c r="J13" s="22"/>
      <c r="K13" s="2"/>
      <c r="L13" s="2">
        <f t="shared" si="0"/>
        <v>-3291</v>
      </c>
      <c r="M13" s="2"/>
      <c r="N13" s="22">
        <f t="shared" si="1"/>
        <v>-9.8235873556013251E-2</v>
      </c>
      <c r="O13" s="11"/>
      <c r="P13" s="2">
        <f>--118042</f>
        <v>118042</v>
      </c>
      <c r="Q13" s="2"/>
      <c r="R13" s="22"/>
      <c r="S13" s="2"/>
      <c r="T13" s="2">
        <v>265578</v>
      </c>
      <c r="U13" s="2"/>
      <c r="V13" s="22"/>
      <c r="W13" s="2"/>
      <c r="X13" s="2">
        <f t="shared" si="2"/>
        <v>-147536</v>
      </c>
      <c r="Y13" s="2"/>
      <c r="Z13" s="22">
        <f t="shared" si="3"/>
        <v>-0.55552794282658957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0">
        <f>D12-D15</f>
        <v>30210</v>
      </c>
      <c r="E17" s="13"/>
      <c r="F17" s="21">
        <f>IF(D$12=0,0,D17/D$12)</f>
        <v>1</v>
      </c>
      <c r="G17" s="13"/>
      <c r="H17" s="20">
        <f>H12-H15</f>
        <v>33501</v>
      </c>
      <c r="I17" s="13"/>
      <c r="J17" s="21">
        <f>IF(H$12=0,0,H17/H$12)</f>
        <v>1</v>
      </c>
      <c r="K17" s="16"/>
      <c r="L17" s="20">
        <f>+D17-H17</f>
        <v>-3291</v>
      </c>
      <c r="M17" s="16"/>
      <c r="N17" s="21">
        <f>IF(H17=0,0,L17/H17)</f>
        <v>-9.8235873556013251E-2</v>
      </c>
      <c r="O17" s="25"/>
      <c r="P17" s="20">
        <f>P12-P15</f>
        <v>118042</v>
      </c>
      <c r="Q17" s="13"/>
      <c r="R17" s="21">
        <f>IF(P$12=0,0,P17/P$12)</f>
        <v>1</v>
      </c>
      <c r="S17" s="13"/>
      <c r="T17" s="20">
        <f>T12-T15</f>
        <v>265578</v>
      </c>
      <c r="U17" s="13"/>
      <c r="V17" s="21">
        <f>IF(T$12=0,0,T17/T$12)</f>
        <v>1</v>
      </c>
      <c r="W17" s="16"/>
      <c r="X17" s="20">
        <f>+P17-T17</f>
        <v>-147536</v>
      </c>
      <c r="Y17" s="16"/>
      <c r="Z17" s="21">
        <f>IF(T17=0,0,X17/T17)</f>
        <v>-0.55552794282658957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6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19">
        <f>SUM(OSRRefD22x_0)</f>
        <v>25727.17</v>
      </c>
      <c r="E19" s="19"/>
      <c r="F19" s="35">
        <f t="shared" ref="F19:F30" si="4">IF(D$12=0,0,D19/D$12)</f>
        <v>0.85161105594174114</v>
      </c>
      <c r="G19" s="19"/>
      <c r="H19" s="19">
        <f>SUM(OSRRefH22x_0)</f>
        <v>31539.906033615385</v>
      </c>
      <c r="I19" s="19"/>
      <c r="J19" s="35">
        <f t="shared" ref="J19:J30" si="5">IF(H$12=0,0,H19/H$12)</f>
        <v>0.94146162901451858</v>
      </c>
      <c r="K19" s="4"/>
      <c r="L19" s="19">
        <f t="shared" ref="L19:L30" si="6">+D19-H19</f>
        <v>-5812.736033615387</v>
      </c>
      <c r="M19" s="4"/>
      <c r="N19" s="35">
        <f t="shared" ref="N19:N30" si="7">IF(H19=0,0,L19/H19)</f>
        <v>-0.18429782344373966</v>
      </c>
      <c r="O19" s="10"/>
      <c r="P19" s="19">
        <f>SUM(OSRRefP22x_0)</f>
        <v>103962.99</v>
      </c>
      <c r="Q19" s="19"/>
      <c r="R19" s="35">
        <f t="shared" ref="R19:R30" si="8">IF(P$12=0,0,P19/P$12)</f>
        <v>0.88072880839023404</v>
      </c>
      <c r="S19" s="19"/>
      <c r="T19" s="19">
        <f>SUM(OSRRefT22x_0)</f>
        <v>233801.70557049999</v>
      </c>
      <c r="U19" s="19"/>
      <c r="V19" s="35">
        <f t="shared" ref="V19:V30" si="9">IF(T$12=0,0,T19/T$12)</f>
        <v>0.88035042650558404</v>
      </c>
      <c r="W19" s="4"/>
      <c r="X19" s="19">
        <f t="shared" ref="X19:X30" si="10">+P19-T19</f>
        <v>-129838.71557049999</v>
      </c>
      <c r="Y19" s="4"/>
      <c r="Z19" s="35">
        <f t="shared" ref="Z19:Z30" si="11">IF(T19=0,0,X19/T19)</f>
        <v>-0.55533690506525724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3893.62</v>
      </c>
      <c r="E20" s="1"/>
      <c r="F20" s="5">
        <f t="shared" si="4"/>
        <v>0.12888513737173121</v>
      </c>
      <c r="G20" s="1"/>
      <c r="H20" s="1">
        <f>SUM(OSRRefH22_0x_0)</f>
        <v>3643.6402643846163</v>
      </c>
      <c r="I20" s="1"/>
      <c r="J20" s="5">
        <f t="shared" si="5"/>
        <v>0.10876213439552898</v>
      </c>
      <c r="K20" s="1"/>
      <c r="L20" s="1">
        <f t="shared" si="6"/>
        <v>249.97973561538356</v>
      </c>
      <c r="M20" s="1"/>
      <c r="N20" s="5">
        <f t="shared" si="7"/>
        <v>6.8607139420115967E-2</v>
      </c>
      <c r="O20" s="14"/>
      <c r="P20" s="1">
        <f>SUM(OSRRefP22_0x_0)</f>
        <v>12176.65</v>
      </c>
      <c r="Q20" s="1"/>
      <c r="R20" s="5">
        <f t="shared" si="8"/>
        <v>0.10315523288321106</v>
      </c>
      <c r="S20" s="1"/>
      <c r="T20" s="1">
        <f>SUM(OSRRefT22_0x_0)</f>
        <v>14308.323070500002</v>
      </c>
      <c r="U20" s="1"/>
      <c r="V20" s="5">
        <f t="shared" si="9"/>
        <v>5.3876160941418352E-2</v>
      </c>
      <c r="W20" s="1"/>
      <c r="X20" s="1">
        <f t="shared" si="10"/>
        <v>-2131.6730705000027</v>
      </c>
      <c r="Y20" s="1"/>
      <c r="Z20" s="5">
        <f t="shared" si="11"/>
        <v>-0.14898133484943121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6">
        <v>977.97</v>
      </c>
      <c r="E21" s="2"/>
      <c r="F21" s="7">
        <f t="shared" si="4"/>
        <v>3.2372393247269114E-2</v>
      </c>
      <c r="G21" s="2"/>
      <c r="H21" s="6">
        <v>718.85158823076904</v>
      </c>
      <c r="I21" s="2"/>
      <c r="J21" s="7">
        <f t="shared" si="5"/>
        <v>2.1457615839251636E-2</v>
      </c>
      <c r="K21" s="2"/>
      <c r="L21" s="6">
        <f t="shared" si="6"/>
        <v>259.11841176923099</v>
      </c>
      <c r="M21" s="2"/>
      <c r="N21" s="7">
        <f t="shared" si="7"/>
        <v>0.36046162519717156</v>
      </c>
      <c r="O21" s="11"/>
      <c r="P21" s="6">
        <v>3146.26</v>
      </c>
      <c r="Q21" s="2"/>
      <c r="R21" s="7">
        <f t="shared" si="8"/>
        <v>2.6653733416919404E-2</v>
      </c>
      <c r="S21" s="2"/>
      <c r="T21" s="6">
        <v>4152.5445854999989</v>
      </c>
      <c r="U21" s="2"/>
      <c r="V21" s="7">
        <f t="shared" si="9"/>
        <v>1.5635875657998777E-2</v>
      </c>
      <c r="W21" s="2"/>
      <c r="X21" s="6">
        <f t="shared" si="10"/>
        <v>-1006.2845854999987</v>
      </c>
      <c r="Y21" s="2"/>
      <c r="Z21" s="7">
        <f t="shared" si="11"/>
        <v>-0.24232962820285628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6">
        <v>82.4</v>
      </c>
      <c r="E22" s="2"/>
      <c r="F22" s="7">
        <f t="shared" si="4"/>
        <v>2.7275736511089047E-3</v>
      </c>
      <c r="G22" s="2"/>
      <c r="H22" s="6">
        <v>311.134280769231</v>
      </c>
      <c r="I22" s="2"/>
      <c r="J22" s="7">
        <f t="shared" si="5"/>
        <v>9.2873132374923437E-3</v>
      </c>
      <c r="K22" s="2"/>
      <c r="L22" s="6">
        <f t="shared" si="6"/>
        <v>-228.73428076923099</v>
      </c>
      <c r="M22" s="2"/>
      <c r="N22" s="7">
        <f t="shared" si="7"/>
        <v>-0.7351625806186356</v>
      </c>
      <c r="O22" s="11"/>
      <c r="P22" s="6">
        <v>244.49</v>
      </c>
      <c r="Q22" s="2"/>
      <c r="R22" s="7">
        <f t="shared" si="8"/>
        <v>2.0712119415123432E-3</v>
      </c>
      <c r="S22" s="2"/>
      <c r="T22" s="6">
        <v>1141.1789750000009</v>
      </c>
      <c r="U22" s="2"/>
      <c r="V22" s="7">
        <f t="shared" si="9"/>
        <v>4.296963509778675E-3</v>
      </c>
      <c r="W22" s="2"/>
      <c r="X22" s="6">
        <f t="shared" si="10"/>
        <v>-896.68897500000094</v>
      </c>
      <c r="Y22" s="2"/>
      <c r="Z22" s="7">
        <f t="shared" si="11"/>
        <v>-0.7857566557428034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6">
        <v>1250.75</v>
      </c>
      <c r="E23" s="2"/>
      <c r="F23" s="7">
        <f t="shared" si="4"/>
        <v>4.1401853690830853E-2</v>
      </c>
      <c r="G23" s="2"/>
      <c r="H23" s="6">
        <v>1025</v>
      </c>
      <c r="I23" s="2"/>
      <c r="J23" s="7">
        <f t="shared" si="5"/>
        <v>3.0596101608907196E-2</v>
      </c>
      <c r="K23" s="2"/>
      <c r="L23" s="6">
        <f t="shared" si="6"/>
        <v>225.75</v>
      </c>
      <c r="M23" s="2"/>
      <c r="N23" s="7">
        <f t="shared" si="7"/>
        <v>0.22024390243902439</v>
      </c>
      <c r="O23" s="11"/>
      <c r="P23" s="6">
        <v>3711.65</v>
      </c>
      <c r="Q23" s="2"/>
      <c r="R23" s="7">
        <f t="shared" si="8"/>
        <v>3.1443469273648363E-2</v>
      </c>
      <c r="S23" s="2"/>
      <c r="T23" s="6">
        <v>3407.5</v>
      </c>
      <c r="U23" s="2"/>
      <c r="V23" s="7">
        <f t="shared" si="9"/>
        <v>1.2830505538862405E-2</v>
      </c>
      <c r="W23" s="2"/>
      <c r="X23" s="6">
        <f t="shared" si="10"/>
        <v>304.15000000000009</v>
      </c>
      <c r="Y23" s="2"/>
      <c r="Z23" s="7">
        <f t="shared" si="11"/>
        <v>8.9258987527512865E-2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37.770000000000003</v>
      </c>
      <c r="E24" s="2"/>
      <c r="F24" s="7">
        <f t="shared" si="4"/>
        <v>1.2502482621648463E-3</v>
      </c>
      <c r="G24" s="2"/>
      <c r="H24" s="6">
        <v>43.726979999999998</v>
      </c>
      <c r="I24" s="2"/>
      <c r="J24" s="7">
        <f t="shared" si="5"/>
        <v>1.3052440225664905E-3</v>
      </c>
      <c r="K24" s="2"/>
      <c r="L24" s="6">
        <f t="shared" si="6"/>
        <v>-5.9569799999999944</v>
      </c>
      <c r="M24" s="2"/>
      <c r="N24" s="7">
        <f t="shared" si="7"/>
        <v>-0.13623122383480393</v>
      </c>
      <c r="O24" s="11"/>
      <c r="P24" s="6">
        <v>111.17</v>
      </c>
      <c r="Q24" s="2"/>
      <c r="R24" s="7">
        <f t="shared" si="8"/>
        <v>9.4178343301536745E-4</v>
      </c>
      <c r="S24" s="2"/>
      <c r="T24" s="6">
        <v>160.38191</v>
      </c>
      <c r="U24" s="2"/>
      <c r="V24" s="7">
        <f t="shared" si="9"/>
        <v>6.0389757434727281E-4</v>
      </c>
      <c r="W24" s="2"/>
      <c r="X24" s="6">
        <f t="shared" si="10"/>
        <v>-49.211910000000003</v>
      </c>
      <c r="Y24" s="2"/>
      <c r="Z24" s="7">
        <f t="shared" si="11"/>
        <v>-0.30684202476451367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6">
        <v>640.35</v>
      </c>
      <c r="E25" s="2"/>
      <c r="F25" s="7">
        <f t="shared" si="4"/>
        <v>2.1196623634558095E-2</v>
      </c>
      <c r="G25" s="2"/>
      <c r="H25" s="6">
        <v>560.123953846154</v>
      </c>
      <c r="I25" s="2"/>
      <c r="J25" s="7">
        <f t="shared" si="5"/>
        <v>1.6719618932155875E-2</v>
      </c>
      <c r="K25" s="2"/>
      <c r="L25" s="6">
        <f t="shared" si="6"/>
        <v>80.226046153846028</v>
      </c>
      <c r="M25" s="2"/>
      <c r="N25" s="7">
        <f t="shared" si="7"/>
        <v>0.1432290934943326</v>
      </c>
      <c r="O25" s="11"/>
      <c r="P25" s="6">
        <v>2220.14</v>
      </c>
      <c r="Q25" s="2"/>
      <c r="R25" s="7">
        <f t="shared" si="8"/>
        <v>1.8808051371545721E-2</v>
      </c>
      <c r="S25" s="2"/>
      <c r="T25" s="6">
        <v>2065.7501000000002</v>
      </c>
      <c r="U25" s="2"/>
      <c r="V25" s="7">
        <f t="shared" si="9"/>
        <v>7.7783178576538723E-3</v>
      </c>
      <c r="W25" s="2"/>
      <c r="X25" s="6">
        <f t="shared" si="10"/>
        <v>154.38989999999967</v>
      </c>
      <c r="Y25" s="2"/>
      <c r="Z25" s="7">
        <f t="shared" si="11"/>
        <v>7.4737936597461446E-2</v>
      </c>
    </row>
    <row r="26" spans="1:26" s="24" customFormat="1" hidden="1" outlineLevel="2" x14ac:dyDescent="0.25">
      <c r="A26" s="29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4"/>
        <v>0</v>
      </c>
      <c r="G26" s="2"/>
      <c r="H26" s="6">
        <v>0</v>
      </c>
      <c r="I26" s="2"/>
      <c r="J26" s="7">
        <f t="shared" si="5"/>
        <v>0</v>
      </c>
      <c r="K26" s="2"/>
      <c r="L26" s="6">
        <f t="shared" si="6"/>
        <v>0</v>
      </c>
      <c r="M26" s="2"/>
      <c r="N26" s="7">
        <f t="shared" si="7"/>
        <v>0</v>
      </c>
      <c r="O26" s="11"/>
      <c r="P26" s="6"/>
      <c r="Q26" s="2"/>
      <c r="R26" s="7">
        <f t="shared" si="8"/>
        <v>0</v>
      </c>
      <c r="S26" s="2"/>
      <c r="T26" s="6">
        <v>0</v>
      </c>
      <c r="U26" s="2"/>
      <c r="V26" s="7">
        <f t="shared" si="9"/>
        <v>0</v>
      </c>
      <c r="W26" s="2"/>
      <c r="X26" s="6">
        <f t="shared" si="10"/>
        <v>0</v>
      </c>
      <c r="Y26" s="2"/>
      <c r="Z26" s="7">
        <f t="shared" si="11"/>
        <v>0</v>
      </c>
    </row>
    <row r="27" spans="1:26" s="24" customFormat="1" hidden="1" outlineLevel="2" x14ac:dyDescent="0.25">
      <c r="A27" s="29"/>
      <c r="B27" s="11" t="str">
        <f>CONCATENATE("          ", "6117", " - ", "RETIREMENT STAFF HOURLY")</f>
        <v xml:space="preserve">          6117 - RETIREMENT STAFF HOURLY</v>
      </c>
      <c r="C27" s="11"/>
      <c r="D27" s="6">
        <v>85.1</v>
      </c>
      <c r="E27" s="2"/>
      <c r="F27" s="7">
        <f t="shared" si="4"/>
        <v>2.8169480304534918E-3</v>
      </c>
      <c r="G27" s="2"/>
      <c r="H27" s="6"/>
      <c r="I27" s="2"/>
      <c r="J27" s="7">
        <f t="shared" si="5"/>
        <v>0</v>
      </c>
      <c r="K27" s="2"/>
      <c r="L27" s="6">
        <f t="shared" si="6"/>
        <v>85.1</v>
      </c>
      <c r="M27" s="2"/>
      <c r="N27" s="7">
        <f t="shared" si="7"/>
        <v>0</v>
      </c>
      <c r="O27" s="11"/>
      <c r="P27" s="6">
        <v>285.10000000000002</v>
      </c>
      <c r="Q27" s="2"/>
      <c r="R27" s="7">
        <f t="shared" si="8"/>
        <v>2.4152420324969081E-3</v>
      </c>
      <c r="S27" s="2"/>
      <c r="T27" s="6"/>
      <c r="U27" s="2"/>
      <c r="V27" s="7">
        <f t="shared" si="9"/>
        <v>0</v>
      </c>
      <c r="W27" s="2"/>
      <c r="X27" s="6">
        <f t="shared" si="10"/>
        <v>285.10000000000002</v>
      </c>
      <c r="Y27" s="2"/>
      <c r="Z27" s="7">
        <f t="shared" si="11"/>
        <v>0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6">
        <v>520.02</v>
      </c>
      <c r="E28" s="2"/>
      <c r="F28" s="7">
        <f t="shared" si="4"/>
        <v>1.7213505461767625E-2</v>
      </c>
      <c r="G28" s="2"/>
      <c r="H28" s="6">
        <v>195.39207692307698</v>
      </c>
      <c r="I28" s="2"/>
      <c r="J28" s="7">
        <f t="shared" si="5"/>
        <v>5.832425208891585E-3</v>
      </c>
      <c r="K28" s="2"/>
      <c r="L28" s="6">
        <f t="shared" si="6"/>
        <v>324.62792307692303</v>
      </c>
      <c r="M28" s="2"/>
      <c r="N28" s="7">
        <f t="shared" si="7"/>
        <v>1.6614180482083944</v>
      </c>
      <c r="O28" s="11"/>
      <c r="P28" s="6">
        <v>1560.06</v>
      </c>
      <c r="Q28" s="2"/>
      <c r="R28" s="7">
        <f t="shared" si="8"/>
        <v>1.3216143406584096E-2</v>
      </c>
      <c r="S28" s="2"/>
      <c r="T28" s="6">
        <v>720.6105</v>
      </c>
      <c r="U28" s="2"/>
      <c r="V28" s="7">
        <f t="shared" si="9"/>
        <v>2.7133666945304206E-3</v>
      </c>
      <c r="W28" s="2"/>
      <c r="X28" s="6">
        <f t="shared" si="10"/>
        <v>839.44949999999994</v>
      </c>
      <c r="Y28" s="2"/>
      <c r="Z28" s="7">
        <f t="shared" si="11"/>
        <v>1.1649143330550971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6">
        <v>299.26</v>
      </c>
      <c r="E29" s="2"/>
      <c r="F29" s="7">
        <f t="shared" si="4"/>
        <v>9.9059913935782857E-3</v>
      </c>
      <c r="G29" s="2"/>
      <c r="H29" s="6">
        <v>439.41138461538497</v>
      </c>
      <c r="I29" s="2"/>
      <c r="J29" s="7">
        <f t="shared" si="5"/>
        <v>1.3116366216393092E-2</v>
      </c>
      <c r="K29" s="2"/>
      <c r="L29" s="6">
        <f t="shared" si="6"/>
        <v>-140.15138461538498</v>
      </c>
      <c r="M29" s="2"/>
      <c r="N29" s="7">
        <f t="shared" si="7"/>
        <v>-0.31895255681201551</v>
      </c>
      <c r="O29" s="11"/>
      <c r="P29" s="6">
        <v>897.78</v>
      </c>
      <c r="Q29" s="2"/>
      <c r="R29" s="7">
        <f t="shared" si="8"/>
        <v>7.6055980074888601E-3</v>
      </c>
      <c r="S29" s="2"/>
      <c r="T29" s="6">
        <v>1610.3570000000011</v>
      </c>
      <c r="U29" s="2"/>
      <c r="V29" s="7">
        <f t="shared" si="9"/>
        <v>6.0635933699327545E-3</v>
      </c>
      <c r="W29" s="2"/>
      <c r="X29" s="6">
        <f t="shared" si="10"/>
        <v>-712.57700000000114</v>
      </c>
      <c r="Y29" s="2"/>
      <c r="Z29" s="7">
        <f t="shared" si="11"/>
        <v>-0.4424962911950584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6"/>
      <c r="E30" s="2"/>
      <c r="F30" s="7">
        <f t="shared" si="4"/>
        <v>0</v>
      </c>
      <c r="G30" s="2"/>
      <c r="H30" s="6">
        <v>350</v>
      </c>
      <c r="I30" s="2"/>
      <c r="J30" s="7">
        <f t="shared" si="5"/>
        <v>1.044744932987075E-2</v>
      </c>
      <c r="K30" s="2"/>
      <c r="L30" s="6">
        <f t="shared" si="6"/>
        <v>-350</v>
      </c>
      <c r="M30" s="2"/>
      <c r="N30" s="7">
        <f t="shared" si="7"/>
        <v>-1</v>
      </c>
      <c r="O30" s="11"/>
      <c r="P30" s="6"/>
      <c r="Q30" s="2"/>
      <c r="R30" s="7">
        <f t="shared" si="8"/>
        <v>0</v>
      </c>
      <c r="S30" s="2"/>
      <c r="T30" s="6">
        <v>1050</v>
      </c>
      <c r="U30" s="2"/>
      <c r="V30" s="7">
        <f t="shared" si="9"/>
        <v>3.9536407383141672E-3</v>
      </c>
      <c r="W30" s="2"/>
      <c r="X30" s="6">
        <f t="shared" si="10"/>
        <v>-1050</v>
      </c>
      <c r="Y30" s="2"/>
      <c r="Z30" s="7">
        <f t="shared" si="11"/>
        <v>-1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13598.04</v>
      </c>
      <c r="E31" s="1"/>
      <c r="F31" s="5">
        <f t="shared" ref="F31:F41" si="12">IF(D$12=0,0,D31/D$12)</f>
        <v>0.45011717974180737</v>
      </c>
      <c r="G31" s="1"/>
      <c r="H31" s="1">
        <f>SUM(OSRRefH22_1x_0)</f>
        <v>16183.265769230769</v>
      </c>
      <c r="I31" s="1"/>
      <c r="J31" s="5">
        <f t="shared" ref="J31:J41" si="13">IF(H$12=0,0,H31/H$12)</f>
        <v>0.48306814033105788</v>
      </c>
      <c r="K31" s="1"/>
      <c r="L31" s="1">
        <f t="shared" ref="L31:L41" si="14">+D31-H31</f>
        <v>-2585.2257692307685</v>
      </c>
      <c r="M31" s="1"/>
      <c r="N31" s="5">
        <f t="shared" ref="N31:N41" si="15">IF(H31=0,0,L31/H31)</f>
        <v>-0.15974685246447948</v>
      </c>
      <c r="O31" s="14"/>
      <c r="P31" s="1">
        <f>SUM(OSRRefP22_1x_0)</f>
        <v>46046.859999999993</v>
      </c>
      <c r="Q31" s="1"/>
      <c r="R31" s="5">
        <f t="shared" ref="R31:R41" si="16">IF(P$12=0,0,P31/P$12)</f>
        <v>0.39008878195896368</v>
      </c>
      <c r="S31" s="1"/>
      <c r="T31" s="1">
        <f>SUM(OSRRefT22_1x_0)</f>
        <v>59354.3825</v>
      </c>
      <c r="U31" s="1"/>
      <c r="V31" s="5">
        <f t="shared" ref="V31:V41" si="17">IF(T$12=0,0,T31/T$12)</f>
        <v>0.22349133776141095</v>
      </c>
      <c r="W31" s="1"/>
      <c r="X31" s="1">
        <f t="shared" ref="X31:X41" si="18">+P31-T31</f>
        <v>-13307.522500000006</v>
      </c>
      <c r="Y31" s="1"/>
      <c r="Z31" s="5">
        <f t="shared" ref="Z31:Z41" si="19">IF(T31=0,0,X31/T31)</f>
        <v>-0.22420454799609796</v>
      </c>
    </row>
    <row r="32" spans="1:26" s="24" customFormat="1" hidden="1" outlineLevel="2" x14ac:dyDescent="0.25">
      <c r="A32" s="29"/>
      <c r="B32" s="11" t="str">
        <f>CONCATENATE("          ", "6001", " - ", "ADMINISTRATIVE SALARIES")</f>
        <v xml:space="preserve">          6001 - ADMINISTRATIVE SALARIES</v>
      </c>
      <c r="C32" s="11"/>
      <c r="D32" s="6">
        <v>4205.72</v>
      </c>
      <c r="E32" s="2"/>
      <c r="F32" s="7">
        <f t="shared" si="12"/>
        <v>0.139216153591526</v>
      </c>
      <c r="G32" s="2"/>
      <c r="H32" s="6">
        <v>4019.23076923077</v>
      </c>
      <c r="I32" s="2"/>
      <c r="J32" s="7">
        <f t="shared" si="13"/>
        <v>0.11997345659027402</v>
      </c>
      <c r="K32" s="2"/>
      <c r="L32" s="6">
        <f t="shared" si="14"/>
        <v>186.48923076923029</v>
      </c>
      <c r="M32" s="2"/>
      <c r="N32" s="7">
        <f t="shared" si="15"/>
        <v>4.6399234449760636E-2</v>
      </c>
      <c r="O32" s="11"/>
      <c r="P32" s="6">
        <v>13669.16</v>
      </c>
      <c r="Q32" s="2"/>
      <c r="R32" s="7">
        <f t="shared" si="16"/>
        <v>0.11579912234628352</v>
      </c>
      <c r="S32" s="2"/>
      <c r="T32" s="6">
        <v>13062.5</v>
      </c>
      <c r="U32" s="2"/>
      <c r="V32" s="7">
        <f t="shared" si="17"/>
        <v>4.9185173470694107E-2</v>
      </c>
      <c r="W32" s="2"/>
      <c r="X32" s="6">
        <f t="shared" si="18"/>
        <v>606.65999999999985</v>
      </c>
      <c r="Y32" s="2"/>
      <c r="Z32" s="7">
        <f t="shared" si="19"/>
        <v>4.6442870813397118E-2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6">
        <v>2282.3000000000002</v>
      </c>
      <c r="E33" s="2"/>
      <c r="F33" s="7">
        <f t="shared" si="12"/>
        <v>7.5547831843760349E-2</v>
      </c>
      <c r="G33" s="2"/>
      <c r="H33" s="6">
        <v>2168.1849999999999</v>
      </c>
      <c r="I33" s="2"/>
      <c r="J33" s="7">
        <f t="shared" si="13"/>
        <v>6.4720008357959463E-2</v>
      </c>
      <c r="K33" s="2"/>
      <c r="L33" s="6">
        <f t="shared" si="14"/>
        <v>114.11500000000024</v>
      </c>
      <c r="M33" s="2"/>
      <c r="N33" s="7">
        <f t="shared" si="15"/>
        <v>5.2631578947368529E-2</v>
      </c>
      <c r="O33" s="11"/>
      <c r="P33" s="6">
        <v>6961.44</v>
      </c>
      <c r="Q33" s="2"/>
      <c r="R33" s="7">
        <f t="shared" si="16"/>
        <v>5.8974263397773667E-2</v>
      </c>
      <c r="S33" s="2"/>
      <c r="T33" s="6">
        <v>9756.8325000000004</v>
      </c>
      <c r="U33" s="2"/>
      <c r="V33" s="7">
        <f t="shared" si="17"/>
        <v>3.6738105189435877E-2</v>
      </c>
      <c r="W33" s="2"/>
      <c r="X33" s="6">
        <f t="shared" si="18"/>
        <v>-2795.3925000000008</v>
      </c>
      <c r="Y33" s="2"/>
      <c r="Z33" s="7">
        <f t="shared" si="19"/>
        <v>-0.28650614838370964</v>
      </c>
    </row>
    <row r="34" spans="1:26" s="24" customFormat="1" hidden="1" outlineLevel="2" x14ac:dyDescent="0.25">
      <c r="A34" s="29"/>
      <c r="B34" s="11" t="str">
        <f>CONCATENATE("          ", "6003", " - ", "STAFF HOURLY-9 MONTH")</f>
        <v xml:space="preserve">          6003 - STAFF HOURLY-9 MONTH</v>
      </c>
      <c r="C34" s="11"/>
      <c r="D34" s="6"/>
      <c r="E34" s="2"/>
      <c r="F34" s="7">
        <f t="shared" si="12"/>
        <v>0</v>
      </c>
      <c r="G34" s="2"/>
      <c r="H34" s="6">
        <v>0</v>
      </c>
      <c r="I34" s="2"/>
      <c r="J34" s="7">
        <f t="shared" si="13"/>
        <v>0</v>
      </c>
      <c r="K34" s="2"/>
      <c r="L34" s="6">
        <f t="shared" si="14"/>
        <v>0</v>
      </c>
      <c r="M34" s="2"/>
      <c r="N34" s="7">
        <f t="shared" si="15"/>
        <v>0</v>
      </c>
      <c r="O34" s="11"/>
      <c r="P34" s="6"/>
      <c r="Q34" s="2"/>
      <c r="R34" s="7">
        <f t="shared" si="16"/>
        <v>0</v>
      </c>
      <c r="S34" s="2"/>
      <c r="T34" s="6">
        <v>0</v>
      </c>
      <c r="U34" s="2"/>
      <c r="V34" s="7">
        <f t="shared" si="17"/>
        <v>0</v>
      </c>
      <c r="W34" s="2"/>
      <c r="X34" s="6">
        <f t="shared" si="18"/>
        <v>0</v>
      </c>
      <c r="Y34" s="2"/>
      <c r="Z34" s="7">
        <f t="shared" si="19"/>
        <v>0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6"/>
      <c r="E35" s="2"/>
      <c r="F35" s="7">
        <f t="shared" si="12"/>
        <v>0</v>
      </c>
      <c r="G35" s="2"/>
      <c r="H35" s="6">
        <v>2793.6</v>
      </c>
      <c r="I35" s="2"/>
      <c r="J35" s="7">
        <f t="shared" si="13"/>
        <v>8.3388555565505507E-2</v>
      </c>
      <c r="K35" s="2"/>
      <c r="L35" s="6">
        <f t="shared" si="14"/>
        <v>-2793.6</v>
      </c>
      <c r="M35" s="2"/>
      <c r="N35" s="7">
        <f t="shared" si="15"/>
        <v>-1</v>
      </c>
      <c r="O35" s="11"/>
      <c r="P35" s="6"/>
      <c r="Q35" s="2"/>
      <c r="R35" s="7">
        <f t="shared" si="16"/>
        <v>0</v>
      </c>
      <c r="S35" s="2"/>
      <c r="T35" s="6">
        <v>8380.7999999999993</v>
      </c>
      <c r="U35" s="2"/>
      <c r="V35" s="7">
        <f t="shared" si="17"/>
        <v>3.1556830761584165E-2</v>
      </c>
      <c r="W35" s="2"/>
      <c r="X35" s="6">
        <f t="shared" si="18"/>
        <v>-8380.7999999999993</v>
      </c>
      <c r="Y35" s="2"/>
      <c r="Z35" s="7">
        <f t="shared" si="19"/>
        <v>-1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6">
        <v>6363.16</v>
      </c>
      <c r="E36" s="2"/>
      <c r="F36" s="7">
        <f t="shared" si="12"/>
        <v>0.21063091691492883</v>
      </c>
      <c r="G36" s="2"/>
      <c r="H36" s="6">
        <v>0</v>
      </c>
      <c r="I36" s="2"/>
      <c r="J36" s="7">
        <f t="shared" si="13"/>
        <v>0</v>
      </c>
      <c r="K36" s="2"/>
      <c r="L36" s="6">
        <f t="shared" si="14"/>
        <v>6363.16</v>
      </c>
      <c r="M36" s="2"/>
      <c r="N36" s="7">
        <f t="shared" si="15"/>
        <v>0</v>
      </c>
      <c r="O36" s="11"/>
      <c r="P36" s="6">
        <v>21005.52</v>
      </c>
      <c r="Q36" s="2"/>
      <c r="R36" s="7">
        <f t="shared" si="16"/>
        <v>0.17794954338286373</v>
      </c>
      <c r="S36" s="2"/>
      <c r="T36" s="6">
        <v>0</v>
      </c>
      <c r="U36" s="2"/>
      <c r="V36" s="7">
        <f t="shared" si="17"/>
        <v>0</v>
      </c>
      <c r="W36" s="2"/>
      <c r="X36" s="6">
        <f t="shared" si="18"/>
        <v>21005.52</v>
      </c>
      <c r="Y36" s="2"/>
      <c r="Z36" s="7">
        <f t="shared" si="19"/>
        <v>0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6"/>
      <c r="E37" s="2"/>
      <c r="F37" s="7">
        <f t="shared" si="12"/>
        <v>0</v>
      </c>
      <c r="G37" s="2"/>
      <c r="H37" s="6">
        <v>0</v>
      </c>
      <c r="I37" s="2"/>
      <c r="J37" s="7">
        <f t="shared" si="13"/>
        <v>0</v>
      </c>
      <c r="K37" s="2"/>
      <c r="L37" s="6">
        <f t="shared" si="14"/>
        <v>0</v>
      </c>
      <c r="M37" s="2"/>
      <c r="N37" s="7">
        <f t="shared" si="15"/>
        <v>0</v>
      </c>
      <c r="O37" s="11"/>
      <c r="P37" s="6"/>
      <c r="Q37" s="2"/>
      <c r="R37" s="7">
        <f t="shared" si="16"/>
        <v>0</v>
      </c>
      <c r="S37" s="2"/>
      <c r="T37" s="6">
        <v>0</v>
      </c>
      <c r="U37" s="2"/>
      <c r="V37" s="7">
        <f t="shared" si="17"/>
        <v>0</v>
      </c>
      <c r="W37" s="2"/>
      <c r="X37" s="6">
        <f t="shared" si="18"/>
        <v>0</v>
      </c>
      <c r="Y37" s="2"/>
      <c r="Z37" s="7">
        <f t="shared" si="19"/>
        <v>0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6">
        <v>-96.5</v>
      </c>
      <c r="E38" s="2"/>
      <c r="F38" s="7">
        <f t="shared" si="12"/>
        <v>-3.1943065210195301E-3</v>
      </c>
      <c r="G38" s="2"/>
      <c r="H38" s="6">
        <v>0</v>
      </c>
      <c r="I38" s="2"/>
      <c r="J38" s="7">
        <f t="shared" si="13"/>
        <v>0</v>
      </c>
      <c r="K38" s="2"/>
      <c r="L38" s="6">
        <f t="shared" si="14"/>
        <v>-96.5</v>
      </c>
      <c r="M38" s="2"/>
      <c r="N38" s="7">
        <f t="shared" si="15"/>
        <v>0</v>
      </c>
      <c r="O38" s="11"/>
      <c r="P38" s="6">
        <v>3567.38</v>
      </c>
      <c r="Q38" s="2"/>
      <c r="R38" s="7">
        <f t="shared" si="16"/>
        <v>3.0221277172531813E-2</v>
      </c>
      <c r="S38" s="2"/>
      <c r="T38" s="6">
        <v>20952</v>
      </c>
      <c r="U38" s="2"/>
      <c r="V38" s="7">
        <f t="shared" si="17"/>
        <v>7.8892076903960412E-2</v>
      </c>
      <c r="W38" s="2"/>
      <c r="X38" s="6">
        <f t="shared" si="18"/>
        <v>-17384.62</v>
      </c>
      <c r="Y38" s="2"/>
      <c r="Z38" s="7">
        <f t="shared" si="19"/>
        <v>-0.82973558610156539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6">
        <v>843.36</v>
      </c>
      <c r="E39" s="2"/>
      <c r="F39" s="7">
        <f t="shared" si="12"/>
        <v>2.7916583912611717E-2</v>
      </c>
      <c r="G39" s="2"/>
      <c r="H39" s="6">
        <v>7202.25</v>
      </c>
      <c r="I39" s="2"/>
      <c r="J39" s="7">
        <f t="shared" si="13"/>
        <v>0.21498611981731888</v>
      </c>
      <c r="K39" s="2"/>
      <c r="L39" s="6">
        <f t="shared" si="14"/>
        <v>-6358.89</v>
      </c>
      <c r="M39" s="2"/>
      <c r="N39" s="7">
        <f t="shared" si="15"/>
        <v>-0.88290325939810477</v>
      </c>
      <c r="O39" s="11"/>
      <c r="P39" s="6">
        <v>843.36</v>
      </c>
      <c r="Q39" s="2"/>
      <c r="R39" s="7">
        <f t="shared" si="16"/>
        <v>7.1445756595110215E-3</v>
      </c>
      <c r="S39" s="2"/>
      <c r="T39" s="6">
        <v>7202.25</v>
      </c>
      <c r="U39" s="2"/>
      <c r="V39" s="7">
        <f t="shared" si="17"/>
        <v>2.7119151435736392E-2</v>
      </c>
      <c r="W39" s="2"/>
      <c r="X39" s="6">
        <f t="shared" si="18"/>
        <v>-6358.89</v>
      </c>
      <c r="Y39" s="2"/>
      <c r="Z39" s="7">
        <f t="shared" si="19"/>
        <v>-0.88290325939810477</v>
      </c>
    </row>
    <row r="40" spans="1:26" s="24" customFormat="1" hidden="1" outlineLevel="2" x14ac:dyDescent="0.25">
      <c r="A40" s="29"/>
      <c r="B40" s="11" t="str">
        <f>CONCATENATE("          ", "6009", " - ", "TEMPORARY-SEASONAL")</f>
        <v xml:space="preserve">          6009 - TEMPORARY-SEASONAL</v>
      </c>
      <c r="C40" s="11"/>
      <c r="D40" s="6"/>
      <c r="E40" s="2"/>
      <c r="F40" s="7">
        <f t="shared" si="12"/>
        <v>0</v>
      </c>
      <c r="G40" s="2"/>
      <c r="H40" s="6">
        <v>0</v>
      </c>
      <c r="I40" s="2"/>
      <c r="J40" s="7">
        <f t="shared" si="13"/>
        <v>0</v>
      </c>
      <c r="K40" s="2"/>
      <c r="L40" s="6">
        <f t="shared" si="14"/>
        <v>0</v>
      </c>
      <c r="M40" s="2"/>
      <c r="N40" s="7">
        <f t="shared" si="15"/>
        <v>0</v>
      </c>
      <c r="O40" s="11"/>
      <c r="P40" s="6"/>
      <c r="Q40" s="2"/>
      <c r="R40" s="7">
        <f t="shared" si="16"/>
        <v>0</v>
      </c>
      <c r="S40" s="2"/>
      <c r="T40" s="6">
        <v>0</v>
      </c>
      <c r="U40" s="2"/>
      <c r="V40" s="7">
        <f t="shared" si="17"/>
        <v>0</v>
      </c>
      <c r="W40" s="2"/>
      <c r="X40" s="6">
        <f t="shared" si="18"/>
        <v>0</v>
      </c>
      <c r="Y40" s="2"/>
      <c r="Z40" s="7">
        <f t="shared" si="19"/>
        <v>0</v>
      </c>
    </row>
    <row r="41" spans="1:26" s="24" customFormat="1" hidden="1" outlineLevel="2" x14ac:dyDescent="0.25">
      <c r="A41" s="29"/>
      <c r="B41" s="11" t="str">
        <f>CONCATENATE("          ", "6010", " - ", "GRATUITY")</f>
        <v xml:space="preserve">          6010 - GRATUITY</v>
      </c>
      <c r="C41" s="11"/>
      <c r="D41" s="6"/>
      <c r="E41" s="2"/>
      <c r="F41" s="7">
        <f t="shared" si="12"/>
        <v>0</v>
      </c>
      <c r="G41" s="2"/>
      <c r="H41" s="6">
        <v>0</v>
      </c>
      <c r="I41" s="2"/>
      <c r="J41" s="7">
        <f t="shared" si="13"/>
        <v>0</v>
      </c>
      <c r="K41" s="2"/>
      <c r="L41" s="6">
        <f t="shared" si="14"/>
        <v>0</v>
      </c>
      <c r="M41" s="2"/>
      <c r="N41" s="7">
        <f t="shared" si="15"/>
        <v>0</v>
      </c>
      <c r="O41" s="11"/>
      <c r="P41" s="6"/>
      <c r="Q41" s="2"/>
      <c r="R41" s="7">
        <f t="shared" si="16"/>
        <v>0</v>
      </c>
      <c r="S41" s="2"/>
      <c r="T41" s="6">
        <v>0</v>
      </c>
      <c r="U41" s="2"/>
      <c r="V41" s="7">
        <f t="shared" si="17"/>
        <v>0</v>
      </c>
      <c r="W41" s="2"/>
      <c r="X41" s="6">
        <f t="shared" si="18"/>
        <v>0</v>
      </c>
      <c r="Y41" s="2"/>
      <c r="Z41" s="7">
        <f t="shared" si="19"/>
        <v>0</v>
      </c>
    </row>
    <row r="42" spans="1:26" s="28" customFormat="1" outlineLevel="1" collapsed="1" x14ac:dyDescent="0.25">
      <c r="A42" s="27"/>
      <c r="B42" s="14" t="str">
        <f>CONCATENATE("     ","Advertising/Promo                                 ")</f>
        <v xml:space="preserve">     Advertising/Promo                                 </v>
      </c>
      <c r="C42" s="14"/>
      <c r="D42" s="1">
        <f>SUM(OSRRefD22_2x_0)</f>
        <v>0</v>
      </c>
      <c r="E42" s="1"/>
      <c r="F42" s="5">
        <f t="shared" ref="F42:F50" si="20">IF(D$12=0,0,D42/D$12)</f>
        <v>0</v>
      </c>
      <c r="G42" s="1"/>
      <c r="H42" s="1">
        <f>SUM(OSRRefH22_2x_0)</f>
        <v>100</v>
      </c>
      <c r="I42" s="1"/>
      <c r="J42" s="5">
        <f t="shared" ref="J42:J50" si="21">IF(H$12=0,0,H42/H$12)</f>
        <v>2.9849855228202145E-3</v>
      </c>
      <c r="K42" s="1"/>
      <c r="L42" s="1">
        <f t="shared" ref="L42:L50" si="22">+D42-H42</f>
        <v>-100</v>
      </c>
      <c r="M42" s="1"/>
      <c r="N42" s="5">
        <f t="shared" ref="N42:N50" si="23">IF(H42=0,0,L42/H42)</f>
        <v>-1</v>
      </c>
      <c r="O42" s="14"/>
      <c r="P42" s="1">
        <f>SUM(OSRRefP22_2x_0)</f>
        <v>0</v>
      </c>
      <c r="Q42" s="1"/>
      <c r="R42" s="5">
        <f t="shared" ref="R42:R50" si="24">IF(P$12=0,0,P42/P$12)</f>
        <v>0</v>
      </c>
      <c r="S42" s="1"/>
      <c r="T42" s="1">
        <f>SUM(OSRRefT22_2x_0)</f>
        <v>300</v>
      </c>
      <c r="U42" s="1"/>
      <c r="V42" s="5">
        <f t="shared" ref="V42:V50" si="25">IF(T$12=0,0,T42/T$12)</f>
        <v>1.1296116395183337E-3</v>
      </c>
      <c r="W42" s="1"/>
      <c r="X42" s="1">
        <f t="shared" ref="X42:X50" si="26">+P42-T42</f>
        <v>-300</v>
      </c>
      <c r="Y42" s="1"/>
      <c r="Z42" s="5">
        <f t="shared" ref="Z42:Z50" si="27">IF(T42=0,0,X42/T42)</f>
        <v>-1</v>
      </c>
    </row>
    <row r="43" spans="1:26" s="24" customFormat="1" hidden="1" outlineLevel="2" x14ac:dyDescent="0.25">
      <c r="A43" s="29"/>
      <c r="B43" s="11" t="str">
        <f>CONCATENATE("          ", "6362", " - ", "ADVERTISING EXPENSE")</f>
        <v xml:space="preserve">          6362 - ADVERTISING EXPENSE</v>
      </c>
      <c r="C43" s="11"/>
      <c r="D43" s="6"/>
      <c r="E43" s="2"/>
      <c r="F43" s="7">
        <f t="shared" si="20"/>
        <v>0</v>
      </c>
      <c r="G43" s="2"/>
      <c r="H43" s="6">
        <v>100</v>
      </c>
      <c r="I43" s="2"/>
      <c r="J43" s="7">
        <f t="shared" si="21"/>
        <v>2.9849855228202145E-3</v>
      </c>
      <c r="K43" s="2"/>
      <c r="L43" s="6">
        <f t="shared" si="22"/>
        <v>-100</v>
      </c>
      <c r="M43" s="2"/>
      <c r="N43" s="7">
        <f t="shared" si="23"/>
        <v>-1</v>
      </c>
      <c r="O43" s="11"/>
      <c r="P43" s="6"/>
      <c r="Q43" s="2"/>
      <c r="R43" s="7">
        <f t="shared" si="24"/>
        <v>0</v>
      </c>
      <c r="S43" s="2"/>
      <c r="T43" s="6">
        <v>300</v>
      </c>
      <c r="U43" s="2"/>
      <c r="V43" s="7">
        <f t="shared" si="25"/>
        <v>1.1296116395183337E-3</v>
      </c>
      <c r="W43" s="2"/>
      <c r="X43" s="6">
        <f t="shared" si="26"/>
        <v>-300</v>
      </c>
      <c r="Y43" s="2"/>
      <c r="Z43" s="7">
        <f t="shared" si="27"/>
        <v>-1</v>
      </c>
    </row>
    <row r="44" spans="1:26" s="28" customFormat="1" outlineLevel="1" collapsed="1" x14ac:dyDescent="0.25">
      <c r="A44" s="27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SUM(OSRRefD22_3x_0)</f>
        <v>94</v>
      </c>
      <c r="E44" s="1"/>
      <c r="F44" s="5">
        <f t="shared" si="20"/>
        <v>3.1115524660708374E-3</v>
      </c>
      <c r="G44" s="1"/>
      <c r="H44" s="1">
        <f>SUM(OSRRefH22_3x_0)</f>
        <v>1500</v>
      </c>
      <c r="I44" s="1"/>
      <c r="J44" s="5">
        <f t="shared" si="21"/>
        <v>4.4774782842303212E-2</v>
      </c>
      <c r="K44" s="1"/>
      <c r="L44" s="1">
        <f t="shared" si="22"/>
        <v>-1406</v>
      </c>
      <c r="M44" s="1"/>
      <c r="N44" s="5">
        <f t="shared" si="23"/>
        <v>-0.93733333333333335</v>
      </c>
      <c r="O44" s="14"/>
      <c r="P44" s="1">
        <f>SUM(OSRRefP22_3x_0)</f>
        <v>464.43</v>
      </c>
      <c r="Q44" s="1"/>
      <c r="R44" s="5">
        <f t="shared" si="24"/>
        <v>3.9344470612154995E-3</v>
      </c>
      <c r="S44" s="1"/>
      <c r="T44" s="1">
        <f>SUM(OSRRefT22_3x_0)</f>
        <v>4500</v>
      </c>
      <c r="U44" s="1"/>
      <c r="V44" s="5">
        <f t="shared" si="25"/>
        <v>1.6944174592775006E-2</v>
      </c>
      <c r="W44" s="1"/>
      <c r="X44" s="1">
        <f t="shared" si="26"/>
        <v>-4035.57</v>
      </c>
      <c r="Y44" s="1"/>
      <c r="Z44" s="5">
        <f t="shared" si="27"/>
        <v>-0.89679333333333333</v>
      </c>
    </row>
    <row r="45" spans="1:26" s="24" customFormat="1" hidden="1" outlineLevel="2" x14ac:dyDescent="0.25">
      <c r="A45" s="29"/>
      <c r="B45" s="11" t="str">
        <f>CONCATENATE("          ", "6381", " - ", "BANK/CREDIT CARD FEES")</f>
        <v xml:space="preserve">          6381 - BANK/CREDIT CARD FEES</v>
      </c>
      <c r="C45" s="11"/>
      <c r="D45" s="6">
        <v>94</v>
      </c>
      <c r="E45" s="2"/>
      <c r="F45" s="7">
        <f t="shared" si="20"/>
        <v>3.1115524660708374E-3</v>
      </c>
      <c r="G45" s="2"/>
      <c r="H45" s="6">
        <v>1500</v>
      </c>
      <c r="I45" s="2"/>
      <c r="J45" s="7">
        <f t="shared" si="21"/>
        <v>4.4774782842303212E-2</v>
      </c>
      <c r="K45" s="2"/>
      <c r="L45" s="6">
        <f t="shared" si="22"/>
        <v>-1406</v>
      </c>
      <c r="M45" s="2"/>
      <c r="N45" s="7">
        <f t="shared" si="23"/>
        <v>-0.93733333333333335</v>
      </c>
      <c r="O45" s="11"/>
      <c r="P45" s="6">
        <v>464.43</v>
      </c>
      <c r="Q45" s="2"/>
      <c r="R45" s="7">
        <f t="shared" si="24"/>
        <v>3.9344470612154995E-3</v>
      </c>
      <c r="S45" s="2"/>
      <c r="T45" s="6">
        <v>4500</v>
      </c>
      <c r="U45" s="2"/>
      <c r="V45" s="7">
        <f t="shared" si="25"/>
        <v>1.6944174592775006E-2</v>
      </c>
      <c r="W45" s="2"/>
      <c r="X45" s="6">
        <f t="shared" si="26"/>
        <v>-4035.57</v>
      </c>
      <c r="Y45" s="2"/>
      <c r="Z45" s="7">
        <f t="shared" si="27"/>
        <v>-0.89679333333333333</v>
      </c>
    </row>
    <row r="46" spans="1:26" s="28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SUM(OSRRefD22_4x_0)</f>
        <v>0</v>
      </c>
      <c r="E46" s="1"/>
      <c r="F46" s="5">
        <f t="shared" si="20"/>
        <v>0</v>
      </c>
      <c r="G46" s="1"/>
      <c r="H46" s="1">
        <f>SUM(OSRRefH22_4x_0)</f>
        <v>20</v>
      </c>
      <c r="I46" s="1"/>
      <c r="J46" s="5">
        <f t="shared" si="21"/>
        <v>5.9699710456404291E-4</v>
      </c>
      <c r="K46" s="1"/>
      <c r="L46" s="1">
        <f t="shared" si="22"/>
        <v>-20</v>
      </c>
      <c r="M46" s="1"/>
      <c r="N46" s="5">
        <f t="shared" si="23"/>
        <v>-1</v>
      </c>
      <c r="O46" s="14"/>
      <c r="P46" s="1">
        <f>SUM(OSRRefP22_4x_0)</f>
        <v>0</v>
      </c>
      <c r="Q46" s="1"/>
      <c r="R46" s="5">
        <f t="shared" si="24"/>
        <v>0</v>
      </c>
      <c r="S46" s="1"/>
      <c r="T46" s="1">
        <f>SUM(OSRRefT22_4x_0)</f>
        <v>60</v>
      </c>
      <c r="U46" s="1"/>
      <c r="V46" s="5">
        <f t="shared" si="25"/>
        <v>2.2592232790366671E-4</v>
      </c>
      <c r="W46" s="1"/>
      <c r="X46" s="1">
        <f t="shared" si="26"/>
        <v>-60</v>
      </c>
      <c r="Y46" s="1"/>
      <c r="Z46" s="5">
        <f t="shared" si="27"/>
        <v>-1</v>
      </c>
    </row>
    <row r="47" spans="1:26" s="24" customFormat="1" hidden="1" outlineLevel="2" x14ac:dyDescent="0.25">
      <c r="A47" s="29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20"/>
        <v>0</v>
      </c>
      <c r="G47" s="2"/>
      <c r="H47" s="6">
        <v>20</v>
      </c>
      <c r="I47" s="2"/>
      <c r="J47" s="7">
        <f t="shared" si="21"/>
        <v>5.9699710456404291E-4</v>
      </c>
      <c r="K47" s="2"/>
      <c r="L47" s="6">
        <f t="shared" si="22"/>
        <v>-20</v>
      </c>
      <c r="M47" s="2"/>
      <c r="N47" s="7">
        <f t="shared" si="23"/>
        <v>-1</v>
      </c>
      <c r="O47" s="11"/>
      <c r="P47" s="6"/>
      <c r="Q47" s="2"/>
      <c r="R47" s="7">
        <f t="shared" si="24"/>
        <v>0</v>
      </c>
      <c r="S47" s="2"/>
      <c r="T47" s="6">
        <v>60</v>
      </c>
      <c r="U47" s="2"/>
      <c r="V47" s="7">
        <f t="shared" si="25"/>
        <v>2.2592232790366671E-4</v>
      </c>
      <c r="W47" s="2"/>
      <c r="X47" s="6">
        <f t="shared" si="26"/>
        <v>-60</v>
      </c>
      <c r="Y47" s="2"/>
      <c r="Z47" s="7">
        <f t="shared" si="27"/>
        <v>-1</v>
      </c>
    </row>
    <row r="48" spans="1:26" s="28" customFormat="1" outlineLevel="1" collapsed="1" x14ac:dyDescent="0.25">
      <c r="A48" s="27"/>
      <c r="B48" s="14" t="str">
        <f>CONCATENATE("     ","Freight out/Postage                               ")</f>
        <v xml:space="preserve">     Freight out/Postage                               </v>
      </c>
      <c r="C48" s="14"/>
      <c r="D48" s="1">
        <f>SUM(OSRRefD22_5x_0)</f>
        <v>0.5</v>
      </c>
      <c r="E48" s="1"/>
      <c r="F48" s="5">
        <f t="shared" si="20"/>
        <v>1.6550810989738498E-5</v>
      </c>
      <c r="G48" s="1"/>
      <c r="H48" s="1">
        <f>SUM(OSRRefH22_5x_0)</f>
        <v>10</v>
      </c>
      <c r="I48" s="1"/>
      <c r="J48" s="5">
        <f t="shared" si="21"/>
        <v>2.9849855228202145E-4</v>
      </c>
      <c r="K48" s="1"/>
      <c r="L48" s="1">
        <f t="shared" si="22"/>
        <v>-9.5</v>
      </c>
      <c r="M48" s="1"/>
      <c r="N48" s="5">
        <f t="shared" si="23"/>
        <v>-0.95</v>
      </c>
      <c r="O48" s="14"/>
      <c r="P48" s="1">
        <f>SUM(OSRRefP22_5x_0)</f>
        <v>0.79</v>
      </c>
      <c r="Q48" s="1"/>
      <c r="R48" s="5">
        <f t="shared" si="24"/>
        <v>6.6925331661611973E-6</v>
      </c>
      <c r="S48" s="1"/>
      <c r="T48" s="1">
        <f>SUM(OSRRefT22_5x_0)</f>
        <v>30</v>
      </c>
      <c r="U48" s="1"/>
      <c r="V48" s="5">
        <f t="shared" si="25"/>
        <v>1.1296116395183336E-4</v>
      </c>
      <c r="W48" s="1"/>
      <c r="X48" s="1">
        <f t="shared" si="26"/>
        <v>-29.21</v>
      </c>
      <c r="Y48" s="1"/>
      <c r="Z48" s="5">
        <f t="shared" si="27"/>
        <v>-0.97366666666666668</v>
      </c>
    </row>
    <row r="49" spans="1:26" s="24" customFormat="1" hidden="1" outlineLevel="2" x14ac:dyDescent="0.25">
      <c r="A49" s="29"/>
      <c r="B49" s="11" t="str">
        <f>CONCATENATE("          ", "6305", " - ", "FREIGHT OUT")</f>
        <v xml:space="preserve">          6305 - FREIGHT OUT</v>
      </c>
      <c r="C49" s="11"/>
      <c r="D49" s="6"/>
      <c r="E49" s="2"/>
      <c r="F49" s="7">
        <f t="shared" si="20"/>
        <v>0</v>
      </c>
      <c r="G49" s="2"/>
      <c r="H49" s="6"/>
      <c r="I49" s="2"/>
      <c r="J49" s="7">
        <f t="shared" si="21"/>
        <v>0</v>
      </c>
      <c r="K49" s="2"/>
      <c r="L49" s="6">
        <f t="shared" si="22"/>
        <v>0</v>
      </c>
      <c r="M49" s="2"/>
      <c r="N49" s="7">
        <f t="shared" si="23"/>
        <v>0</v>
      </c>
      <c r="O49" s="11"/>
      <c r="P49" s="6">
        <v>0.28999999999999998</v>
      </c>
      <c r="Q49" s="2"/>
      <c r="R49" s="7">
        <f t="shared" si="24"/>
        <v>2.4567526812490469E-6</v>
      </c>
      <c r="S49" s="2"/>
      <c r="T49" s="6"/>
      <c r="U49" s="2"/>
      <c r="V49" s="7">
        <f t="shared" si="25"/>
        <v>0</v>
      </c>
      <c r="W49" s="2"/>
      <c r="X49" s="6">
        <f t="shared" si="26"/>
        <v>0.28999999999999998</v>
      </c>
      <c r="Y49" s="2"/>
      <c r="Z49" s="7">
        <f t="shared" si="27"/>
        <v>0</v>
      </c>
    </row>
    <row r="50" spans="1:26" s="24" customFormat="1" hidden="1" outlineLevel="2" x14ac:dyDescent="0.25">
      <c r="A50" s="29"/>
      <c r="B50" s="11" t="str">
        <f>CONCATENATE("          ", "6307", " - ", "POSTAGE")</f>
        <v xml:space="preserve">          6307 - POSTAGE</v>
      </c>
      <c r="C50" s="11"/>
      <c r="D50" s="6">
        <v>0.5</v>
      </c>
      <c r="E50" s="2"/>
      <c r="F50" s="7">
        <f t="shared" si="20"/>
        <v>1.6550810989738498E-5</v>
      </c>
      <c r="G50" s="2"/>
      <c r="H50" s="6">
        <v>10</v>
      </c>
      <c r="I50" s="2"/>
      <c r="J50" s="7">
        <f t="shared" si="21"/>
        <v>2.9849855228202145E-4</v>
      </c>
      <c r="K50" s="2"/>
      <c r="L50" s="6">
        <f t="shared" si="22"/>
        <v>-9.5</v>
      </c>
      <c r="M50" s="2"/>
      <c r="N50" s="7">
        <f t="shared" si="23"/>
        <v>-0.95</v>
      </c>
      <c r="O50" s="11"/>
      <c r="P50" s="6">
        <v>0.5</v>
      </c>
      <c r="Q50" s="2"/>
      <c r="R50" s="7">
        <f t="shared" si="24"/>
        <v>4.2357804849121496E-6</v>
      </c>
      <c r="S50" s="2"/>
      <c r="T50" s="6">
        <v>30</v>
      </c>
      <c r="U50" s="2"/>
      <c r="V50" s="7">
        <f t="shared" si="25"/>
        <v>1.1296116395183336E-4</v>
      </c>
      <c r="W50" s="2"/>
      <c r="X50" s="6">
        <f t="shared" si="26"/>
        <v>-29.5</v>
      </c>
      <c r="Y50" s="2"/>
      <c r="Z50" s="7">
        <f t="shared" si="27"/>
        <v>-0.98333333333333328</v>
      </c>
    </row>
    <row r="51" spans="1:26" s="28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SUM(OSRRefD22_6x_0)</f>
        <v>0</v>
      </c>
      <c r="E51" s="1"/>
      <c r="F51" s="5">
        <f t="shared" ref="F51:F60" si="28">IF(D$12=0,0,D51/D$12)</f>
        <v>0</v>
      </c>
      <c r="G51" s="1"/>
      <c r="H51" s="1">
        <f>SUM(OSRRefH22_6x_0)</f>
        <v>50</v>
      </c>
      <c r="I51" s="1"/>
      <c r="J51" s="5">
        <f t="shared" ref="J51:J60" si="29">IF(H$12=0,0,H51/H$12)</f>
        <v>1.4924927614101073E-3</v>
      </c>
      <c r="K51" s="1"/>
      <c r="L51" s="1">
        <f t="shared" ref="L51:L60" si="30">+D51-H51</f>
        <v>-50</v>
      </c>
      <c r="M51" s="1"/>
      <c r="N51" s="5">
        <f t="shared" ref="N51:N60" si="31">IF(H51=0,0,L51/H51)</f>
        <v>-1</v>
      </c>
      <c r="O51" s="14"/>
      <c r="P51" s="1">
        <f>SUM(OSRRefP22_6x_0)</f>
        <v>0</v>
      </c>
      <c r="Q51" s="1"/>
      <c r="R51" s="5">
        <f t="shared" ref="R51:R60" si="32">IF(P$12=0,0,P51/P$12)</f>
        <v>0</v>
      </c>
      <c r="S51" s="1"/>
      <c r="T51" s="1">
        <f>SUM(OSRRefT22_6x_0)</f>
        <v>150</v>
      </c>
      <c r="U51" s="1"/>
      <c r="V51" s="5">
        <f t="shared" ref="V51:V60" si="33">IF(T$12=0,0,T51/T$12)</f>
        <v>5.6480581975916684E-4</v>
      </c>
      <c r="W51" s="1"/>
      <c r="X51" s="1">
        <f t="shared" ref="X51:X60" si="34">+P51-T51</f>
        <v>-150</v>
      </c>
      <c r="Y51" s="1"/>
      <c r="Z51" s="5">
        <f t="shared" ref="Z51:Z60" si="35">IF(T51=0,0,X51/T51)</f>
        <v>-1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6"/>
      <c r="E52" s="2"/>
      <c r="F52" s="7">
        <f t="shared" si="28"/>
        <v>0</v>
      </c>
      <c r="G52" s="2"/>
      <c r="H52" s="6">
        <v>50</v>
      </c>
      <c r="I52" s="2"/>
      <c r="J52" s="7">
        <f t="shared" si="29"/>
        <v>1.4924927614101073E-3</v>
      </c>
      <c r="K52" s="2"/>
      <c r="L52" s="6">
        <f t="shared" si="30"/>
        <v>-50</v>
      </c>
      <c r="M52" s="2"/>
      <c r="N52" s="7">
        <f t="shared" si="31"/>
        <v>-1</v>
      </c>
      <c r="O52" s="11"/>
      <c r="P52" s="6"/>
      <c r="Q52" s="2"/>
      <c r="R52" s="7">
        <f t="shared" si="32"/>
        <v>0</v>
      </c>
      <c r="S52" s="2"/>
      <c r="T52" s="6">
        <v>150</v>
      </c>
      <c r="U52" s="2"/>
      <c r="V52" s="7">
        <f t="shared" si="33"/>
        <v>5.6480581975916684E-4</v>
      </c>
      <c r="W52" s="2"/>
      <c r="X52" s="6">
        <f t="shared" si="34"/>
        <v>-150</v>
      </c>
      <c r="Y52" s="2"/>
      <c r="Z52" s="7">
        <f t="shared" si="35"/>
        <v>-1</v>
      </c>
    </row>
    <row r="53" spans="1:26" s="28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SUM(OSRRefD22_7x_0)</f>
        <v>29.01</v>
      </c>
      <c r="E53" s="1"/>
      <c r="F53" s="5">
        <f t="shared" si="28"/>
        <v>9.602780536246277E-4</v>
      </c>
      <c r="G53" s="1"/>
      <c r="H53" s="1">
        <f>SUM(OSRRefH22_7x_0)</f>
        <v>33</v>
      </c>
      <c r="I53" s="1"/>
      <c r="J53" s="5">
        <f t="shared" si="29"/>
        <v>9.8504522253067069E-4</v>
      </c>
      <c r="K53" s="1"/>
      <c r="L53" s="1">
        <f t="shared" si="30"/>
        <v>-3.9899999999999984</v>
      </c>
      <c r="M53" s="1"/>
      <c r="N53" s="5">
        <f t="shared" si="31"/>
        <v>-0.12090909090909085</v>
      </c>
      <c r="O53" s="14"/>
      <c r="P53" s="1">
        <f>SUM(OSRRefP22_7x_0)</f>
        <v>87.03</v>
      </c>
      <c r="Q53" s="1"/>
      <c r="R53" s="5">
        <f t="shared" si="32"/>
        <v>7.3727995120380883E-4</v>
      </c>
      <c r="S53" s="1"/>
      <c r="T53" s="1">
        <f>SUM(OSRRefT22_7x_0)</f>
        <v>99</v>
      </c>
      <c r="U53" s="1"/>
      <c r="V53" s="5">
        <f t="shared" si="33"/>
        <v>3.727718410410501E-4</v>
      </c>
      <c r="W53" s="1"/>
      <c r="X53" s="1">
        <f t="shared" si="34"/>
        <v>-11.969999999999999</v>
      </c>
      <c r="Y53" s="1"/>
      <c r="Z53" s="5">
        <f t="shared" si="35"/>
        <v>-0.1209090909090909</v>
      </c>
    </row>
    <row r="54" spans="1:26" s="24" customFormat="1" hidden="1" outlineLevel="2" x14ac:dyDescent="0.25">
      <c r="A54" s="29"/>
      <c r="B54" s="11" t="str">
        <f>CONCATENATE("          ", "6314", " - ", "LIABILITY INSURANCE")</f>
        <v xml:space="preserve">          6314 - LIABILITY INSURANCE</v>
      </c>
      <c r="C54" s="11"/>
      <c r="D54" s="6">
        <v>29.01</v>
      </c>
      <c r="E54" s="2"/>
      <c r="F54" s="7">
        <f t="shared" si="28"/>
        <v>9.602780536246277E-4</v>
      </c>
      <c r="G54" s="2"/>
      <c r="H54" s="6">
        <v>33</v>
      </c>
      <c r="I54" s="2"/>
      <c r="J54" s="7">
        <f t="shared" si="29"/>
        <v>9.8504522253067069E-4</v>
      </c>
      <c r="K54" s="2"/>
      <c r="L54" s="6">
        <f t="shared" si="30"/>
        <v>-3.9899999999999984</v>
      </c>
      <c r="M54" s="2"/>
      <c r="N54" s="7">
        <f t="shared" si="31"/>
        <v>-0.12090909090909085</v>
      </c>
      <c r="O54" s="11"/>
      <c r="P54" s="6">
        <v>87.03</v>
      </c>
      <c r="Q54" s="2"/>
      <c r="R54" s="7">
        <f t="shared" si="32"/>
        <v>7.3727995120380883E-4</v>
      </c>
      <c r="S54" s="2"/>
      <c r="T54" s="6">
        <v>99</v>
      </c>
      <c r="U54" s="2"/>
      <c r="V54" s="7">
        <f t="shared" si="33"/>
        <v>3.727718410410501E-4</v>
      </c>
      <c r="W54" s="2"/>
      <c r="X54" s="6">
        <f t="shared" si="34"/>
        <v>-11.969999999999999</v>
      </c>
      <c r="Y54" s="2"/>
      <c r="Z54" s="7">
        <f t="shared" si="35"/>
        <v>-0.1209090909090909</v>
      </c>
    </row>
    <row r="55" spans="1:26" s="28" customFormat="1" outlineLevel="1" collapsed="1" x14ac:dyDescent="0.25">
      <c r="A55" s="27"/>
      <c r="B55" s="14" t="str">
        <f>CONCATENATE("     ","Rent                                              ")</f>
        <v xml:space="preserve">     Rent                                              </v>
      </c>
      <c r="C55" s="14"/>
      <c r="D55" s="1">
        <f>SUM(OSRRefD22_8x_0)</f>
        <v>800</v>
      </c>
      <c r="E55" s="1"/>
      <c r="F55" s="5">
        <f t="shared" si="28"/>
        <v>2.6481297583581597E-2</v>
      </c>
      <c r="G55" s="1"/>
      <c r="H55" s="1">
        <f>SUM(OSRRefH22_8x_0)</f>
        <v>800</v>
      </c>
      <c r="I55" s="1"/>
      <c r="J55" s="5">
        <f t="shared" si="29"/>
        <v>2.3879884182561716E-2</v>
      </c>
      <c r="K55" s="1"/>
      <c r="L55" s="1">
        <f t="shared" si="30"/>
        <v>0</v>
      </c>
      <c r="M55" s="1"/>
      <c r="N55" s="5">
        <f t="shared" si="31"/>
        <v>0</v>
      </c>
      <c r="O55" s="14"/>
      <c r="P55" s="1">
        <f>SUM(OSRRefP22_8x_0)</f>
        <v>2400</v>
      </c>
      <c r="Q55" s="1"/>
      <c r="R55" s="5">
        <f t="shared" si="32"/>
        <v>2.033174632757832E-2</v>
      </c>
      <c r="S55" s="1"/>
      <c r="T55" s="1">
        <f>SUM(OSRRefT22_8x_0)</f>
        <v>2400</v>
      </c>
      <c r="U55" s="1"/>
      <c r="V55" s="5">
        <f t="shared" si="33"/>
        <v>9.0368931161466694E-3</v>
      </c>
      <c r="W55" s="1"/>
      <c r="X55" s="1">
        <f t="shared" si="34"/>
        <v>0</v>
      </c>
      <c r="Y55" s="1"/>
      <c r="Z55" s="5">
        <f t="shared" si="35"/>
        <v>0</v>
      </c>
    </row>
    <row r="56" spans="1:26" s="24" customFormat="1" hidden="1" outlineLevel="2" x14ac:dyDescent="0.25">
      <c r="A56" s="29"/>
      <c r="B56" s="11" t="str">
        <f>CONCATENATE("          ", "6273", " - ", "RENT")</f>
        <v xml:space="preserve">          6273 - RENT</v>
      </c>
      <c r="C56" s="11"/>
      <c r="D56" s="6">
        <v>800</v>
      </c>
      <c r="E56" s="2"/>
      <c r="F56" s="7">
        <f t="shared" si="28"/>
        <v>2.6481297583581597E-2</v>
      </c>
      <c r="G56" s="2"/>
      <c r="H56" s="6">
        <v>800</v>
      </c>
      <c r="I56" s="2"/>
      <c r="J56" s="7">
        <f t="shared" si="29"/>
        <v>2.3879884182561716E-2</v>
      </c>
      <c r="K56" s="2"/>
      <c r="L56" s="6">
        <f t="shared" si="30"/>
        <v>0</v>
      </c>
      <c r="M56" s="2"/>
      <c r="N56" s="7">
        <f t="shared" si="31"/>
        <v>0</v>
      </c>
      <c r="O56" s="11"/>
      <c r="P56" s="6">
        <v>2400</v>
      </c>
      <c r="Q56" s="2"/>
      <c r="R56" s="7">
        <f t="shared" si="32"/>
        <v>2.033174632757832E-2</v>
      </c>
      <c r="S56" s="2"/>
      <c r="T56" s="6">
        <v>2400</v>
      </c>
      <c r="U56" s="2"/>
      <c r="V56" s="7">
        <f t="shared" si="33"/>
        <v>9.0368931161466694E-3</v>
      </c>
      <c r="W56" s="2"/>
      <c r="X56" s="6">
        <f t="shared" si="34"/>
        <v>0</v>
      </c>
      <c r="Y56" s="2"/>
      <c r="Z56" s="7">
        <f t="shared" si="35"/>
        <v>0</v>
      </c>
    </row>
    <row r="57" spans="1:26" s="28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SUM(OSRRefD22_9x_0)</f>
        <v>6562</v>
      </c>
      <c r="E57" s="1"/>
      <c r="F57" s="5">
        <f t="shared" si="28"/>
        <v>0.21721284342932803</v>
      </c>
      <c r="G57" s="1"/>
      <c r="H57" s="1">
        <f>SUM(OSRRefH22_9x_0)</f>
        <v>1500</v>
      </c>
      <c r="I57" s="1"/>
      <c r="J57" s="5">
        <f t="shared" si="29"/>
        <v>4.4774782842303212E-2</v>
      </c>
      <c r="K57" s="1"/>
      <c r="L57" s="1">
        <f t="shared" si="30"/>
        <v>5062</v>
      </c>
      <c r="M57" s="1"/>
      <c r="N57" s="5">
        <f t="shared" si="31"/>
        <v>3.3746666666666667</v>
      </c>
      <c r="O57" s="14"/>
      <c r="P57" s="1">
        <f>SUM(OSRRefP22_9x_0)</f>
        <v>6562</v>
      </c>
      <c r="Q57" s="1"/>
      <c r="R57" s="5">
        <f t="shared" si="32"/>
        <v>5.5590383083987054E-2</v>
      </c>
      <c r="S57" s="1"/>
      <c r="T57" s="1">
        <f>SUM(OSRRefT22_9x_0)</f>
        <v>129500</v>
      </c>
      <c r="U57" s="1"/>
      <c r="V57" s="5">
        <f t="shared" si="33"/>
        <v>0.48761569105874736</v>
      </c>
      <c r="W57" s="1"/>
      <c r="X57" s="1">
        <f t="shared" si="34"/>
        <v>-122938</v>
      </c>
      <c r="Y57" s="1"/>
      <c r="Z57" s="5">
        <f t="shared" si="35"/>
        <v>-0.9493281853281853</v>
      </c>
    </row>
    <row r="58" spans="1:26" s="24" customFormat="1" hidden="1" outlineLevel="2" x14ac:dyDescent="0.25">
      <c r="A58" s="29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28"/>
        <v>0</v>
      </c>
      <c r="G58" s="2"/>
      <c r="H58" s="6"/>
      <c r="I58" s="2"/>
      <c r="J58" s="7">
        <f t="shared" si="29"/>
        <v>0</v>
      </c>
      <c r="K58" s="2"/>
      <c r="L58" s="6">
        <f t="shared" si="30"/>
        <v>0</v>
      </c>
      <c r="M58" s="2"/>
      <c r="N58" s="7">
        <f t="shared" si="31"/>
        <v>0</v>
      </c>
      <c r="O58" s="11"/>
      <c r="P58" s="6"/>
      <c r="Q58" s="2"/>
      <c r="R58" s="7">
        <f t="shared" si="32"/>
        <v>0</v>
      </c>
      <c r="S58" s="2"/>
      <c r="T58" s="6">
        <v>125000</v>
      </c>
      <c r="U58" s="2"/>
      <c r="V58" s="7">
        <f t="shared" si="33"/>
        <v>0.47067151646597233</v>
      </c>
      <c r="W58" s="2"/>
      <c r="X58" s="6">
        <f t="shared" si="34"/>
        <v>-125000</v>
      </c>
      <c r="Y58" s="2"/>
      <c r="Z58" s="7">
        <f t="shared" si="35"/>
        <v>-1</v>
      </c>
    </row>
    <row r="59" spans="1:26" s="24" customFormat="1" hidden="1" outlineLevel="2" x14ac:dyDescent="0.25">
      <c r="A59" s="29"/>
      <c r="B59" s="11" t="str">
        <f>CONCATENATE("          ", "6372", " - ", "COMPUTER HARDWARE MAINTENANCE")</f>
        <v xml:space="preserve">          6372 - COMPUTER HARDWARE MAINTENANCE</v>
      </c>
      <c r="C59" s="11"/>
      <c r="D59" s="6"/>
      <c r="E59" s="2"/>
      <c r="F59" s="7">
        <f t="shared" si="28"/>
        <v>0</v>
      </c>
      <c r="G59" s="2"/>
      <c r="H59" s="6">
        <v>1500</v>
      </c>
      <c r="I59" s="2"/>
      <c r="J59" s="7">
        <f t="shared" si="29"/>
        <v>4.4774782842303212E-2</v>
      </c>
      <c r="K59" s="2"/>
      <c r="L59" s="6">
        <f t="shared" si="30"/>
        <v>-1500</v>
      </c>
      <c r="M59" s="2"/>
      <c r="N59" s="7">
        <f t="shared" si="31"/>
        <v>-1</v>
      </c>
      <c r="O59" s="11"/>
      <c r="P59" s="6"/>
      <c r="Q59" s="2"/>
      <c r="R59" s="7">
        <f t="shared" si="32"/>
        <v>0</v>
      </c>
      <c r="S59" s="2"/>
      <c r="T59" s="6">
        <v>4500</v>
      </c>
      <c r="U59" s="2"/>
      <c r="V59" s="7">
        <f t="shared" si="33"/>
        <v>1.6944174592775006E-2</v>
      </c>
      <c r="W59" s="2"/>
      <c r="X59" s="6">
        <f t="shared" si="34"/>
        <v>-4500</v>
      </c>
      <c r="Y59" s="2"/>
      <c r="Z59" s="7">
        <f t="shared" si="35"/>
        <v>-1</v>
      </c>
    </row>
    <row r="60" spans="1:26" s="24" customFormat="1" hidden="1" outlineLevel="2" x14ac:dyDescent="0.25">
      <c r="A60" s="29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6562</v>
      </c>
      <c r="E60" s="2"/>
      <c r="F60" s="7">
        <f t="shared" si="28"/>
        <v>0.21721284342932803</v>
      </c>
      <c r="G60" s="2"/>
      <c r="H60" s="6"/>
      <c r="I60" s="2"/>
      <c r="J60" s="7">
        <f t="shared" si="29"/>
        <v>0</v>
      </c>
      <c r="K60" s="2"/>
      <c r="L60" s="6">
        <f t="shared" si="30"/>
        <v>6562</v>
      </c>
      <c r="M60" s="2"/>
      <c r="N60" s="7">
        <f t="shared" si="31"/>
        <v>0</v>
      </c>
      <c r="O60" s="11"/>
      <c r="P60" s="6">
        <v>6562</v>
      </c>
      <c r="Q60" s="2"/>
      <c r="R60" s="7">
        <f t="shared" si="32"/>
        <v>5.5590383083987054E-2</v>
      </c>
      <c r="S60" s="2"/>
      <c r="T60" s="6"/>
      <c r="U60" s="2"/>
      <c r="V60" s="7">
        <f t="shared" si="33"/>
        <v>0</v>
      </c>
      <c r="W60" s="2"/>
      <c r="X60" s="6">
        <f t="shared" si="34"/>
        <v>6562</v>
      </c>
      <c r="Y60" s="2"/>
      <c r="Z60" s="7">
        <f t="shared" si="35"/>
        <v>0</v>
      </c>
    </row>
    <row r="61" spans="1:26" s="28" customFormat="1" outlineLevel="1" collapsed="1" x14ac:dyDescent="0.25">
      <c r="A61" s="27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SUM(OSRRefD22_10x_0)</f>
        <v>0</v>
      </c>
      <c r="E61" s="1"/>
      <c r="F61" s="5">
        <f t="shared" ref="F61:F63" si="36">IF(D$12=0,0,D61/D$12)</f>
        <v>0</v>
      </c>
      <c r="G61" s="1"/>
      <c r="H61" s="1">
        <f>SUM(OSRRefH22_10x_0)</f>
        <v>7000</v>
      </c>
      <c r="I61" s="1"/>
      <c r="J61" s="5">
        <f t="shared" ref="J61:J63" si="37">IF(H$12=0,0,H61/H$12)</f>
        <v>0.20894898659741501</v>
      </c>
      <c r="K61" s="1"/>
      <c r="L61" s="1">
        <f t="shared" ref="L61:L63" si="38">+D61-H61</f>
        <v>-7000</v>
      </c>
      <c r="M61" s="1"/>
      <c r="N61" s="5">
        <f t="shared" ref="N61:N63" si="39">IF(H61=0,0,L61/H61)</f>
        <v>-1</v>
      </c>
      <c r="O61" s="14"/>
      <c r="P61" s="1">
        <f>SUM(OSRRefP22_10x_0)</f>
        <v>35183.15</v>
      </c>
      <c r="Q61" s="1"/>
      <c r="R61" s="5">
        <f t="shared" ref="R61:R63" si="40">IF(P$12=0,0,P61/P$12)</f>
        <v>0.29805620033547381</v>
      </c>
      <c r="S61" s="1"/>
      <c r="T61" s="1">
        <f>SUM(OSRRefT22_10x_0)</f>
        <v>21000</v>
      </c>
      <c r="U61" s="1"/>
      <c r="V61" s="5">
        <f t="shared" ref="V61:V63" si="41">IF(T$12=0,0,T61/T$12)</f>
        <v>7.9072814766283347E-2</v>
      </c>
      <c r="W61" s="1"/>
      <c r="X61" s="1">
        <f t="shared" ref="X61:X63" si="42">+P61-T61</f>
        <v>14183.150000000001</v>
      </c>
      <c r="Y61" s="1"/>
      <c r="Z61" s="5">
        <f t="shared" ref="Z61:Z63" si="43">IF(T61=0,0,X61/T61)</f>
        <v>0.67538809523809529</v>
      </c>
    </row>
    <row r="62" spans="1:26" s="24" customFormat="1" hidden="1" outlineLevel="2" x14ac:dyDescent="0.25">
      <c r="A62" s="29"/>
      <c r="B62" s="11" t="str">
        <f>CONCATENATE("          ", "6234", " - ", "EXPENDABLE SUPPLIES &amp; EQUIPMEN")</f>
        <v xml:space="preserve">          6234 - EXPENDABLE SUPPLIES &amp; EQUIPMEN</v>
      </c>
      <c r="C62" s="11"/>
      <c r="D62" s="6"/>
      <c r="E62" s="2"/>
      <c r="F62" s="7">
        <f t="shared" si="36"/>
        <v>0</v>
      </c>
      <c r="G62" s="2"/>
      <c r="H62" s="6">
        <v>7000</v>
      </c>
      <c r="I62" s="2"/>
      <c r="J62" s="7">
        <f t="shared" si="37"/>
        <v>0.20894898659741501</v>
      </c>
      <c r="K62" s="2"/>
      <c r="L62" s="6">
        <f t="shared" si="38"/>
        <v>-7000</v>
      </c>
      <c r="M62" s="2"/>
      <c r="N62" s="7">
        <f t="shared" si="39"/>
        <v>-1</v>
      </c>
      <c r="O62" s="11"/>
      <c r="P62" s="6"/>
      <c r="Q62" s="2"/>
      <c r="R62" s="7">
        <f t="shared" si="40"/>
        <v>0</v>
      </c>
      <c r="S62" s="2"/>
      <c r="T62" s="6">
        <v>21000</v>
      </c>
      <c r="U62" s="2"/>
      <c r="V62" s="7">
        <f t="shared" si="41"/>
        <v>7.9072814766283347E-2</v>
      </c>
      <c r="W62" s="2"/>
      <c r="X62" s="6">
        <f t="shared" si="42"/>
        <v>-21000</v>
      </c>
      <c r="Y62" s="2"/>
      <c r="Z62" s="7">
        <f t="shared" si="43"/>
        <v>-1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6"/>
      <c r="E63" s="2"/>
      <c r="F63" s="7">
        <f t="shared" si="36"/>
        <v>0</v>
      </c>
      <c r="G63" s="2"/>
      <c r="H63" s="6"/>
      <c r="I63" s="2"/>
      <c r="J63" s="7">
        <f t="shared" si="37"/>
        <v>0</v>
      </c>
      <c r="K63" s="2"/>
      <c r="L63" s="6">
        <f t="shared" si="38"/>
        <v>0</v>
      </c>
      <c r="M63" s="2"/>
      <c r="N63" s="7">
        <f t="shared" si="39"/>
        <v>0</v>
      </c>
      <c r="O63" s="11"/>
      <c r="P63" s="6">
        <v>35183.15</v>
      </c>
      <c r="Q63" s="2"/>
      <c r="R63" s="7">
        <f t="shared" si="40"/>
        <v>0.29805620033547381</v>
      </c>
      <c r="S63" s="2"/>
      <c r="T63" s="6"/>
      <c r="U63" s="2"/>
      <c r="V63" s="7">
        <f t="shared" si="41"/>
        <v>0</v>
      </c>
      <c r="W63" s="2"/>
      <c r="X63" s="6">
        <f t="shared" si="42"/>
        <v>35183.15</v>
      </c>
      <c r="Y63" s="2"/>
      <c r="Z63" s="7">
        <f t="shared" si="43"/>
        <v>0</v>
      </c>
    </row>
    <row r="64" spans="1:26" s="28" customFormat="1" outlineLevel="1" collapsed="1" x14ac:dyDescent="0.25">
      <c r="A64" s="27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SUM(OSRRefD22_11x_0)</f>
        <v>750</v>
      </c>
      <c r="E64" s="1"/>
      <c r="F64" s="5">
        <f t="shared" ref="F64:F65" si="44">IF(D$12=0,0,D64/D$12)</f>
        <v>2.4826216484607744E-2</v>
      </c>
      <c r="G64" s="1"/>
      <c r="H64" s="1">
        <f>SUM(OSRRefH22_11x_0)</f>
        <v>700</v>
      </c>
      <c r="I64" s="1"/>
      <c r="J64" s="5">
        <f t="shared" ref="J64:J65" si="45">IF(H$12=0,0,H64/H$12)</f>
        <v>2.08948986597415E-2</v>
      </c>
      <c r="K64" s="1"/>
      <c r="L64" s="1">
        <f t="shared" ref="L64:L65" si="46">+D64-H64</f>
        <v>50</v>
      </c>
      <c r="M64" s="1"/>
      <c r="N64" s="5">
        <f t="shared" ref="N64:N65" si="47">IF(H64=0,0,L64/H64)</f>
        <v>7.1428571428571425E-2</v>
      </c>
      <c r="O64" s="14"/>
      <c r="P64" s="1">
        <f>SUM(OSRRefP22_11x_0)</f>
        <v>1042.08</v>
      </c>
      <c r="Q64" s="1"/>
      <c r="R64" s="5">
        <f t="shared" ref="R64:R65" si="48">IF(P$12=0,0,P64/P$12)</f>
        <v>8.8280442554345053E-3</v>
      </c>
      <c r="S64" s="1"/>
      <c r="T64" s="1">
        <f>SUM(OSRRefT22_11x_0)</f>
        <v>2100</v>
      </c>
      <c r="U64" s="1"/>
      <c r="V64" s="5">
        <f t="shared" ref="V64:V65" si="49">IF(T$12=0,0,T64/T$12)</f>
        <v>7.9072814766283344E-3</v>
      </c>
      <c r="W64" s="1"/>
      <c r="X64" s="1">
        <f t="shared" ref="X64:X65" si="50">+P64-T64</f>
        <v>-1057.92</v>
      </c>
      <c r="Y64" s="1"/>
      <c r="Z64" s="5">
        <f t="shared" ref="Z64:Z65" si="51">IF(T64=0,0,X64/T64)</f>
        <v>-0.50377142857142865</v>
      </c>
    </row>
    <row r="65" spans="1:26" s="24" customFormat="1" hidden="1" outlineLevel="2" x14ac:dyDescent="0.25">
      <c r="A65" s="29"/>
      <c r="B65" s="11" t="str">
        <f>CONCATENATE("          ", "6309", " - ", "TELEPHONE")</f>
        <v xml:space="preserve">          6309 - TELEPHONE</v>
      </c>
      <c r="C65" s="11"/>
      <c r="D65" s="6">
        <v>750</v>
      </c>
      <c r="E65" s="2"/>
      <c r="F65" s="7">
        <f t="shared" si="44"/>
        <v>2.4826216484607744E-2</v>
      </c>
      <c r="G65" s="2"/>
      <c r="H65" s="6">
        <v>700</v>
      </c>
      <c r="I65" s="2"/>
      <c r="J65" s="7">
        <f t="shared" si="45"/>
        <v>2.08948986597415E-2</v>
      </c>
      <c r="K65" s="2"/>
      <c r="L65" s="6">
        <f t="shared" si="46"/>
        <v>50</v>
      </c>
      <c r="M65" s="2"/>
      <c r="N65" s="7">
        <f t="shared" si="47"/>
        <v>7.1428571428571425E-2</v>
      </c>
      <c r="O65" s="11"/>
      <c r="P65" s="6">
        <v>1042.08</v>
      </c>
      <c r="Q65" s="2"/>
      <c r="R65" s="7">
        <f t="shared" si="48"/>
        <v>8.8280442554345053E-3</v>
      </c>
      <c r="S65" s="2"/>
      <c r="T65" s="6">
        <v>2100</v>
      </c>
      <c r="U65" s="2"/>
      <c r="V65" s="7">
        <f t="shared" si="49"/>
        <v>7.9072814766283344E-3</v>
      </c>
      <c r="W65" s="2"/>
      <c r="X65" s="6">
        <f t="shared" si="50"/>
        <v>-1057.92</v>
      </c>
      <c r="Y65" s="2"/>
      <c r="Z65" s="7">
        <f t="shared" si="51"/>
        <v>-0.50377142857142865</v>
      </c>
    </row>
    <row r="66" spans="1:26" s="61" customFormat="1" x14ac:dyDescent="0.25">
      <c r="A66" s="36"/>
      <c r="B66" s="36"/>
      <c r="C66" s="36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6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collapsed="1" x14ac:dyDescent="0.25">
      <c r="A67" s="10"/>
      <c r="B67" s="25" t="s">
        <v>0</v>
      </c>
      <c r="C67" s="10"/>
      <c r="D67" s="4">
        <f>SUM(OSRRefD25x_0)</f>
        <v>260</v>
      </c>
      <c r="E67" s="4"/>
      <c r="F67" s="12">
        <f t="shared" ref="F67:F68" si="52">IF(D$12=0,0,D67/D$12)</f>
        <v>8.6064217146640185E-3</v>
      </c>
      <c r="G67" s="4"/>
      <c r="H67" s="4">
        <f>SUM(OSRRefH25x_0)</f>
        <v>3000</v>
      </c>
      <c r="I67" s="4"/>
      <c r="J67" s="12">
        <f t="shared" ref="J67:J68" si="53">IF(H$12=0,0,H67/H$12)</f>
        <v>8.9549565684606425E-2</v>
      </c>
      <c r="K67" s="4"/>
      <c r="L67" s="4">
        <f t="shared" ref="L67:L68" si="54">+D67-H67</f>
        <v>-2740</v>
      </c>
      <c r="M67" s="4"/>
      <c r="N67" s="12">
        <f t="shared" ref="N67:N68" si="55">IF(H67=0,0,L67/H67)</f>
        <v>-0.91333333333333333</v>
      </c>
      <c r="O67" s="10"/>
      <c r="P67" s="4">
        <f>SUM(OSRRefP25x_0)</f>
        <v>750</v>
      </c>
      <c r="Q67" s="4"/>
      <c r="R67" s="12">
        <f t="shared" ref="R67:R68" si="56">IF(P$12=0,0,P67/P$12)</f>
        <v>6.3536707273682252E-3</v>
      </c>
      <c r="S67" s="4"/>
      <c r="T67" s="4">
        <f>SUM(OSRRefT25x_0)</f>
        <v>9000</v>
      </c>
      <c r="U67" s="4"/>
      <c r="V67" s="12">
        <f t="shared" ref="V67:V68" si="57">IF(T$12=0,0,T67/T$12)</f>
        <v>3.3888349185550011E-2</v>
      </c>
      <c r="W67" s="4"/>
      <c r="X67" s="4">
        <f t="shared" ref="X67:X68" si="58">+P67-T67</f>
        <v>-8250</v>
      </c>
      <c r="Y67" s="4"/>
      <c r="Z67" s="12">
        <f t="shared" ref="Z67:Z68" si="59">IF(T67=0,0,X67/T67)</f>
        <v>-0.91666666666666663</v>
      </c>
    </row>
    <row r="68" spans="1:26" s="24" customFormat="1" hidden="1" outlineLevel="1" x14ac:dyDescent="0.25">
      <c r="A68" s="51"/>
      <c r="B68" s="11" t="str">
        <f>CONCATENATE("          ", "9150", " - ", "MISC. INCOME")</f>
        <v xml:space="preserve">          9150 - MISC. INCOME</v>
      </c>
      <c r="C68" s="11"/>
      <c r="D68" s="2">
        <f>--260</f>
        <v>260</v>
      </c>
      <c r="E68" s="2"/>
      <c r="F68" s="22">
        <f t="shared" si="52"/>
        <v>8.6064217146640185E-3</v>
      </c>
      <c r="G68" s="2"/>
      <c r="H68" s="2">
        <v>3000</v>
      </c>
      <c r="I68" s="2"/>
      <c r="J68" s="22">
        <f t="shared" si="53"/>
        <v>8.9549565684606425E-2</v>
      </c>
      <c r="K68" s="2"/>
      <c r="L68" s="2">
        <f t="shared" si="54"/>
        <v>-2740</v>
      </c>
      <c r="M68" s="2"/>
      <c r="N68" s="22">
        <f t="shared" si="55"/>
        <v>-0.91333333333333333</v>
      </c>
      <c r="O68" s="11"/>
      <c r="P68" s="2">
        <f>--750</f>
        <v>750</v>
      </c>
      <c r="Q68" s="2"/>
      <c r="R68" s="22">
        <f t="shared" si="56"/>
        <v>6.3536707273682252E-3</v>
      </c>
      <c r="S68" s="2"/>
      <c r="T68" s="2">
        <v>9000</v>
      </c>
      <c r="U68" s="2"/>
      <c r="V68" s="22">
        <f t="shared" si="57"/>
        <v>3.3888349185550011E-2</v>
      </c>
      <c r="W68" s="2"/>
      <c r="X68" s="2">
        <f t="shared" si="58"/>
        <v>-8250</v>
      </c>
      <c r="Y68" s="2"/>
      <c r="Z68" s="22">
        <f t="shared" si="59"/>
        <v>-0.91666666666666663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6" t="s">
        <v>3</v>
      </c>
      <c r="C70" s="26"/>
      <c r="D70" s="20">
        <f>+D17-D19+D67</f>
        <v>4742.8300000000017</v>
      </c>
      <c r="E70" s="13"/>
      <c r="F70" s="21">
        <f>IF(D$12=0,0,D70/D$12)</f>
        <v>0.15699536577292292</v>
      </c>
      <c r="G70" s="13"/>
      <c r="H70" s="20">
        <f>+H17-H19+H67</f>
        <v>4961.0939663846148</v>
      </c>
      <c r="I70" s="13"/>
      <c r="J70" s="21">
        <f>IF(H$12=0,0,H70/H$12)</f>
        <v>0.14808793667008791</v>
      </c>
      <c r="K70" s="16"/>
      <c r="L70" s="20">
        <f>+D70-H70</f>
        <v>-218.26396638461301</v>
      </c>
      <c r="M70" s="16"/>
      <c r="N70" s="21">
        <f>IF(H70=0,0,L70/H70)</f>
        <v>-4.3995128466327429E-2</v>
      </c>
      <c r="O70" s="25"/>
      <c r="P70" s="20">
        <f>+P17-P19+P67</f>
        <v>14829.009999999995</v>
      </c>
      <c r="Q70" s="13"/>
      <c r="R70" s="21">
        <f>IF(P$12=0,0,P70/P$12)</f>
        <v>0.12562486233713419</v>
      </c>
      <c r="S70" s="13"/>
      <c r="T70" s="20">
        <f>+T17-T19+T67</f>
        <v>40776.294429500005</v>
      </c>
      <c r="U70" s="13"/>
      <c r="V70" s="21">
        <f>IF(T$12=0,0,T70/T$12)</f>
        <v>0.15353792267996599</v>
      </c>
      <c r="W70" s="16"/>
      <c r="X70" s="20">
        <f>+P70-T70</f>
        <v>-25947.28442950001</v>
      </c>
      <c r="Y70" s="16"/>
      <c r="Z70" s="21">
        <f>IF(T70=0,0,X70/T70)</f>
        <v>-0.63633257490725292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2"/>
      <c r="B72" s="10" t="s">
        <v>14</v>
      </c>
      <c r="C72" s="10"/>
      <c r="D72" s="4">
        <v>7038.6</v>
      </c>
      <c r="E72" s="4"/>
      <c r="F72" s="12">
        <f>IF(D$12=0,0,D72/D$12)</f>
        <v>0.23298907646474679</v>
      </c>
      <c r="G72" s="4"/>
      <c r="H72" s="4">
        <v>496</v>
      </c>
      <c r="I72" s="4"/>
      <c r="J72" s="12">
        <f>IF(H$12=0,0,H72/H$12)</f>
        <v>1.4805528193188262E-2</v>
      </c>
      <c r="K72" s="4"/>
      <c r="L72" s="4">
        <f>+D72-H72</f>
        <v>6542.6</v>
      </c>
      <c r="M72" s="4"/>
      <c r="N72" s="12">
        <f>IF(H72=0,0,L72/H72)</f>
        <v>13.190725806451614</v>
      </c>
      <c r="O72" s="10"/>
      <c r="P72" s="4">
        <v>21867.870000000003</v>
      </c>
      <c r="Q72" s="4"/>
      <c r="R72" s="12">
        <f>IF(P$12=0,0,P72/P$12)</f>
        <v>0.18525499398519174</v>
      </c>
      <c r="S72" s="4"/>
      <c r="T72" s="4">
        <v>38395</v>
      </c>
      <c r="U72" s="4"/>
      <c r="V72" s="12">
        <f>IF(T$12=0,0,T72/T$12)</f>
        <v>0.14457146299768805</v>
      </c>
      <c r="W72" s="4"/>
      <c r="X72" s="4">
        <f>+P72-T72</f>
        <v>-16527.129999999997</v>
      </c>
      <c r="Y72" s="4"/>
      <c r="Z72" s="12">
        <f>IF(T72=0,0,X72/T72)</f>
        <v>-0.4304500586013803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4</v>
      </c>
      <c r="C74" s="26"/>
      <c r="D74" s="33">
        <f>+D70-D72</f>
        <v>-2295.7699999999986</v>
      </c>
      <c r="E74" s="13"/>
      <c r="F74" s="34">
        <f>IF(D$12=0,0,D74/D$12)</f>
        <v>-7.5993710691823854E-2</v>
      </c>
      <c r="G74" s="13"/>
      <c r="H74" s="33">
        <f>+H70-H72</f>
        <v>4465.0939663846148</v>
      </c>
      <c r="I74" s="13"/>
      <c r="J74" s="34">
        <f>IF(H$12=0,0,H74/H$12)</f>
        <v>0.13328240847689965</v>
      </c>
      <c r="K74" s="16"/>
      <c r="L74" s="33">
        <f>D74-H74</f>
        <v>-6760.8639663846134</v>
      </c>
      <c r="M74" s="16"/>
      <c r="N74" s="34">
        <f>IF(H74=0,0,L74/H74)</f>
        <v>-1.5141593922286216</v>
      </c>
      <c r="O74" s="25"/>
      <c r="P74" s="33">
        <f>+P70-P72</f>
        <v>-7038.8600000000079</v>
      </c>
      <c r="Q74" s="13"/>
      <c r="R74" s="34">
        <f>IF(P$12=0,0,P74/P$12)</f>
        <v>-5.9630131648057541E-2</v>
      </c>
      <c r="S74" s="13"/>
      <c r="T74" s="33">
        <f>+T70-T72</f>
        <v>2381.2944295000052</v>
      </c>
      <c r="U74" s="13"/>
      <c r="V74" s="34">
        <f>IF(T$12=0,0,T74/T$12)</f>
        <v>8.9664596822779195E-3</v>
      </c>
      <c r="W74" s="16"/>
      <c r="X74" s="33">
        <f>P74-T74</f>
        <v>-9420.1544295000131</v>
      </c>
      <c r="Y74" s="16"/>
      <c r="Z74" s="34">
        <f>IF(T74=0,0,X74/T74)</f>
        <v>-3.9558965547481422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5</v>
      </c>
      <c r="C77" s="26"/>
      <c r="D77" s="31">
        <f>SUM(D74:D76)</f>
        <v>-2295.7699999999986</v>
      </c>
      <c r="E77" s="13"/>
      <c r="F77" s="32">
        <f>IF(D$12=0,0,D77/D$12)</f>
        <v>-7.5993710691823854E-2</v>
      </c>
      <c r="G77" s="13"/>
      <c r="H77" s="31">
        <f>SUM(H74:H76)</f>
        <v>4465.0939663846148</v>
      </c>
      <c r="I77" s="13"/>
      <c r="J77" s="32">
        <f>IF(H$12=0,0,H77/H$12)</f>
        <v>0.13328240847689965</v>
      </c>
      <c r="K77" s="16"/>
      <c r="L77" s="31">
        <f>+D77-H77</f>
        <v>-6760.8639663846134</v>
      </c>
      <c r="M77" s="16"/>
      <c r="N77" s="32">
        <f>IF(H77=0,0,L77/H77)</f>
        <v>-1.5141593922286216</v>
      </c>
      <c r="O77" s="25"/>
      <c r="P77" s="31">
        <f>SUM(P74:P76)</f>
        <v>-7038.8600000000079</v>
      </c>
      <c r="Q77" s="13"/>
      <c r="R77" s="32">
        <f>IF(P$12=0,0,P77/P$12)</f>
        <v>-5.9630131648057541E-2</v>
      </c>
      <c r="S77" s="13"/>
      <c r="T77" s="31">
        <f>SUM(T74:T76)</f>
        <v>2381.2944295000052</v>
      </c>
      <c r="U77" s="13"/>
      <c r="V77" s="32">
        <f>IF(T$12=0,0,T77/T$12)</f>
        <v>8.9664596822779195E-3</v>
      </c>
      <c r="W77" s="16"/>
      <c r="X77" s="31">
        <f>+P77-T77</f>
        <v>-9420.1544295000131</v>
      </c>
      <c r="Y77" s="16"/>
      <c r="Z77" s="32">
        <f>IF(T77=0,0,X77/T77)</f>
        <v>-3.9558965547481422</v>
      </c>
    </row>
    <row r="78" spans="1:26" ht="15.75" thickTop="1" x14ac:dyDescent="0.25">
      <c r="A78" s="9"/>
      <c r="C78" s="9"/>
      <c r="D78" s="17"/>
      <c r="E78" s="17"/>
      <c r="G78" s="17"/>
      <c r="H78" s="17"/>
      <c r="I78" s="17"/>
      <c r="J78" s="43"/>
      <c r="K78" s="17"/>
      <c r="L78" s="17"/>
      <c r="M78" s="17"/>
      <c r="P78" s="17"/>
      <c r="Q78" s="17"/>
      <c r="R78" s="43"/>
      <c r="S78" s="17"/>
      <c r="T78" s="17"/>
      <c r="U78" s="17"/>
      <c r="V78" s="43"/>
      <c r="W78" s="17"/>
      <c r="X78" s="17"/>
    </row>
    <row r="79" spans="1:26" x14ac:dyDescent="0.25">
      <c r="A79" s="9"/>
      <c r="B79" s="55">
        <v>44123.572604085646</v>
      </c>
      <c r="D79" s="17"/>
      <c r="E79" s="17"/>
      <c r="G79" s="17"/>
      <c r="H79" s="17"/>
      <c r="I79" s="17"/>
      <c r="J79" s="43"/>
      <c r="K79" s="17"/>
      <c r="L79" s="17"/>
      <c r="M79" s="17"/>
      <c r="P79" s="17"/>
      <c r="Q79" s="17"/>
      <c r="R79" s="43"/>
      <c r="S79" s="17"/>
      <c r="T79" s="17"/>
      <c r="U79" s="17"/>
      <c r="V79" s="43"/>
      <c r="W79" s="17"/>
      <c r="X79" s="17"/>
    </row>
    <row r="80" spans="1:26" x14ac:dyDescent="0.25">
      <c r="A80" s="9"/>
      <c r="B80" s="53" t="s">
        <v>314</v>
      </c>
      <c r="D80" s="17"/>
      <c r="E80" s="17"/>
      <c r="G80" s="17"/>
      <c r="H80" s="17"/>
      <c r="I80" s="17"/>
      <c r="J80" s="43"/>
      <c r="K80" s="17"/>
      <c r="L80" s="17"/>
      <c r="M80" s="17"/>
      <c r="P80" s="17"/>
      <c r="Q80" s="17"/>
      <c r="R80" s="43"/>
      <c r="S80" s="17"/>
      <c r="T80" s="17"/>
      <c r="U80" s="17"/>
      <c r="V80" s="43"/>
      <c r="W80" s="17"/>
      <c r="X80" s="17"/>
    </row>
    <row r="81" spans="1:24" x14ac:dyDescent="0.25">
      <c r="A81" s="9"/>
      <c r="B81" s="62"/>
      <c r="D81" s="17"/>
      <c r="E81" s="17"/>
      <c r="G81" s="17"/>
      <c r="H81" s="17"/>
      <c r="I81" s="17"/>
      <c r="J81" s="43"/>
      <c r="K81" s="17"/>
      <c r="L81" s="17"/>
      <c r="M81" s="17"/>
      <c r="P81" s="17"/>
      <c r="Q81" s="17"/>
      <c r="R81" s="43"/>
      <c r="S81" s="17"/>
      <c r="T81" s="17"/>
      <c r="U81" s="17"/>
      <c r="V81" s="43"/>
      <c r="W81" s="17"/>
      <c r="X81" s="17"/>
    </row>
    <row r="82" spans="1:24" x14ac:dyDescent="0.25">
      <c r="D82" s="17"/>
      <c r="E82" s="17"/>
      <c r="G82" s="17"/>
      <c r="H82" s="17"/>
      <c r="I82" s="17"/>
      <c r="J82" s="43"/>
      <c r="K82" s="17"/>
      <c r="L82" s="17"/>
      <c r="M82" s="17"/>
      <c r="P82" s="17"/>
      <c r="Q82" s="17"/>
      <c r="R82" s="43"/>
      <c r="S82" s="17"/>
      <c r="T82" s="17"/>
      <c r="U82" s="17"/>
      <c r="V82" s="43"/>
      <c r="W82" s="17"/>
      <c r="X82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8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8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59" t="s">
        <v>13</v>
      </c>
    </row>
    <row r="3" spans="1:26" x14ac:dyDescent="0.25">
      <c r="D3" s="59" t="s">
        <v>296</v>
      </c>
      <c r="E3" s="18"/>
      <c r="F3" s="44"/>
      <c r="G3" s="18"/>
      <c r="H3" s="18"/>
      <c r="I3" s="18"/>
      <c r="J3" s="40"/>
      <c r="K3" s="18"/>
      <c r="L3" s="18"/>
      <c r="M3" s="18"/>
      <c r="N3" s="44"/>
      <c r="O3" s="63"/>
      <c r="P3" s="18"/>
      <c r="Q3" s="18"/>
      <c r="R3" s="40"/>
      <c r="S3" s="18"/>
      <c r="T3" s="18"/>
      <c r="U3" s="18"/>
      <c r="V3" s="40"/>
      <c r="W3" s="18"/>
      <c r="X3" s="18"/>
      <c r="Y3" s="18"/>
      <c r="Z3" s="40"/>
    </row>
    <row r="4" spans="1:26" x14ac:dyDescent="0.25">
      <c r="D4" s="59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40"/>
      <c r="K4" s="18"/>
      <c r="L4" s="18"/>
      <c r="M4" s="18"/>
      <c r="N4" s="44"/>
      <c r="O4" s="63"/>
      <c r="P4" s="18"/>
      <c r="Q4" s="18"/>
      <c r="R4" s="40"/>
      <c r="S4" s="18"/>
      <c r="T4" s="18"/>
      <c r="U4" s="18"/>
      <c r="V4" s="40"/>
      <c r="W4" s="18"/>
      <c r="X4" s="18"/>
      <c r="Y4" s="18"/>
      <c r="Z4" s="40"/>
    </row>
    <row r="5" spans="1:26" x14ac:dyDescent="0.25">
      <c r="A5" s="23"/>
      <c r="D5" s="65" t="e">
        <f ca="1">_xll.OneStop.ReportPlayer.OSRFunctions.OSRGet("Period","PeriodEnd")</f>
        <v>#NAME?</v>
      </c>
      <c r="E5" s="18"/>
      <c r="F5" s="44"/>
      <c r="G5" s="18"/>
      <c r="H5" s="18"/>
      <c r="I5" s="18"/>
      <c r="J5" s="40"/>
      <c r="K5" s="18"/>
      <c r="L5" s="18"/>
      <c r="M5" s="18"/>
      <c r="N5" s="44"/>
      <c r="O5" s="63"/>
      <c r="P5" s="18"/>
      <c r="Q5" s="18"/>
      <c r="R5" s="40"/>
      <c r="S5" s="18"/>
      <c r="T5" s="18"/>
      <c r="U5" s="18"/>
      <c r="V5" s="40"/>
      <c r="W5" s="18"/>
      <c r="X5" s="18"/>
      <c r="Y5" s="18"/>
      <c r="Z5" s="40"/>
    </row>
    <row r="6" spans="1:26" x14ac:dyDescent="0.25">
      <c r="A6" s="23"/>
      <c r="B6" s="47"/>
      <c r="C6" s="47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4"/>
      <c r="G6" s="18"/>
      <c r="H6" s="18"/>
      <c r="I6" s="18"/>
      <c r="J6" s="40"/>
      <c r="K6" s="18"/>
      <c r="L6" s="18"/>
      <c r="M6" s="18"/>
      <c r="N6" s="44"/>
      <c r="O6" s="57"/>
      <c r="P6" s="18"/>
      <c r="Q6" s="18"/>
      <c r="R6" s="40"/>
      <c r="S6" s="18"/>
      <c r="T6" s="18"/>
      <c r="U6" s="18"/>
      <c r="V6" s="40"/>
      <c r="W6" s="18"/>
      <c r="X6" s="18"/>
      <c r="Y6" s="18"/>
      <c r="Z6" s="40"/>
    </row>
    <row r="7" spans="1:26" x14ac:dyDescent="0.25">
      <c r="B7" s="60"/>
    </row>
    <row r="8" spans="1:26" x14ac:dyDescent="0.25">
      <c r="B8" s="60"/>
    </row>
    <row r="9" spans="1:26" x14ac:dyDescent="0.25">
      <c r="B9" s="9"/>
      <c r="C9" s="9"/>
      <c r="D9" s="15" t="s">
        <v>294</v>
      </c>
      <c r="E9" s="15"/>
      <c r="F9" s="37"/>
      <c r="G9" s="15"/>
      <c r="H9" s="15"/>
      <c r="I9" s="15"/>
      <c r="J9" s="46"/>
      <c r="K9" s="15"/>
      <c r="L9" s="15"/>
      <c r="M9" s="15"/>
      <c r="N9" s="37"/>
      <c r="P9" s="15" t="s">
        <v>295</v>
      </c>
      <c r="Q9" s="15"/>
      <c r="R9" s="37"/>
      <c r="S9" s="15"/>
      <c r="T9" s="15"/>
      <c r="U9" s="15"/>
      <c r="V9" s="46"/>
      <c r="W9" s="15"/>
      <c r="X9" s="15"/>
      <c r="Y9" s="15"/>
      <c r="Z9" s="37"/>
    </row>
    <row r="10" spans="1:26" x14ac:dyDescent="0.25">
      <c r="A10" s="10"/>
      <c r="B10" s="56"/>
      <c r="C10" s="10"/>
      <c r="D10" s="42" t="s">
        <v>10</v>
      </c>
      <c r="E10" s="30"/>
      <c r="F10" s="39" t="s">
        <v>15</v>
      </c>
      <c r="G10" s="30"/>
      <c r="H10" s="49" t="s">
        <v>11</v>
      </c>
      <c r="I10" s="30"/>
      <c r="J10" s="45" t="s">
        <v>16</v>
      </c>
      <c r="K10" s="10"/>
      <c r="L10" s="42" t="s">
        <v>12</v>
      </c>
      <c r="M10" s="10"/>
      <c r="N10" s="39" t="s">
        <v>17</v>
      </c>
      <c r="O10" s="10"/>
      <c r="P10" s="58" t="s">
        <v>10</v>
      </c>
      <c r="Q10" s="30"/>
      <c r="R10" s="39" t="s">
        <v>15</v>
      </c>
      <c r="S10" s="30"/>
      <c r="T10" s="49" t="s">
        <v>11</v>
      </c>
      <c r="U10" s="30"/>
      <c r="V10" s="45" t="s">
        <v>16</v>
      </c>
      <c r="W10" s="10"/>
      <c r="X10" s="42" t="s">
        <v>12</v>
      </c>
      <c r="Y10" s="10"/>
      <c r="Z10" s="39" t="s">
        <v>17</v>
      </c>
    </row>
    <row r="11" spans="1:26" ht="15.75" x14ac:dyDescent="0.25">
      <c r="A11" s="9"/>
      <c r="B11" s="54"/>
      <c r="C11" s="9"/>
      <c r="D11" s="9"/>
      <c r="E11" s="9"/>
      <c r="F11" s="8"/>
      <c r="G11" s="9"/>
      <c r="H11" s="9"/>
      <c r="I11" s="9"/>
      <c r="J11" s="50"/>
      <c r="K11" s="9"/>
      <c r="L11" s="9"/>
      <c r="M11" s="9"/>
      <c r="N11" s="8"/>
      <c r="P11" s="9"/>
      <c r="Q11" s="9"/>
      <c r="R11" s="8"/>
      <c r="S11" s="9"/>
      <c r="T11" s="9"/>
      <c r="U11" s="9"/>
      <c r="V11" s="50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51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22"/>
      <c r="G13" s="2"/>
      <c r="H13" s="2" t="e">
        <f ca="1">_xll.OneStop.ReportPlayer.OSRFunctions.OSRGet("GL_F_Trans","Value1")</f>
        <v>#NAME?</v>
      </c>
      <c r="I13" s="2"/>
      <c r="J13" s="22"/>
      <c r="K13" s="2"/>
      <c r="L13" s="2" t="e">
        <f t="shared" ca="1" si="0"/>
        <v>#NAME?</v>
      </c>
      <c r="M13" s="2"/>
      <c r="N13" s="22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22"/>
      <c r="S13" s="2"/>
      <c r="T13" s="2" t="e">
        <f ca="1">_xll.OneStop.ReportPlayer.OSRFunctions.OSRGet("GL_F_Trans","Value1")</f>
        <v>#NAME?</v>
      </c>
      <c r="U13" s="2"/>
      <c r="V13" s="22"/>
      <c r="W13" s="2"/>
      <c r="X13" s="2" t="e">
        <f t="shared" ca="1" si="2"/>
        <v>#NAME?</v>
      </c>
      <c r="Y13" s="2"/>
      <c r="Z13" s="22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51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22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22" t="e">
        <f t="shared" ca="1" si="5"/>
        <v>#NAME?</v>
      </c>
      <c r="K16" s="2"/>
      <c r="L16" s="2" t="e">
        <f t="shared" ca="1" si="6"/>
        <v>#NAME?</v>
      </c>
      <c r="M16" s="2"/>
      <c r="N16" s="22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22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22" t="e">
        <f t="shared" ca="1" si="9"/>
        <v>#NAME?</v>
      </c>
      <c r="W16" s="2"/>
      <c r="X16" s="2" t="e">
        <f t="shared" ca="1" si="10"/>
        <v>#NAME?</v>
      </c>
      <c r="Y16" s="2"/>
      <c r="Z16" s="22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0" t="e">
        <f ca="1">D12-D15</f>
        <v>#NAME?</v>
      </c>
      <c r="E18" s="13"/>
      <c r="F18" s="21" t="e">
        <f ca="1">IF(D$12=0,0,D18/D$12)</f>
        <v>#NAME?</v>
      </c>
      <c r="G18" s="13"/>
      <c r="H18" s="20" t="e">
        <f ca="1">H12-H15</f>
        <v>#NAME?</v>
      </c>
      <c r="I18" s="13"/>
      <c r="J18" s="21" t="e">
        <f ca="1">IF(H$12=0,0,H18/H$12)</f>
        <v>#NAME?</v>
      </c>
      <c r="K18" s="16"/>
      <c r="L18" s="20" t="e">
        <f ca="1">+D18-H18</f>
        <v>#NAME?</v>
      </c>
      <c r="M18" s="16"/>
      <c r="N18" s="21" t="e">
        <f ca="1">IF(H18=0,0,L18/H18)</f>
        <v>#NAME?</v>
      </c>
      <c r="O18" s="25"/>
      <c r="P18" s="20" t="e">
        <f ca="1">P12-P15</f>
        <v>#NAME?</v>
      </c>
      <c r="Q18" s="13"/>
      <c r="R18" s="21" t="e">
        <f ca="1">IF(P$12=0,0,P18/P$12)</f>
        <v>#NAME?</v>
      </c>
      <c r="S18" s="13"/>
      <c r="T18" s="20" t="e">
        <f ca="1">T12-T15</f>
        <v>#NAME?</v>
      </c>
      <c r="U18" s="13"/>
      <c r="V18" s="21" t="e">
        <f ca="1">IF(T$12=0,0,T18/T$12)</f>
        <v>#NAME?</v>
      </c>
      <c r="W18" s="16"/>
      <c r="X18" s="20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6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19" t="e">
        <f ca="1">SUM(_xll.OneStop.ReportPlayer.OSRFunctions.OSRRef(D22))</f>
        <v>#NAME?</v>
      </c>
      <c r="E20" s="19"/>
      <c r="F20" s="35" t="e">
        <f t="shared" ref="F20:F22" ca="1" si="12">IF(D$12=0,0,D20/D$12)</f>
        <v>#NAME?</v>
      </c>
      <c r="G20" s="19"/>
      <c r="H20" s="19" t="e">
        <f ca="1">SUM(_xll.OneStop.ReportPlayer.OSRFunctions.OSRRef(H22))</f>
        <v>#NAME?</v>
      </c>
      <c r="I20" s="19"/>
      <c r="J20" s="35" t="e">
        <f t="shared" ref="J20:J22" ca="1" si="13">IF(H$12=0,0,H20/H$12)</f>
        <v>#NAME?</v>
      </c>
      <c r="K20" s="4"/>
      <c r="L20" s="19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19" t="e">
        <f ca="1">SUM(_xll.OneStop.ReportPlayer.OSRFunctions.OSRRef(P22))</f>
        <v>#NAME?</v>
      </c>
      <c r="Q20" s="19"/>
      <c r="R20" s="35" t="e">
        <f t="shared" ref="R20:R22" ca="1" si="16">IF(P$12=0,0,P20/P$12)</f>
        <v>#NAME?</v>
      </c>
      <c r="S20" s="19"/>
      <c r="T20" s="19" t="e">
        <f ca="1">SUM(_xll.OneStop.ReportPlayer.OSRFunctions.OSRRef(T22))</f>
        <v>#NAME?</v>
      </c>
      <c r="U20" s="19"/>
      <c r="V20" s="35" t="e">
        <f t="shared" ref="V20:V22" ca="1" si="17">IF(T$12=0,0,T20/T$12)</f>
        <v>#NAME?</v>
      </c>
      <c r="W20" s="4"/>
      <c r="X20" s="19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1" customFormat="1" x14ac:dyDescent="0.25">
      <c r="A23" s="36"/>
      <c r="B23" s="36"/>
      <c r="C23" s="36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6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51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22" t="e">
        <f t="shared" ca="1" si="20"/>
        <v>#NAME?</v>
      </c>
      <c r="G25" s="2"/>
      <c r="H25" s="2" t="e">
        <f ca="1">_xll.OneStop.ReportPlayer.OSRFunctions.OSRGet("GL_F_Trans","Value1")</f>
        <v>#NAME?</v>
      </c>
      <c r="I25" s="2"/>
      <c r="J25" s="22" t="e">
        <f t="shared" ca="1" si="21"/>
        <v>#NAME?</v>
      </c>
      <c r="K25" s="2"/>
      <c r="L25" s="2" t="e">
        <f t="shared" ca="1" si="22"/>
        <v>#NAME?</v>
      </c>
      <c r="M25" s="2"/>
      <c r="N25" s="22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22" t="e">
        <f t="shared" ca="1" si="24"/>
        <v>#NAME?</v>
      </c>
      <c r="S25" s="2"/>
      <c r="T25" s="2" t="e">
        <f ca="1">_xll.OneStop.ReportPlayer.OSRFunctions.OSRGet("GL_F_Trans","Value1")</f>
        <v>#NAME?</v>
      </c>
      <c r="U25" s="2"/>
      <c r="V25" s="22" t="e">
        <f t="shared" ca="1" si="25"/>
        <v>#NAME?</v>
      </c>
      <c r="W25" s="2"/>
      <c r="X25" s="2" t="e">
        <f t="shared" ca="1" si="26"/>
        <v>#NAME?</v>
      </c>
      <c r="Y25" s="2"/>
      <c r="Z25" s="22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0" t="e">
        <f ca="1">+D18-D20+D24</f>
        <v>#NAME?</v>
      </c>
      <c r="E27" s="13"/>
      <c r="F27" s="21" t="e">
        <f ca="1">IF(D$12=0,0,D27/D$12)</f>
        <v>#NAME?</v>
      </c>
      <c r="G27" s="13"/>
      <c r="H27" s="20" t="e">
        <f ca="1">+H18-H20+H24</f>
        <v>#NAME?</v>
      </c>
      <c r="I27" s="13"/>
      <c r="J27" s="21" t="e">
        <f ca="1">IF(H$12=0,0,H27/H$12)</f>
        <v>#NAME?</v>
      </c>
      <c r="K27" s="16"/>
      <c r="L27" s="20" t="e">
        <f ca="1">+D27-H27</f>
        <v>#NAME?</v>
      </c>
      <c r="M27" s="16"/>
      <c r="N27" s="21" t="e">
        <f ca="1">IF(H27=0,0,L27/H27)</f>
        <v>#NAME?</v>
      </c>
      <c r="O27" s="25"/>
      <c r="P27" s="20" t="e">
        <f ca="1">+P18-P20+P24</f>
        <v>#NAME?</v>
      </c>
      <c r="Q27" s="13"/>
      <c r="R27" s="21" t="e">
        <f ca="1">IF(P$12=0,0,P27/P$12)</f>
        <v>#NAME?</v>
      </c>
      <c r="S27" s="13"/>
      <c r="T27" s="20" t="e">
        <f ca="1">+T18-T20+T24</f>
        <v>#NAME?</v>
      </c>
      <c r="U27" s="13"/>
      <c r="V27" s="21" t="e">
        <f ca="1">IF(T$12=0,0,T27/T$12)</f>
        <v>#NAME?</v>
      </c>
      <c r="W27" s="16"/>
      <c r="X27" s="20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2"/>
      <c r="B29" s="10" t="s">
        <v>14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3" t="e">
        <f ca="1">+D27-D29</f>
        <v>#NAME?</v>
      </c>
      <c r="E31" s="13"/>
      <c r="F31" s="34" t="e">
        <f ca="1">IF(D$12=0,0,D31/D$12)</f>
        <v>#NAME?</v>
      </c>
      <c r="G31" s="13"/>
      <c r="H31" s="33" t="e">
        <f ca="1">+H27-H29</f>
        <v>#NAME?</v>
      </c>
      <c r="I31" s="13"/>
      <c r="J31" s="34" t="e">
        <f ca="1">IF(H$12=0,0,H31/H$12)</f>
        <v>#NAME?</v>
      </c>
      <c r="K31" s="16"/>
      <c r="L31" s="33" t="e">
        <f ca="1">D31-H31</f>
        <v>#NAME?</v>
      </c>
      <c r="M31" s="16"/>
      <c r="N31" s="34" t="e">
        <f ca="1">IF(H31=0,0,L31/H31)</f>
        <v>#NAME?</v>
      </c>
      <c r="O31" s="25"/>
      <c r="P31" s="33" t="e">
        <f ca="1">+P27-P29</f>
        <v>#NAME?</v>
      </c>
      <c r="Q31" s="13"/>
      <c r="R31" s="34" t="e">
        <f ca="1">IF(P$12=0,0,P31/P$12)</f>
        <v>#NAME?</v>
      </c>
      <c r="S31" s="13"/>
      <c r="T31" s="33" t="e">
        <f ca="1">+T27-T29</f>
        <v>#NAME?</v>
      </c>
      <c r="U31" s="13"/>
      <c r="V31" s="34" t="e">
        <f ca="1">IF(T$12=0,0,T31/T$12)</f>
        <v>#NAME?</v>
      </c>
      <c r="W31" s="16"/>
      <c r="X31" s="33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2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2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1" t="e">
        <f ca="1">SUM(D31:D35)</f>
        <v>#NAME?</v>
      </c>
      <c r="E36" s="13"/>
      <c r="F36" s="32" t="e">
        <f ca="1">IF(D$12=0,0,D36/D$12)</f>
        <v>#NAME?</v>
      </c>
      <c r="G36" s="13"/>
      <c r="H36" s="31" t="e">
        <f ca="1">SUM(H31:H35)</f>
        <v>#NAME?</v>
      </c>
      <c r="I36" s="13"/>
      <c r="J36" s="32" t="e">
        <f ca="1">IF(H$12=0,0,H36/H$12)</f>
        <v>#NAME?</v>
      </c>
      <c r="K36" s="16"/>
      <c r="L36" s="31" t="e">
        <f ca="1">+D36-H36</f>
        <v>#NAME?</v>
      </c>
      <c r="M36" s="16"/>
      <c r="N36" s="32" t="e">
        <f ca="1">IF(H36=0,0,L36/H36)</f>
        <v>#NAME?</v>
      </c>
      <c r="O36" s="25"/>
      <c r="P36" s="31" t="e">
        <f ca="1">SUM(P31:P35)</f>
        <v>#NAME?</v>
      </c>
      <c r="Q36" s="13"/>
      <c r="R36" s="32" t="e">
        <f ca="1">IF(P$12=0,0,P36/P$12)</f>
        <v>#NAME?</v>
      </c>
      <c r="S36" s="13"/>
      <c r="T36" s="31" t="e">
        <f ca="1">SUM(T31:T35)</f>
        <v>#NAME?</v>
      </c>
      <c r="U36" s="13"/>
      <c r="V36" s="32" t="e">
        <f ca="1">IF(T$12=0,0,T36/T$12)</f>
        <v>#NAME?</v>
      </c>
      <c r="W36" s="16"/>
      <c r="X36" s="31" t="e">
        <f ca="1">+P36-T36</f>
        <v>#NAME?</v>
      </c>
      <c r="Y36" s="16"/>
      <c r="Z36" s="32" t="e">
        <f ca="1">IF(T36=0,0,X36/T36)</f>
        <v>#NAME?</v>
      </c>
    </row>
    <row r="37" spans="1:26" ht="15.75" thickTop="1" x14ac:dyDescent="0.25">
      <c r="A37" s="9"/>
      <c r="C37" s="9"/>
      <c r="D37" s="17"/>
      <c r="E37" s="17"/>
      <c r="G37" s="17"/>
      <c r="H37" s="17"/>
      <c r="I37" s="17"/>
      <c r="J37" s="43"/>
      <c r="K37" s="17"/>
      <c r="L37" s="17"/>
      <c r="M37" s="17"/>
      <c r="P37" s="17"/>
      <c r="Q37" s="17"/>
      <c r="R37" s="43"/>
      <c r="S37" s="17"/>
      <c r="T37" s="17"/>
      <c r="U37" s="17"/>
      <c r="V37" s="43"/>
      <c r="W37" s="17"/>
      <c r="X37" s="17"/>
    </row>
    <row r="38" spans="1:26" x14ac:dyDescent="0.25">
      <c r="A38" s="9"/>
      <c r="B38" s="55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3"/>
      <c r="K38" s="17"/>
      <c r="L38" s="17"/>
      <c r="M38" s="17"/>
      <c r="P38" s="17"/>
      <c r="Q38" s="17"/>
      <c r="R38" s="43"/>
      <c r="S38" s="17"/>
      <c r="T38" s="17"/>
      <c r="U38" s="17"/>
      <c r="V38" s="43"/>
      <c r="W38" s="17"/>
      <c r="X38" s="17"/>
    </row>
    <row r="39" spans="1:26" x14ac:dyDescent="0.25">
      <c r="A39" s="9"/>
      <c r="B39" s="53" t="e">
        <f ca="1">_xll.OneStop.ReportPlayer.OSRFunctions.OSRGet("User","UserId")</f>
        <v>#NAME?</v>
      </c>
      <c r="D39" s="17"/>
      <c r="E39" s="17"/>
      <c r="G39" s="17"/>
      <c r="H39" s="17"/>
      <c r="I39" s="17"/>
      <c r="J39" s="43"/>
      <c r="K39" s="17"/>
      <c r="L39" s="17"/>
      <c r="M39" s="17"/>
      <c r="P39" s="17"/>
      <c r="Q39" s="17"/>
      <c r="R39" s="43"/>
      <c r="S39" s="17"/>
      <c r="T39" s="17"/>
      <c r="U39" s="17"/>
      <c r="V39" s="43"/>
      <c r="W39" s="17"/>
      <c r="X39" s="17"/>
    </row>
    <row r="40" spans="1:26" x14ac:dyDescent="0.25">
      <c r="A40" s="9"/>
      <c r="B40" s="62"/>
      <c r="D40" s="17"/>
      <c r="E40" s="17"/>
      <c r="G40" s="17"/>
      <c r="H40" s="17"/>
      <c r="I40" s="17"/>
      <c r="J40" s="43"/>
      <c r="K40" s="17"/>
      <c r="L40" s="17"/>
      <c r="M40" s="17"/>
      <c r="P40" s="17"/>
      <c r="Q40" s="17"/>
      <c r="R40" s="43"/>
      <c r="S40" s="17"/>
      <c r="T40" s="17"/>
      <c r="U40" s="17"/>
      <c r="V40" s="43"/>
      <c r="W40" s="17"/>
      <c r="X40" s="17"/>
    </row>
    <row r="41" spans="1:26" x14ac:dyDescent="0.25">
      <c r="D41" s="17"/>
      <c r="E41" s="17"/>
      <c r="G41" s="17"/>
      <c r="H41" s="17"/>
      <c r="I41" s="17"/>
      <c r="J41" s="43"/>
      <c r="K41" s="17"/>
      <c r="L41" s="17"/>
      <c r="M41" s="17"/>
      <c r="P41" s="17"/>
      <c r="Q41" s="17"/>
      <c r="R41" s="43"/>
      <c r="S41" s="17"/>
      <c r="T41" s="17"/>
      <c r="U41" s="17"/>
      <c r="V41" s="43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99</vt:i4>
      </vt:variant>
      <vt:variant>
        <vt:lpstr>Named Ranges</vt:lpstr>
      </vt:variant>
      <vt:variant>
        <vt:i4>3838</vt:i4>
      </vt:variant>
    </vt:vector>
  </HeadingPairs>
  <TitlesOfParts>
    <vt:vector size="3937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408</vt:lpstr>
      <vt:lpstr>409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'201'!OSRRefD13x_0</vt:lpstr>
      <vt:lpstr>'202'!OSRRefD13x_0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'412'!OSRRefD13x_0</vt:lpstr>
      <vt:lpstr>'413'!OSRRefD13x_0</vt:lpstr>
      <vt:lpstr>'414'!OSRRefD13x_0</vt:lpstr>
      <vt:lpstr>'415'!OSRRefD13x_0</vt:lpstr>
      <vt:lpstr>'418'!OSRRefD13x_0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2'!OSRRefD13x_0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'405'!OSRRefD16x_0</vt:lpstr>
      <vt:lpstr>'412'!OSRRefD16x_0</vt:lpstr>
      <vt:lpstr>'413'!OSRRefD16x_0</vt:lpstr>
      <vt:lpstr>'414'!OSRRefD16x_0</vt:lpstr>
      <vt:lpstr>'415'!OSRRefD16x_0</vt:lpstr>
      <vt:lpstr>'418'!OSRRefD16x_0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'324'!OSRRefD22_0x_0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'317'!OSRRefD22_11x_0</vt:lpstr>
      <vt:lpstr>'321'!OSRRefD22_11x_0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'412'!OSRRefD22_11x_0</vt:lpstr>
      <vt:lpstr>'413'!OSRRefD22_11x_0</vt:lpstr>
      <vt:lpstr>'414'!OSRRefD22_11x_0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'Div 6'!OSRRefD22_11x_0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'321'!OSRRefD22_12x_0</vt:lpstr>
      <vt:lpstr>'325'!OSRRefD22_12x_0</vt:lpstr>
      <vt:lpstr>'326'!OSRRefD22_12x_0</vt:lpstr>
      <vt:lpstr>'330'!OSRRefD22_12x_0</vt:lpstr>
      <vt:lpstr>'331'!OSRRefD22_12x_0</vt:lpstr>
      <vt:lpstr>'405'!OSRRefD22_12x_0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'321'!OSRRefD22_13x_0</vt:lpstr>
      <vt:lpstr>'325'!OSRRefD22_13x_0</vt:lpstr>
      <vt:lpstr>'326'!OSRRefD22_13x_0</vt:lpstr>
      <vt:lpstr>'330'!OSRRefD22_13x_0</vt:lpstr>
      <vt:lpstr>'331'!OSRRefD22_13x_0</vt:lpstr>
      <vt:lpstr>'405'!OSRRefD22_13x_0</vt:lpstr>
      <vt:lpstr>'411'!OSRRefD22_13x_0</vt:lpstr>
      <vt:lpstr>'412'!OSRRefD22_13x_0</vt:lpstr>
      <vt:lpstr>'414'!OSRRefD22_13x_0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'201'!OSRRefD22_14x_0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'405'!OSRRefD22_14x_0</vt:lpstr>
      <vt:lpstr>'414'!OSRRefD22_14x_0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'326'!OSRRefD22_15x_0</vt:lpstr>
      <vt:lpstr>'331'!OSRRefD22_15x_0</vt:lpstr>
      <vt:lpstr>'405'!OSRRefD22_15x_0</vt:lpstr>
      <vt:lpstr>'414'!OSRRefD22_15x_0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'326'!OSRRefD22_16x_0</vt:lpstr>
      <vt:lpstr>'331'!OSRRefD22_16x_0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'326'!OSRRefD22_17x_0</vt:lpstr>
      <vt:lpstr>'331'!OSRRefD22_17x_0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'326'!OSRRefD22_18x_0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'326'!OSRRefD22_19x_0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'324'!OSRRefD22_1x_0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'326'!OSRRefD22_20x_0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'310 &amp; 491'!OSRRefD22_21x_0</vt:lpstr>
      <vt:lpstr>'331'!OSRRefD22_21x_0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'331'!OSRRefD22_22x_0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'423'!OSRRefD22_6x_0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'206'!OSRRefD22_8x_0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'206'!OSRRefD22_9x_0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'324'!OSRRefD22x_0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'202'!OSRRefD25x_0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'411'!OSRRefD25x_0</vt:lpstr>
      <vt:lpstr>'418'!OSRRefD25x_0</vt:lpstr>
      <vt:lpstr>'423'!OSRRefD25x_0</vt:lpstr>
      <vt:lpstr>'455'!OSRRefD25x_0</vt:lpstr>
      <vt:lpstr>'491'!OSRRefD25x_0</vt:lpstr>
      <vt:lpstr>'501'!OSRRefD25x_0</vt:lpstr>
      <vt:lpstr>'Div 2'!OSRRefD25x_0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'201'!OSRRefH13x_0</vt:lpstr>
      <vt:lpstr>'202'!OSRRefH13x_0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'412'!OSRRefH13x_0</vt:lpstr>
      <vt:lpstr>'413'!OSRRefH13x_0</vt:lpstr>
      <vt:lpstr>'414'!OSRRefH13x_0</vt:lpstr>
      <vt:lpstr>'415'!OSRRefH13x_0</vt:lpstr>
      <vt:lpstr>'418'!OSRRefH13x_0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2'!OSRRefH13x_0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'405'!OSRRefH16x_0</vt:lpstr>
      <vt:lpstr>'412'!OSRRefH16x_0</vt:lpstr>
      <vt:lpstr>'413'!OSRRefH16x_0</vt:lpstr>
      <vt:lpstr>'414'!OSRRefH16x_0</vt:lpstr>
      <vt:lpstr>'415'!OSRRefH16x_0</vt:lpstr>
      <vt:lpstr>'418'!OSRRefH16x_0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'324'!OSRRefH22_0x_0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'317'!OSRRefH22_11x_0</vt:lpstr>
      <vt:lpstr>'321'!OSRRefH22_11x_0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'412'!OSRRefH22_11x_0</vt:lpstr>
      <vt:lpstr>'413'!OSRRefH22_11x_0</vt:lpstr>
      <vt:lpstr>'414'!OSRRefH22_11x_0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'Div 6'!OSRRefH22_11x_0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'321'!OSRRefH22_12x_0</vt:lpstr>
      <vt:lpstr>'325'!OSRRefH22_12x_0</vt:lpstr>
      <vt:lpstr>'326'!OSRRefH22_12x_0</vt:lpstr>
      <vt:lpstr>'330'!OSRRefH22_12x_0</vt:lpstr>
      <vt:lpstr>'331'!OSRRefH22_12x_0</vt:lpstr>
      <vt:lpstr>'405'!OSRRefH22_12x_0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'321'!OSRRefH22_13x_0</vt:lpstr>
      <vt:lpstr>'325'!OSRRefH22_13x_0</vt:lpstr>
      <vt:lpstr>'326'!OSRRefH22_13x_0</vt:lpstr>
      <vt:lpstr>'330'!OSRRefH22_13x_0</vt:lpstr>
      <vt:lpstr>'331'!OSRRefH22_13x_0</vt:lpstr>
      <vt:lpstr>'405'!OSRRefH22_13x_0</vt:lpstr>
      <vt:lpstr>'411'!OSRRefH22_13x_0</vt:lpstr>
      <vt:lpstr>'412'!OSRRefH22_13x_0</vt:lpstr>
      <vt:lpstr>'414'!OSRRefH22_13x_0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'201'!OSRRefH22_14x_0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'405'!OSRRefH22_14x_0</vt:lpstr>
      <vt:lpstr>'414'!OSRRefH22_14x_0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'326'!OSRRefH22_15x_0</vt:lpstr>
      <vt:lpstr>'331'!OSRRefH22_15x_0</vt:lpstr>
      <vt:lpstr>'405'!OSRRefH22_15x_0</vt:lpstr>
      <vt:lpstr>'414'!OSRRefH22_15x_0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'326'!OSRRefH22_16x_0</vt:lpstr>
      <vt:lpstr>'331'!OSRRefH22_16x_0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'326'!OSRRefH22_17x_0</vt:lpstr>
      <vt:lpstr>'331'!OSRRefH22_17x_0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'326'!OSRRefH22_18x_0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'326'!OSRRefH22_19x_0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'324'!OSRRefH22_1x_0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'326'!OSRRefH22_20x_0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'310 &amp; 491'!OSRRefH22_21x_0</vt:lpstr>
      <vt:lpstr>'331'!OSRRefH22_21x_0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'331'!OSRRefH22_22x_0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'423'!OSRRefH22_6x_0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'206'!OSRRefH22_8x_0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'206'!OSRRefH22_9x_0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'324'!OSRRefH22x_0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'202'!OSRRefH25x_0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'411'!OSRRefH25x_0</vt:lpstr>
      <vt:lpstr>'418'!OSRRefH25x_0</vt:lpstr>
      <vt:lpstr>'423'!OSRRefH25x_0</vt:lpstr>
      <vt:lpstr>'455'!OSRRefH25x_0</vt:lpstr>
      <vt:lpstr>'491'!OSRRefH25x_0</vt:lpstr>
      <vt:lpstr>'501'!OSRRefH25x_0</vt:lpstr>
      <vt:lpstr>'Div 2'!OSRRefH25x_0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'201'!OSRRefP13x_0</vt:lpstr>
      <vt:lpstr>'202'!OSRRefP13x_0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'412'!OSRRefP13x_0</vt:lpstr>
      <vt:lpstr>'413'!OSRRefP13x_0</vt:lpstr>
      <vt:lpstr>'414'!OSRRefP13x_0</vt:lpstr>
      <vt:lpstr>'415'!OSRRefP13x_0</vt:lpstr>
      <vt:lpstr>'418'!OSRRefP13x_0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2'!OSRRefP13x_0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'405'!OSRRefP16x_0</vt:lpstr>
      <vt:lpstr>'412'!OSRRefP16x_0</vt:lpstr>
      <vt:lpstr>'413'!OSRRefP16x_0</vt:lpstr>
      <vt:lpstr>'414'!OSRRefP16x_0</vt:lpstr>
      <vt:lpstr>'415'!OSRRefP16x_0</vt:lpstr>
      <vt:lpstr>'418'!OSRRefP16x_0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'324'!OSRRefP22_0x_0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'317'!OSRRefP22_11x_0</vt:lpstr>
      <vt:lpstr>'321'!OSRRefP22_11x_0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'412'!OSRRefP22_11x_0</vt:lpstr>
      <vt:lpstr>'413'!OSRRefP22_11x_0</vt:lpstr>
      <vt:lpstr>'414'!OSRRefP22_11x_0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'Div 6'!OSRRefP22_11x_0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'321'!OSRRefP22_12x_0</vt:lpstr>
      <vt:lpstr>'325'!OSRRefP22_12x_0</vt:lpstr>
      <vt:lpstr>'326'!OSRRefP22_12x_0</vt:lpstr>
      <vt:lpstr>'330'!OSRRefP22_12x_0</vt:lpstr>
      <vt:lpstr>'331'!OSRRefP22_12x_0</vt:lpstr>
      <vt:lpstr>'405'!OSRRefP22_12x_0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'321'!OSRRefP22_13x_0</vt:lpstr>
      <vt:lpstr>'325'!OSRRefP22_13x_0</vt:lpstr>
      <vt:lpstr>'326'!OSRRefP22_13x_0</vt:lpstr>
      <vt:lpstr>'330'!OSRRefP22_13x_0</vt:lpstr>
      <vt:lpstr>'331'!OSRRefP22_13x_0</vt:lpstr>
      <vt:lpstr>'405'!OSRRefP22_13x_0</vt:lpstr>
      <vt:lpstr>'411'!OSRRefP22_13x_0</vt:lpstr>
      <vt:lpstr>'412'!OSRRefP22_13x_0</vt:lpstr>
      <vt:lpstr>'414'!OSRRefP22_13x_0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'201'!OSRRefP22_14x_0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'405'!OSRRefP22_14x_0</vt:lpstr>
      <vt:lpstr>'414'!OSRRefP22_14x_0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'326'!OSRRefP22_15x_0</vt:lpstr>
      <vt:lpstr>'331'!OSRRefP22_15x_0</vt:lpstr>
      <vt:lpstr>'405'!OSRRefP22_15x_0</vt:lpstr>
      <vt:lpstr>'414'!OSRRefP22_15x_0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'326'!OSRRefP22_16x_0</vt:lpstr>
      <vt:lpstr>'331'!OSRRefP22_16x_0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'326'!OSRRefP22_17x_0</vt:lpstr>
      <vt:lpstr>'331'!OSRRefP22_17x_0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'326'!OSRRefP22_18x_0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'326'!OSRRefP22_19x_0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'324'!OSRRefP22_1x_0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'326'!OSRRefP22_20x_0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'310 &amp; 491'!OSRRefP22_21x_0</vt:lpstr>
      <vt:lpstr>'331'!OSRRefP22_21x_0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'331'!OSRRefP22_22x_0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'423'!OSRRefP22_6x_0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'206'!OSRRefP22_8x_0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'206'!OSRRefP22_9x_0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'324'!OSRRefP22x_0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'202'!OSRRefP25x_0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'411'!OSRRefP25x_0</vt:lpstr>
      <vt:lpstr>'418'!OSRRefP25x_0</vt:lpstr>
      <vt:lpstr>'423'!OSRRefP25x_0</vt:lpstr>
      <vt:lpstr>'455'!OSRRefP25x_0</vt:lpstr>
      <vt:lpstr>'491'!OSRRefP25x_0</vt:lpstr>
      <vt:lpstr>'501'!OSRRefP25x_0</vt:lpstr>
      <vt:lpstr>'Div 2'!OSRRefP25x_0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'201'!OSRRefT13x_0</vt:lpstr>
      <vt:lpstr>'202'!OSRRefT13x_0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'412'!OSRRefT13x_0</vt:lpstr>
      <vt:lpstr>'413'!OSRRefT13x_0</vt:lpstr>
      <vt:lpstr>'414'!OSRRefT13x_0</vt:lpstr>
      <vt:lpstr>'415'!OSRRefT13x_0</vt:lpstr>
      <vt:lpstr>'418'!OSRRefT13x_0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2'!OSRRefT13x_0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'405'!OSRRefT16x_0</vt:lpstr>
      <vt:lpstr>'412'!OSRRefT16x_0</vt:lpstr>
      <vt:lpstr>'413'!OSRRefT16x_0</vt:lpstr>
      <vt:lpstr>'414'!OSRRefT16x_0</vt:lpstr>
      <vt:lpstr>'415'!OSRRefT16x_0</vt:lpstr>
      <vt:lpstr>'418'!OSRRefT16x_0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'324'!OSRRefT22_0x_0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'317'!OSRRefT22_11x_0</vt:lpstr>
      <vt:lpstr>'321'!OSRRefT22_11x_0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'412'!OSRRefT22_11x_0</vt:lpstr>
      <vt:lpstr>'413'!OSRRefT22_11x_0</vt:lpstr>
      <vt:lpstr>'414'!OSRRefT22_11x_0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'Div 6'!OSRRefT22_11x_0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'321'!OSRRefT22_12x_0</vt:lpstr>
      <vt:lpstr>'325'!OSRRefT22_12x_0</vt:lpstr>
      <vt:lpstr>'326'!OSRRefT22_12x_0</vt:lpstr>
      <vt:lpstr>'330'!OSRRefT22_12x_0</vt:lpstr>
      <vt:lpstr>'331'!OSRRefT22_12x_0</vt:lpstr>
      <vt:lpstr>'405'!OSRRefT22_12x_0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'321'!OSRRefT22_13x_0</vt:lpstr>
      <vt:lpstr>'325'!OSRRefT22_13x_0</vt:lpstr>
      <vt:lpstr>'326'!OSRRefT22_13x_0</vt:lpstr>
      <vt:lpstr>'330'!OSRRefT22_13x_0</vt:lpstr>
      <vt:lpstr>'331'!OSRRefT22_13x_0</vt:lpstr>
      <vt:lpstr>'405'!OSRRefT22_13x_0</vt:lpstr>
      <vt:lpstr>'411'!OSRRefT22_13x_0</vt:lpstr>
      <vt:lpstr>'412'!OSRRefT22_13x_0</vt:lpstr>
      <vt:lpstr>'414'!OSRRefT22_13x_0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'201'!OSRRefT22_14x_0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'405'!OSRRefT22_14x_0</vt:lpstr>
      <vt:lpstr>'414'!OSRRefT22_14x_0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'326'!OSRRefT22_15x_0</vt:lpstr>
      <vt:lpstr>'331'!OSRRefT22_15x_0</vt:lpstr>
      <vt:lpstr>'405'!OSRRefT22_15x_0</vt:lpstr>
      <vt:lpstr>'414'!OSRRefT22_15x_0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'326'!OSRRefT22_16x_0</vt:lpstr>
      <vt:lpstr>'331'!OSRRefT22_16x_0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'326'!OSRRefT22_17x_0</vt:lpstr>
      <vt:lpstr>'331'!OSRRefT22_17x_0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'326'!OSRRefT22_18x_0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'326'!OSRRefT22_19x_0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'324'!OSRRefT22_1x_0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'326'!OSRRefT22_20x_0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'310 &amp; 491'!OSRRefT22_21x_0</vt:lpstr>
      <vt:lpstr>'331'!OSRRefT22_21x_0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'331'!OSRRefT22_22x_0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'423'!OSRRefT22_6x_0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'206'!OSRRefT22_8x_0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'206'!OSRRefT22_9x_0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'324'!OSRRefT22x_0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'202'!OSRRefT25x_0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'411'!OSRRefT25x_0</vt:lpstr>
      <vt:lpstr>'418'!OSRRefT25x_0</vt:lpstr>
      <vt:lpstr>'423'!OSRRefT25x_0</vt:lpstr>
      <vt:lpstr>'455'!OSRRefT25x_0</vt:lpstr>
      <vt:lpstr>'491'!OSRRefT25x_0</vt:lpstr>
      <vt:lpstr>'501'!OSRRefT25x_0</vt:lpstr>
      <vt:lpstr>'Div 2'!OSRRefT25x_0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'408'!Print_Area</vt:lpstr>
      <vt:lpstr>'409'!Print_Area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'408'!Print_Titles</vt:lpstr>
      <vt:lpstr>'409'!Print_Titles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2020-10-19T21:24:09Z</dcterms:modified>
</cp:coreProperties>
</file>